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\OneDrive\Desktop\Pratik\US Competitions and challenges\Sustainability competition\"/>
    </mc:Choice>
  </mc:AlternateContent>
  <xr:revisionPtr revIDLastSave="0" documentId="13_ncr:1_{BB19E067-5217-4AC1-8AC3-24A84E6CAF15}" xr6:coauthVersionLast="47" xr6:coauthVersionMax="47" xr10:uidLastSave="{00000000-0000-0000-0000-000000000000}"/>
  <bookViews>
    <workbookView xWindow="-108" yWindow="-108" windowWidth="23256" windowHeight="12576" tabRatio="995" activeTab="2" xr2:uid="{00000000-000D-0000-FFFF-FFFF00000000}"/>
  </bookViews>
  <sheets>
    <sheet name="Electricity" sheetId="17" r:id="rId1"/>
    <sheet name="Electricity ($)" sheetId="16" r:id="rId2"/>
    <sheet name="Natural Gas" sheetId="19" r:id="rId3"/>
    <sheet name="Water" sheetId="21" r:id="rId4"/>
    <sheet name="Chilled Water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0" hidden="1">Electricity!$A$6:$AY$6</definedName>
    <definedName name="_xlnm._FilterDatabase" localSheetId="2" hidden="1">'Natural Gas'!$A$3:$AY$178</definedName>
    <definedName name="_xlnm._FilterDatabase" localSheetId="3" hidden="1">Water!$A$5:$AY$5</definedName>
    <definedName name="chp">#REF!</definedName>
    <definedName name="FY03_04_UPC_Gas_USAGE" localSheetId="2">'Natural Gas'!$B$1:$AA$182</definedName>
    <definedName name="JEFF1">#REF!</definedName>
    <definedName name="JEFF2">#REF!</definedName>
    <definedName name="NEWNETHSC">#REF!</definedName>
    <definedName name="NEWNT3CURYR">#REF!</definedName>
    <definedName name="OVRHD">#REF!</definedName>
    <definedName name="PAGEONE">#REF!</definedName>
    <definedName name="_xlnm.Print_Area" localSheetId="0">Electricity!$A$8:$C$233</definedName>
    <definedName name="_xlnm.Print_Area" localSheetId="1">'Electricity ($)'!$B$1:$BJ$224</definedName>
    <definedName name="_xlnm.Print_Area" localSheetId="2">'Natural Gas'!$B$4:$AA$182</definedName>
    <definedName name="_xlnm.Print_Area" localSheetId="3">Water!$A$7:$AA$199</definedName>
    <definedName name="_xlnm.Print_Titles" localSheetId="0">Electricity!$1:$7</definedName>
    <definedName name="_xlnm.Print_Titles" localSheetId="1">'Electricity ($)'!$1:$7</definedName>
    <definedName name="_xlnm.Print_Titles" localSheetId="2">'Natural Gas'!$1:$3</definedName>
    <definedName name="_xlnm.Print_Titles" localSheetId="3">Water!$1:$6</definedName>
    <definedName name="SEAVERS">#REF!</definedName>
    <definedName name="TITLE">#REF!</definedName>
    <definedName name="UPCEL" localSheetId="0">Electricity!$A$1:$C$232</definedName>
    <definedName name="UPCEL" localSheetId="1">'Electricity ($)'!$B$1:$BW$279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36" i="21" l="1"/>
  <c r="AT136" i="21" s="1"/>
  <c r="AR136" i="21"/>
  <c r="AR180" i="21"/>
  <c r="AS180" i="21" s="1"/>
  <c r="AT180" i="21" s="1"/>
  <c r="AR112" i="21"/>
  <c r="AS112" i="21"/>
  <c r="AR34" i="21"/>
  <c r="AS34" i="21" s="1"/>
  <c r="AR114" i="21"/>
  <c r="AS114" i="21" s="1"/>
  <c r="AR118" i="21"/>
  <c r="AS118" i="21"/>
  <c r="AR39" i="21"/>
  <c r="AS39" i="21" s="1"/>
  <c r="AS185" i="21"/>
  <c r="AT185" i="21" s="1"/>
  <c r="AR185" i="21"/>
  <c r="AR160" i="21"/>
  <c r="AS160" i="21"/>
  <c r="AR152" i="21"/>
  <c r="AS87" i="21"/>
  <c r="AR87" i="21"/>
  <c r="AT87" i="21" s="1"/>
  <c r="AR195" i="21"/>
  <c r="AT195" i="21" s="1"/>
  <c r="AS195" i="21"/>
  <c r="AS194" i="21"/>
  <c r="AT194" i="21" s="1"/>
  <c r="AU194" i="21" s="1"/>
  <c r="AR194" i="21"/>
  <c r="BC8" i="16"/>
  <c r="AY47" i="21"/>
  <c r="AY55" i="21"/>
  <c r="AY36" i="21"/>
  <c r="AR158" i="21"/>
  <c r="AX158" i="21"/>
  <c r="AY158" i="21" s="1"/>
  <c r="AE198" i="21"/>
  <c r="AF198" i="21"/>
  <c r="AG198" i="21"/>
  <c r="AH198" i="21"/>
  <c r="AI198" i="21"/>
  <c r="AJ198" i="21"/>
  <c r="AK198" i="21"/>
  <c r="AL198" i="21"/>
  <c r="AM198" i="21"/>
  <c r="AN198" i="21"/>
  <c r="AO198" i="21"/>
  <c r="AP198" i="21"/>
  <c r="AQ198" i="21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T39" i="21" l="1"/>
  <c r="AU39" i="21"/>
  <c r="AU87" i="21"/>
  <c r="AV87" i="21" s="1"/>
  <c r="AT118" i="21"/>
  <c r="AT160" i="21"/>
  <c r="AU160" i="21" s="1"/>
  <c r="AV160" i="21" s="1"/>
  <c r="AW160" i="21" s="1"/>
  <c r="AT112" i="21"/>
  <c r="AU112" i="21" s="1"/>
  <c r="AU195" i="21"/>
  <c r="AU136" i="21"/>
  <c r="AU180" i="21"/>
  <c r="AV34" i="21"/>
  <c r="AT34" i="21"/>
  <c r="AU34" i="21"/>
  <c r="AT114" i="21"/>
  <c r="AU114" i="21" s="1"/>
  <c r="AU118" i="21"/>
  <c r="AU185" i="21"/>
  <c r="AV185" i="21" s="1"/>
  <c r="AS152" i="21"/>
  <c r="AV195" i="21"/>
  <c r="AV194" i="21"/>
  <c r="AR198" i="21"/>
  <c r="BA228" i="16"/>
  <c r="AY228" i="16"/>
  <c r="AW228" i="16"/>
  <c r="AV228" i="16"/>
  <c r="AT228" i="16"/>
  <c r="AS228" i="16"/>
  <c r="AR228" i="16"/>
  <c r="AQ228" i="16"/>
  <c r="AP228" i="16"/>
  <c r="AO228" i="16"/>
  <c r="AN228" i="16"/>
  <c r="AM228" i="16"/>
  <c r="BB228" i="16"/>
  <c r="BB229" i="16"/>
  <c r="AS231" i="16"/>
  <c r="AT231" i="16"/>
  <c r="AS232" i="16"/>
  <c r="AV232" i="16"/>
  <c r="AW232" i="16"/>
  <c r="BA232" i="16"/>
  <c r="BA199" i="16"/>
  <c r="BA176" i="16"/>
  <c r="BA127" i="16"/>
  <c r="V60" i="16"/>
  <c r="V141" i="16"/>
  <c r="V136" i="16"/>
  <c r="V137" i="16"/>
  <c r="V189" i="16"/>
  <c r="V202" i="16"/>
  <c r="V209" i="16"/>
  <c r="V207" i="16"/>
  <c r="V208" i="16"/>
  <c r="BC218" i="16"/>
  <c r="BH218" i="16" s="1"/>
  <c r="BC206" i="16"/>
  <c r="BC205" i="16"/>
  <c r="BH205" i="16"/>
  <c r="BC156" i="16"/>
  <c r="BC89" i="16"/>
  <c r="BA205" i="16"/>
  <c r="BA206" i="16"/>
  <c r="AR172" i="16"/>
  <c r="AY205" i="16"/>
  <c r="AY206" i="16"/>
  <c r="AY281" i="16"/>
  <c r="AY175" i="16"/>
  <c r="AY127" i="16"/>
  <c r="AY70" i="16"/>
  <c r="AY199" i="16"/>
  <c r="AY218" i="16"/>
  <c r="AY216" i="16"/>
  <c r="AY215" i="16"/>
  <c r="AY214" i="16"/>
  <c r="AY213" i="16"/>
  <c r="AY212" i="16"/>
  <c r="AY211" i="16"/>
  <c r="AY210" i="16"/>
  <c r="AY208" i="16"/>
  <c r="AY207" i="16"/>
  <c r="AY204" i="16"/>
  <c r="AY203" i="16"/>
  <c r="AY202" i="16"/>
  <c r="AY201" i="16"/>
  <c r="AY200" i="16"/>
  <c r="AY198" i="16"/>
  <c r="AY197" i="16"/>
  <c r="AY196" i="16"/>
  <c r="AY195" i="16"/>
  <c r="AY194" i="16"/>
  <c r="AY193" i="16"/>
  <c r="AY192" i="16"/>
  <c r="AY191" i="16"/>
  <c r="AY190" i="16"/>
  <c r="AY189" i="16"/>
  <c r="AY188" i="16"/>
  <c r="AY187" i="16"/>
  <c r="AY186" i="16"/>
  <c r="AY184" i="16"/>
  <c r="AY180" i="16"/>
  <c r="AY179" i="16"/>
  <c r="AY178" i="16"/>
  <c r="AY174" i="16"/>
  <c r="AY173" i="16"/>
  <c r="AY171" i="16"/>
  <c r="AY169" i="16"/>
  <c r="AY167" i="16"/>
  <c r="AY166" i="16"/>
  <c r="AY165" i="16"/>
  <c r="AY164" i="16"/>
  <c r="AY162" i="16"/>
  <c r="AY161" i="16"/>
  <c r="AY160" i="16"/>
  <c r="AY159" i="16"/>
  <c r="AY158" i="16"/>
  <c r="AY157" i="16"/>
  <c r="AY156" i="16"/>
  <c r="AY154" i="16"/>
  <c r="AY152" i="16"/>
  <c r="AY151" i="16"/>
  <c r="AY150" i="16"/>
  <c r="AY149" i="16"/>
  <c r="AY148" i="16"/>
  <c r="AY147" i="16"/>
  <c r="AY146" i="16"/>
  <c r="AY145" i="16"/>
  <c r="AY144" i="16"/>
  <c r="AY143" i="16"/>
  <c r="AY142" i="16"/>
  <c r="AY141" i="16"/>
  <c r="AY140" i="16"/>
  <c r="AY139" i="16"/>
  <c r="AY138" i="16"/>
  <c r="AY137" i="16"/>
  <c r="AY136" i="16"/>
  <c r="AY135" i="16"/>
  <c r="AY134" i="16"/>
  <c r="AY133" i="16"/>
  <c r="AY132" i="16"/>
  <c r="AY130" i="16"/>
  <c r="AY129" i="16"/>
  <c r="AY128" i="16"/>
  <c r="AY126" i="16"/>
  <c r="AY125" i="16"/>
  <c r="AY124" i="16"/>
  <c r="AY123" i="16"/>
  <c r="AY122" i="16"/>
  <c r="AY121" i="16"/>
  <c r="AY120" i="16"/>
  <c r="AY119" i="16"/>
  <c r="AY118" i="16"/>
  <c r="AY117" i="16"/>
  <c r="AY116" i="16"/>
  <c r="AY115" i="16"/>
  <c r="AY114" i="16"/>
  <c r="AY113" i="16"/>
  <c r="AY112" i="16"/>
  <c r="AY111" i="16"/>
  <c r="AY110" i="16"/>
  <c r="AY109" i="16"/>
  <c r="AY108" i="16"/>
  <c r="AY107" i="16"/>
  <c r="AY105" i="16"/>
  <c r="AY104" i="16"/>
  <c r="AY103" i="16"/>
  <c r="AY102" i="16"/>
  <c r="AY101" i="16"/>
  <c r="AY100" i="16"/>
  <c r="AY99" i="16"/>
  <c r="AY98" i="16"/>
  <c r="AY97" i="16"/>
  <c r="AY95" i="16"/>
  <c r="AY94" i="16"/>
  <c r="AY93" i="16"/>
  <c r="AY91" i="16"/>
  <c r="AY90" i="16"/>
  <c r="AY88" i="16"/>
  <c r="AY87" i="16"/>
  <c r="AY86" i="16"/>
  <c r="AY85" i="16"/>
  <c r="AY84" i="16"/>
  <c r="AY83" i="16"/>
  <c r="AY82" i="16"/>
  <c r="AY80" i="16"/>
  <c r="AY77" i="16"/>
  <c r="AY76" i="16"/>
  <c r="AY75" i="16"/>
  <c r="AY74" i="16"/>
  <c r="AY73" i="16"/>
  <c r="AY72" i="16"/>
  <c r="AY71" i="16"/>
  <c r="AY69" i="16"/>
  <c r="AY68" i="16"/>
  <c r="AY67" i="16"/>
  <c r="AY66" i="16"/>
  <c r="AY65" i="16"/>
  <c r="AY64" i="16"/>
  <c r="AY63" i="16"/>
  <c r="AY62" i="16"/>
  <c r="AY61" i="16"/>
  <c r="AY60" i="16"/>
  <c r="AY59" i="16"/>
  <c r="AY58" i="16"/>
  <c r="AY55" i="16"/>
  <c r="AY54" i="16"/>
  <c r="AY53" i="16"/>
  <c r="AY51" i="16"/>
  <c r="AY50" i="16"/>
  <c r="AY49" i="16"/>
  <c r="AY48" i="16"/>
  <c r="AY47" i="16"/>
  <c r="AY46" i="16"/>
  <c r="AY45" i="16"/>
  <c r="AY43" i="16"/>
  <c r="AY42" i="16"/>
  <c r="AY41" i="16"/>
  <c r="AY40" i="16"/>
  <c r="AY39" i="16"/>
  <c r="AY38" i="16"/>
  <c r="AY37" i="16"/>
  <c r="AY36" i="16"/>
  <c r="AY35" i="16"/>
  <c r="AY34" i="16"/>
  <c r="AY33" i="16"/>
  <c r="AY32" i="16"/>
  <c r="AY31" i="16"/>
  <c r="AY30" i="16"/>
  <c r="AY29" i="16"/>
  <c r="AY28" i="16"/>
  <c r="AY27" i="16"/>
  <c r="AY26" i="16"/>
  <c r="AY25" i="16"/>
  <c r="AY24" i="16"/>
  <c r="AY23" i="16"/>
  <c r="AY20" i="16"/>
  <c r="AY19" i="16"/>
  <c r="AY18" i="16"/>
  <c r="AY17" i="16"/>
  <c r="AY15" i="16"/>
  <c r="AY14" i="16"/>
  <c r="AY13" i="16"/>
  <c r="AY12" i="16"/>
  <c r="AY11" i="16"/>
  <c r="AY10" i="16"/>
  <c r="AY9" i="16"/>
  <c r="AY8" i="16"/>
  <c r="BF11" i="16"/>
  <c r="AV6" i="16" s="1"/>
  <c r="BF16" i="16"/>
  <c r="BJ16" i="16"/>
  <c r="BF21" i="16"/>
  <c r="BF22" i="16"/>
  <c r="BF56" i="16"/>
  <c r="BJ56" i="16"/>
  <c r="BF57" i="16"/>
  <c r="BF78" i="16"/>
  <c r="BJ78" i="16" s="1"/>
  <c r="BF79" i="16"/>
  <c r="BJ79" i="16" s="1"/>
  <c r="BF81" i="16"/>
  <c r="BF92" i="16"/>
  <c r="BJ92" i="16" s="1"/>
  <c r="BF155" i="16"/>
  <c r="BF163" i="16"/>
  <c r="BF172" i="16"/>
  <c r="BJ172" i="16" s="1"/>
  <c r="BF181" i="16"/>
  <c r="BF209" i="16"/>
  <c r="BJ209" i="16" s="1"/>
  <c r="BF217" i="16"/>
  <c r="BF218" i="16"/>
  <c r="BJ218" i="16" s="1"/>
  <c r="BA59" i="16"/>
  <c r="AW131" i="16"/>
  <c r="AW193" i="16"/>
  <c r="AW166" i="16"/>
  <c r="AW153" i="16"/>
  <c r="AW143" i="16"/>
  <c r="AW96" i="16"/>
  <c r="AW176" i="16"/>
  <c r="AW145" i="16"/>
  <c r="AW44" i="16"/>
  <c r="AW205" i="16"/>
  <c r="AW206" i="16"/>
  <c r="AW218" i="16"/>
  <c r="AW216" i="16"/>
  <c r="AW215" i="16"/>
  <c r="AW214" i="16"/>
  <c r="AW213" i="16"/>
  <c r="AW212" i="16"/>
  <c r="AW211" i="16"/>
  <c r="AW208" i="16"/>
  <c r="AW207" i="16"/>
  <c r="AW204" i="16"/>
  <c r="AW203" i="16"/>
  <c r="AW202" i="16"/>
  <c r="AW201" i="16"/>
  <c r="AW200" i="16"/>
  <c r="AW197" i="16"/>
  <c r="AW196" i="16"/>
  <c r="AW195" i="16"/>
  <c r="AW194" i="16"/>
  <c r="AW192" i="16"/>
  <c r="AW191" i="16"/>
  <c r="AW190" i="16"/>
  <c r="AW189" i="16"/>
  <c r="AW188" i="16"/>
  <c r="AW187" i="16"/>
  <c r="AW186" i="16"/>
  <c r="AW184" i="16"/>
  <c r="AW180" i="16"/>
  <c r="AW179" i="16"/>
  <c r="AW178" i="16"/>
  <c r="AW174" i="16"/>
  <c r="AW173" i="16"/>
  <c r="AW171" i="16"/>
  <c r="AW169" i="16"/>
  <c r="AW167" i="16"/>
  <c r="AW165" i="16"/>
  <c r="AW164" i="16"/>
  <c r="AW161" i="16"/>
  <c r="AW160" i="16"/>
  <c r="AW159" i="16"/>
  <c r="AW158" i="16"/>
  <c r="AW157" i="16"/>
  <c r="AW156" i="16"/>
  <c r="AW154" i="16"/>
  <c r="AW152" i="16"/>
  <c r="AW151" i="16"/>
  <c r="AW150" i="16"/>
  <c r="AW149" i="16"/>
  <c r="AW148" i="16"/>
  <c r="AW147" i="16"/>
  <c r="AW146" i="16"/>
  <c r="AW142" i="16"/>
  <c r="AW141" i="16"/>
  <c r="AW140" i="16"/>
  <c r="AW139" i="16"/>
  <c r="AW138" i="16"/>
  <c r="AW136" i="16"/>
  <c r="AW135" i="16"/>
  <c r="AW134" i="16"/>
  <c r="AW133" i="16"/>
  <c r="AW132" i="16"/>
  <c r="AW130" i="16"/>
  <c r="AW129" i="16"/>
  <c r="AW128" i="16"/>
  <c r="AW127" i="16"/>
  <c r="AW126" i="16"/>
  <c r="AW125" i="16"/>
  <c r="AW124" i="16"/>
  <c r="AW122" i="16"/>
  <c r="AW120" i="16"/>
  <c r="AW119" i="16"/>
  <c r="AW118" i="16"/>
  <c r="AW117" i="16"/>
  <c r="AW116" i="16"/>
  <c r="AW115" i="16"/>
  <c r="AW114" i="16"/>
  <c r="AW113" i="16"/>
  <c r="AW112" i="16"/>
  <c r="AW111" i="16"/>
  <c r="AW110" i="16"/>
  <c r="AW109" i="16"/>
  <c r="AW108" i="16"/>
  <c r="AW107" i="16"/>
  <c r="AW105" i="16"/>
  <c r="AW104" i="16"/>
  <c r="AW103" i="16"/>
  <c r="AW102" i="16"/>
  <c r="AW101" i="16"/>
  <c r="AW100" i="16"/>
  <c r="AW99" i="16"/>
  <c r="AW98" i="16"/>
  <c r="AW97" i="16"/>
  <c r="AW95" i="16"/>
  <c r="AW94" i="16"/>
  <c r="AW93" i="16"/>
  <c r="AW91" i="16"/>
  <c r="AW90" i="16"/>
  <c r="AW88" i="16"/>
  <c r="AW87" i="16"/>
  <c r="AW86" i="16"/>
  <c r="AW85" i="16"/>
  <c r="AW84" i="16"/>
  <c r="AW83" i="16"/>
  <c r="AW82" i="16"/>
  <c r="AW80" i="16"/>
  <c r="AW77" i="16"/>
  <c r="AW75" i="16"/>
  <c r="AW74" i="16"/>
  <c r="AW73" i="16"/>
  <c r="AW72" i="16"/>
  <c r="AW71" i="16"/>
  <c r="AW69" i="16"/>
  <c r="AW68" i="16"/>
  <c r="AW67" i="16"/>
  <c r="AW66" i="16"/>
  <c r="AW65" i="16"/>
  <c r="AW64" i="16"/>
  <c r="AW63" i="16"/>
  <c r="AW61" i="16"/>
  <c r="AW60" i="16"/>
  <c r="AW59" i="16"/>
  <c r="AW58" i="16"/>
  <c r="AW55" i="16"/>
  <c r="AW54" i="16"/>
  <c r="AW53" i="16"/>
  <c r="AW51" i="16"/>
  <c r="AW50" i="16"/>
  <c r="AW49" i="16"/>
  <c r="AW48" i="16"/>
  <c r="AW47" i="16"/>
  <c r="AW46" i="16"/>
  <c r="AW43" i="16"/>
  <c r="AW42" i="16"/>
  <c r="AW41" i="16"/>
  <c r="AW40" i="16"/>
  <c r="AW39" i="16"/>
  <c r="AW38" i="16"/>
  <c r="AW37" i="16"/>
  <c r="AW36" i="16"/>
  <c r="AW35" i="16"/>
  <c r="AW34" i="16"/>
  <c r="AW33" i="16"/>
  <c r="AW32" i="16"/>
  <c r="AW31" i="16"/>
  <c r="AW30" i="16"/>
  <c r="AW29" i="16"/>
  <c r="AW27" i="16"/>
  <c r="AW26" i="16"/>
  <c r="AW25" i="16"/>
  <c r="AW24" i="16"/>
  <c r="AW23" i="16"/>
  <c r="AW20" i="16"/>
  <c r="AW19" i="16"/>
  <c r="AW18" i="16"/>
  <c r="AW17" i="16"/>
  <c r="AW15" i="16"/>
  <c r="AW14" i="16"/>
  <c r="AW13" i="16"/>
  <c r="AW12" i="16"/>
  <c r="AW8" i="16"/>
  <c r="AW11" i="16"/>
  <c r="AW9" i="16"/>
  <c r="AS141" i="16"/>
  <c r="AS139" i="16"/>
  <c r="AT123" i="16"/>
  <c r="AT143" i="16"/>
  <c r="AV205" i="16"/>
  <c r="AV206" i="16"/>
  <c r="AV281" i="16"/>
  <c r="AV218" i="16"/>
  <c r="AV216" i="16"/>
  <c r="AV215" i="16"/>
  <c r="AV214" i="16"/>
  <c r="AV213" i="16"/>
  <c r="AV212" i="16"/>
  <c r="AV211" i="16"/>
  <c r="AV210" i="16"/>
  <c r="AV208" i="16"/>
  <c r="AV207" i="16"/>
  <c r="AV204" i="16"/>
  <c r="AV203" i="16"/>
  <c r="AV202" i="16"/>
  <c r="AV201" i="16"/>
  <c r="AV200" i="16"/>
  <c r="AV199" i="16"/>
  <c r="AV198" i="16"/>
  <c r="AV197" i="16"/>
  <c r="AV196" i="16"/>
  <c r="AV195" i="16"/>
  <c r="AV194" i="16"/>
  <c r="AV193" i="16"/>
  <c r="AV192" i="16"/>
  <c r="AV191" i="16"/>
  <c r="AV190" i="16"/>
  <c r="AV189" i="16"/>
  <c r="AV188" i="16"/>
  <c r="AV187" i="16"/>
  <c r="AV186" i="16"/>
  <c r="AV185" i="16"/>
  <c r="AV184" i="16"/>
  <c r="AV183" i="16"/>
  <c r="AV182" i="16"/>
  <c r="AV180" i="16"/>
  <c r="AV179" i="16"/>
  <c r="AV178" i="16"/>
  <c r="AV177" i="16"/>
  <c r="AV176" i="16"/>
  <c r="AV175" i="16"/>
  <c r="AV174" i="16"/>
  <c r="AV173" i="16"/>
  <c r="AV171" i="16"/>
  <c r="AV170" i="16"/>
  <c r="AV169" i="16"/>
  <c r="AV168" i="16"/>
  <c r="AV167" i="16"/>
  <c r="AV166" i="16"/>
  <c r="AV165" i="16"/>
  <c r="AV164" i="16"/>
  <c r="AV162" i="16"/>
  <c r="AV161" i="16"/>
  <c r="AV160" i="16"/>
  <c r="AV159" i="16"/>
  <c r="AV158" i="16"/>
  <c r="AV157" i="16"/>
  <c r="AV156" i="16"/>
  <c r="AV154" i="16"/>
  <c r="AV153" i="16"/>
  <c r="AV152" i="16"/>
  <c r="AV151" i="16"/>
  <c r="AV150" i="16"/>
  <c r="AV149" i="16"/>
  <c r="AV148" i="16"/>
  <c r="AV147" i="16"/>
  <c r="AV146" i="16"/>
  <c r="AV145" i="16"/>
  <c r="AV144" i="16"/>
  <c r="AV143" i="16"/>
  <c r="AV142" i="16"/>
  <c r="AV141" i="16"/>
  <c r="AV140" i="16"/>
  <c r="AV139" i="16"/>
  <c r="AV138" i="16"/>
  <c r="AV137" i="16"/>
  <c r="AV136" i="16"/>
  <c r="AV135" i="16"/>
  <c r="AV134" i="16"/>
  <c r="AV133" i="16"/>
  <c r="AV132" i="16"/>
  <c r="AV131" i="16"/>
  <c r="AV130" i="16"/>
  <c r="AV129" i="16"/>
  <c r="AV128" i="16"/>
  <c r="AV127" i="16"/>
  <c r="AV126" i="16"/>
  <c r="AV125" i="16"/>
  <c r="AV124" i="16"/>
  <c r="AV123" i="16"/>
  <c r="AV122" i="16"/>
  <c r="AV121" i="16"/>
  <c r="AV120" i="16"/>
  <c r="AV119" i="16"/>
  <c r="AV118" i="16"/>
  <c r="AV117" i="16"/>
  <c r="AV116" i="16"/>
  <c r="AV115" i="16"/>
  <c r="AV114" i="16"/>
  <c r="AV113" i="16"/>
  <c r="AV112" i="16"/>
  <c r="AV111" i="16"/>
  <c r="AV110" i="16"/>
  <c r="AV109" i="16"/>
  <c r="AV108" i="16"/>
  <c r="AV107" i="16"/>
  <c r="AV105" i="16"/>
  <c r="AV104" i="16"/>
  <c r="AV103" i="16"/>
  <c r="AV102" i="16"/>
  <c r="AV101" i="16"/>
  <c r="AV100" i="16"/>
  <c r="AV99" i="16"/>
  <c r="AV98" i="16"/>
  <c r="AV97" i="16"/>
  <c r="AV96" i="16"/>
  <c r="AV95" i="16"/>
  <c r="AV94" i="16"/>
  <c r="AV93" i="16"/>
  <c r="AV91" i="16"/>
  <c r="AV90" i="16"/>
  <c r="AV88" i="16"/>
  <c r="AV87" i="16"/>
  <c r="AV86" i="16"/>
  <c r="AV85" i="16"/>
  <c r="AV84" i="16"/>
  <c r="AV83" i="16"/>
  <c r="AV82" i="16"/>
  <c r="AV80" i="16"/>
  <c r="AV77" i="16"/>
  <c r="AV76" i="16"/>
  <c r="AV75" i="16"/>
  <c r="AV74" i="16"/>
  <c r="AV73" i="16"/>
  <c r="AV72" i="16"/>
  <c r="AV71" i="16"/>
  <c r="AV70" i="16"/>
  <c r="AV69" i="16"/>
  <c r="AV68" i="16"/>
  <c r="AV67" i="16"/>
  <c r="AV66" i="16"/>
  <c r="AV65" i="16"/>
  <c r="AV64" i="16"/>
  <c r="AV63" i="16"/>
  <c r="AV62" i="16"/>
  <c r="AV61" i="16"/>
  <c r="AV60" i="16"/>
  <c r="AV59" i="16"/>
  <c r="AV58" i="16"/>
  <c r="AV55" i="16"/>
  <c r="AV54" i="16"/>
  <c r="AV53" i="16"/>
  <c r="AV52" i="16"/>
  <c r="AV51" i="16"/>
  <c r="AV50" i="16"/>
  <c r="AV49" i="16"/>
  <c r="AV48" i="16"/>
  <c r="AV47" i="16"/>
  <c r="AV46" i="16"/>
  <c r="AV45" i="16"/>
  <c r="AV44" i="16"/>
  <c r="AV43" i="16"/>
  <c r="AV42" i="16"/>
  <c r="AV41" i="16"/>
  <c r="AV40" i="16"/>
  <c r="AV39" i="16"/>
  <c r="AV38" i="16"/>
  <c r="AV37" i="16"/>
  <c r="AV36" i="16"/>
  <c r="AV35" i="16"/>
  <c r="AV34" i="16"/>
  <c r="AV33" i="16"/>
  <c r="AV32" i="16"/>
  <c r="AV31" i="16"/>
  <c r="AV30" i="16"/>
  <c r="AV29" i="16"/>
  <c r="AV28" i="16"/>
  <c r="AV27" i="16"/>
  <c r="AV26" i="16"/>
  <c r="AV25" i="16"/>
  <c r="AV24" i="16"/>
  <c r="AV23" i="16"/>
  <c r="AV20" i="16"/>
  <c r="AV19" i="16"/>
  <c r="AV18" i="16"/>
  <c r="AV17" i="16"/>
  <c r="AV15" i="16"/>
  <c r="AV14" i="16"/>
  <c r="AV224" i="16" s="1"/>
  <c r="AV13" i="16"/>
  <c r="AV12" i="16"/>
  <c r="AV11" i="16"/>
  <c r="AV8" i="16"/>
  <c r="AV10" i="16"/>
  <c r="AV9" i="16"/>
  <c r="AT127" i="16"/>
  <c r="AT175" i="16"/>
  <c r="AT95" i="16"/>
  <c r="AS123" i="16"/>
  <c r="AS131" i="16"/>
  <c r="AS175" i="16"/>
  <c r="AS199" i="16"/>
  <c r="AR281" i="16"/>
  <c r="BC91" i="16"/>
  <c r="BC90" i="16"/>
  <c r="BC88" i="16"/>
  <c r="BC87" i="16"/>
  <c r="BC86" i="16"/>
  <c r="BH86" i="16"/>
  <c r="BC85" i="16"/>
  <c r="BC84" i="16"/>
  <c r="BH84" i="16" s="1"/>
  <c r="BC83" i="16"/>
  <c r="BH83" i="16" s="1"/>
  <c r="BC82" i="16"/>
  <c r="BC80" i="16"/>
  <c r="BC77" i="16"/>
  <c r="BC76" i="16"/>
  <c r="BC75" i="16"/>
  <c r="BC74" i="16"/>
  <c r="BH74" i="16"/>
  <c r="BC73" i="16"/>
  <c r="BH73" i="16"/>
  <c r="BC72" i="16"/>
  <c r="BC71" i="16"/>
  <c r="BC70" i="16"/>
  <c r="BC69" i="16"/>
  <c r="BC68" i="16"/>
  <c r="BH68" i="16"/>
  <c r="BC67" i="16"/>
  <c r="BC66" i="16"/>
  <c r="BC65" i="16"/>
  <c r="BH65" i="16"/>
  <c r="BC64" i="16"/>
  <c r="BC63" i="16"/>
  <c r="BC62" i="16"/>
  <c r="BC61" i="16"/>
  <c r="BC60" i="16"/>
  <c r="BC58" i="16"/>
  <c r="BH58" i="16" s="1"/>
  <c r="BC55" i="16"/>
  <c r="BH55" i="16" s="1"/>
  <c r="BC54" i="16"/>
  <c r="BH54" i="16" s="1"/>
  <c r="BC53" i="16"/>
  <c r="BC52" i="16"/>
  <c r="BC51" i="16"/>
  <c r="BC50" i="16"/>
  <c r="BH50" i="16"/>
  <c r="BC49" i="16"/>
  <c r="BC48" i="16"/>
  <c r="BH48" i="16" s="1"/>
  <c r="BC47" i="16"/>
  <c r="BC46" i="16"/>
  <c r="BC45" i="16"/>
  <c r="BH45" i="16" s="1"/>
  <c r="BC44" i="16"/>
  <c r="BC43" i="16"/>
  <c r="BC42" i="16"/>
  <c r="BC41" i="16"/>
  <c r="BC40" i="16"/>
  <c r="BC39" i="16"/>
  <c r="BH39" i="16"/>
  <c r="BC38" i="16"/>
  <c r="BC37" i="16"/>
  <c r="BC36" i="16"/>
  <c r="BC35" i="16"/>
  <c r="BH35" i="16" s="1"/>
  <c r="BC34" i="16"/>
  <c r="BC33" i="16"/>
  <c r="BC32" i="16"/>
  <c r="BC31" i="16"/>
  <c r="BC30" i="16"/>
  <c r="BH30" i="16" s="1"/>
  <c r="BC29" i="16"/>
  <c r="BC28" i="16"/>
  <c r="BC27" i="16"/>
  <c r="BC26" i="16"/>
  <c r="BH26" i="16"/>
  <c r="BC25" i="16"/>
  <c r="BC24" i="16"/>
  <c r="BC23" i="16"/>
  <c r="BC18" i="16"/>
  <c r="BC17" i="16"/>
  <c r="BC20" i="16"/>
  <c r="BC19" i="16"/>
  <c r="BH19" i="16"/>
  <c r="BC9" i="16"/>
  <c r="BH9" i="16"/>
  <c r="BC10" i="16"/>
  <c r="BC12" i="16"/>
  <c r="BC13" i="16"/>
  <c r="BH13" i="16"/>
  <c r="BC14" i="16"/>
  <c r="BC15" i="16"/>
  <c r="BH8" i="16"/>
  <c r="BH224" i="16" s="1"/>
  <c r="BC211" i="16"/>
  <c r="BC212" i="16"/>
  <c r="BC213" i="16"/>
  <c r="BH213" i="16" s="1"/>
  <c r="BC214" i="16"/>
  <c r="BH214" i="16" s="1"/>
  <c r="BC215" i="16"/>
  <c r="BH215" i="16" s="1"/>
  <c r="BC216" i="16"/>
  <c r="BC210" i="16"/>
  <c r="BC208" i="16"/>
  <c r="BC207" i="16"/>
  <c r="BH207" i="16"/>
  <c r="BC199" i="16"/>
  <c r="BC200" i="16"/>
  <c r="BC201" i="16"/>
  <c r="BC202" i="16"/>
  <c r="BC203" i="16"/>
  <c r="BC204" i="16"/>
  <c r="BH204" i="16" s="1"/>
  <c r="BC183" i="16"/>
  <c r="BC184" i="16"/>
  <c r="BC185" i="16"/>
  <c r="BC186" i="16"/>
  <c r="BC187" i="16"/>
  <c r="BC188" i="16"/>
  <c r="BC189" i="16"/>
  <c r="BC190" i="16"/>
  <c r="BH190" i="16"/>
  <c r="BC191" i="16"/>
  <c r="BC192" i="16"/>
  <c r="BH192" i="16" s="1"/>
  <c r="BC193" i="16"/>
  <c r="BH193" i="16" s="1"/>
  <c r="BC194" i="16"/>
  <c r="BH194" i="16" s="1"/>
  <c r="BC195" i="16"/>
  <c r="BC196" i="16"/>
  <c r="BH196" i="16"/>
  <c r="BC197" i="16"/>
  <c r="BC198" i="16"/>
  <c r="BC182" i="16"/>
  <c r="BH182" i="16"/>
  <c r="BC174" i="16"/>
  <c r="BC175" i="16"/>
  <c r="BC176" i="16"/>
  <c r="BH176" i="16"/>
  <c r="BC177" i="16"/>
  <c r="BC178" i="16"/>
  <c r="BC179" i="16"/>
  <c r="BC180" i="16"/>
  <c r="BC165" i="16"/>
  <c r="BC166" i="16"/>
  <c r="BH166" i="16" s="1"/>
  <c r="BC167" i="16"/>
  <c r="BC168" i="16"/>
  <c r="BC169" i="16"/>
  <c r="BC170" i="16"/>
  <c r="BC173" i="16"/>
  <c r="BC158" i="16"/>
  <c r="BC159" i="16"/>
  <c r="BH159" i="16" s="1"/>
  <c r="BC160" i="16"/>
  <c r="BC161" i="16"/>
  <c r="BC162" i="16"/>
  <c r="BC157" i="16"/>
  <c r="BC154" i="16"/>
  <c r="BH154" i="16" s="1"/>
  <c r="BC137" i="16"/>
  <c r="BC138" i="16"/>
  <c r="BH138" i="16"/>
  <c r="BC139" i="16"/>
  <c r="BH139" i="16" s="1"/>
  <c r="BC140" i="16"/>
  <c r="BC141" i="16"/>
  <c r="BC142" i="16"/>
  <c r="BH142" i="16"/>
  <c r="BC143" i="16"/>
  <c r="BC144" i="16"/>
  <c r="BC145" i="16"/>
  <c r="BH145" i="16" s="1"/>
  <c r="BC146" i="16"/>
  <c r="BC147" i="16"/>
  <c r="BH147" i="16" s="1"/>
  <c r="BC148" i="16"/>
  <c r="BC149" i="16"/>
  <c r="BC150" i="16"/>
  <c r="BC151" i="16"/>
  <c r="BC152" i="16"/>
  <c r="BC153" i="16"/>
  <c r="BH153" i="16"/>
  <c r="BC123" i="16"/>
  <c r="BC124" i="16"/>
  <c r="BH124" i="16" s="1"/>
  <c r="BC125" i="16"/>
  <c r="BC126" i="16"/>
  <c r="BC127" i="16"/>
  <c r="BC128" i="16"/>
  <c r="BC129" i="16"/>
  <c r="BH129" i="16" s="1"/>
  <c r="BC130" i="16"/>
  <c r="BC131" i="16"/>
  <c r="BC132" i="16"/>
  <c r="BC133" i="16"/>
  <c r="BC134" i="16"/>
  <c r="BC135" i="16"/>
  <c r="BH135" i="16"/>
  <c r="BC136" i="16"/>
  <c r="BC122" i="16"/>
  <c r="BC121" i="16"/>
  <c r="BC112" i="16"/>
  <c r="BC113" i="16"/>
  <c r="BC114" i="16"/>
  <c r="BC115" i="16"/>
  <c r="BC116" i="16"/>
  <c r="BH116" i="16" s="1"/>
  <c r="BC117" i="16"/>
  <c r="BH117" i="16" s="1"/>
  <c r="BC118" i="16"/>
  <c r="BC119" i="16"/>
  <c r="BH119" i="16" s="1"/>
  <c r="BC120" i="16"/>
  <c r="BC101" i="16"/>
  <c r="BH101" i="16" s="1"/>
  <c r="BC102" i="16"/>
  <c r="BC103" i="16"/>
  <c r="BC104" i="16"/>
  <c r="BC105" i="16"/>
  <c r="BC106" i="16"/>
  <c r="BC107" i="16"/>
  <c r="BH107" i="16"/>
  <c r="BC108" i="16"/>
  <c r="BC109" i="16"/>
  <c r="BH109" i="16" s="1"/>
  <c r="BC110" i="16"/>
  <c r="BC111" i="16"/>
  <c r="BC100" i="16"/>
  <c r="BC94" i="16"/>
  <c r="BC95" i="16"/>
  <c r="BC96" i="16"/>
  <c r="BH96" i="16"/>
  <c r="BC97" i="16"/>
  <c r="BC98" i="16"/>
  <c r="BH98" i="16" s="1"/>
  <c r="BC99" i="16"/>
  <c r="BC93" i="16"/>
  <c r="BC59" i="16"/>
  <c r="BH59" i="16" s="1"/>
  <c r="AO168" i="16"/>
  <c r="AO177" i="16"/>
  <c r="AO176" i="16"/>
  <c r="AO143" i="16"/>
  <c r="AO131" i="16"/>
  <c r="AO96" i="16"/>
  <c r="AO151" i="16"/>
  <c r="AO121" i="16"/>
  <c r="AO183" i="16"/>
  <c r="AO199" i="16"/>
  <c r="AN123" i="16"/>
  <c r="AN168" i="16"/>
  <c r="AN143" i="16"/>
  <c r="AN177" i="16"/>
  <c r="AN131" i="16"/>
  <c r="AN151" i="16"/>
  <c r="AM143" i="16"/>
  <c r="AM168" i="16"/>
  <c r="AM175" i="16"/>
  <c r="AM131" i="16"/>
  <c r="AM200" i="16"/>
  <c r="AM187" i="16"/>
  <c r="AM169" i="16"/>
  <c r="AM110" i="16"/>
  <c r="AM108" i="16"/>
  <c r="AM99" i="16"/>
  <c r="AM76" i="16"/>
  <c r="AM48" i="16"/>
  <c r="AM40" i="16"/>
  <c r="AM34" i="16"/>
  <c r="AM29" i="16"/>
  <c r="AM123" i="16"/>
  <c r="AR231" i="16"/>
  <c r="AQ231" i="16"/>
  <c r="AW230" i="16"/>
  <c r="BA230" i="16"/>
  <c r="AY230" i="16"/>
  <c r="AV230" i="16"/>
  <c r="AP230" i="16"/>
  <c r="AT205" i="16"/>
  <c r="AT206" i="16"/>
  <c r="AS205" i="16"/>
  <c r="AS206" i="16"/>
  <c r="AT218" i="16"/>
  <c r="AT216" i="16"/>
  <c r="AT215" i="16"/>
  <c r="AT214" i="16"/>
  <c r="AT213" i="16"/>
  <c r="AT212" i="16"/>
  <c r="AT211" i="16"/>
  <c r="AT210" i="16"/>
  <c r="AT208" i="16"/>
  <c r="AT207" i="16"/>
  <c r="AT204" i="16"/>
  <c r="AT203" i="16"/>
  <c r="AT202" i="16"/>
  <c r="AT201" i="16"/>
  <c r="AT200" i="16"/>
  <c r="AT198" i="16"/>
  <c r="AT197" i="16"/>
  <c r="AT196" i="16"/>
  <c r="AT195" i="16"/>
  <c r="AT194" i="16"/>
  <c r="AT193" i="16"/>
  <c r="AT192" i="16"/>
  <c r="AT191" i="16"/>
  <c r="AT190" i="16"/>
  <c r="AT189" i="16"/>
  <c r="AT188" i="16"/>
  <c r="AT187" i="16"/>
  <c r="AT186" i="16"/>
  <c r="AT184" i="16"/>
  <c r="AT180" i="16"/>
  <c r="AT179" i="16"/>
  <c r="AT178" i="16"/>
  <c r="AT174" i="16"/>
  <c r="AT173" i="16"/>
  <c r="AT171" i="16"/>
  <c r="AT169" i="16"/>
  <c r="AT167" i="16"/>
  <c r="AT166" i="16"/>
  <c r="AT165" i="16"/>
  <c r="AT164" i="16"/>
  <c r="AT161" i="16"/>
  <c r="AT160" i="16"/>
  <c r="AT159" i="16"/>
  <c r="AT158" i="16"/>
  <c r="AT157" i="16"/>
  <c r="AT156" i="16"/>
  <c r="AT154" i="16"/>
  <c r="AT152" i="16"/>
  <c r="AT149" i="16"/>
  <c r="AT148" i="16"/>
  <c r="AT147" i="16"/>
  <c r="AT142" i="16"/>
  <c r="AT141" i="16"/>
  <c r="AT140" i="16"/>
  <c r="AT139" i="16"/>
  <c r="AT138" i="16"/>
  <c r="AT137" i="16"/>
  <c r="AT136" i="16"/>
  <c r="AT135" i="16"/>
  <c r="AT134" i="16"/>
  <c r="AT133" i="16"/>
  <c r="AT132" i="16"/>
  <c r="AT130" i="16"/>
  <c r="AT129" i="16"/>
  <c r="AT128" i="16"/>
  <c r="AT126" i="16"/>
  <c r="AT125" i="16"/>
  <c r="AT124" i="16"/>
  <c r="AT122" i="16"/>
  <c r="AT120" i="16"/>
  <c r="AT119" i="16"/>
  <c r="AT118" i="16"/>
  <c r="AT117" i="16"/>
  <c r="AT116" i="16"/>
  <c r="AT115" i="16"/>
  <c r="AT114" i="16"/>
  <c r="AT113" i="16"/>
  <c r="AT112" i="16"/>
  <c r="AT111" i="16"/>
  <c r="AT110" i="16"/>
  <c r="AT109" i="16"/>
  <c r="AT108" i="16"/>
  <c r="AT107" i="16"/>
  <c r="AT105" i="16"/>
  <c r="AT104" i="16"/>
  <c r="AT103" i="16"/>
  <c r="AT102" i="16"/>
  <c r="AT101" i="16"/>
  <c r="AT100" i="16"/>
  <c r="AT99" i="16"/>
  <c r="AT98" i="16"/>
  <c r="AT97" i="16"/>
  <c r="AT96" i="16"/>
  <c r="AT93" i="16"/>
  <c r="AT91" i="16"/>
  <c r="AT90" i="16"/>
  <c r="AT88" i="16"/>
  <c r="AT87" i="16"/>
  <c r="AT86" i="16"/>
  <c r="AT85" i="16"/>
  <c r="AT84" i="16"/>
  <c r="AT83" i="16"/>
  <c r="AT82" i="16"/>
  <c r="AT80" i="16"/>
  <c r="AT77" i="16"/>
  <c r="AT76" i="16"/>
  <c r="AT75" i="16"/>
  <c r="AT74" i="16"/>
  <c r="AT72" i="16"/>
  <c r="AT71" i="16"/>
  <c r="AT69" i="16"/>
  <c r="AT68" i="16"/>
  <c r="AT67" i="16"/>
  <c r="AT66" i="16"/>
  <c r="AT65" i="16"/>
  <c r="AT63" i="16"/>
  <c r="AT62" i="16"/>
  <c r="AT61" i="16"/>
  <c r="AT60" i="16"/>
  <c r="AT59" i="16"/>
  <c r="AT58" i="16"/>
  <c r="AT55" i="16"/>
  <c r="AT54" i="16"/>
  <c r="AT53" i="16"/>
  <c r="AT51" i="16"/>
  <c r="AT50" i="16"/>
  <c r="AT49" i="16"/>
  <c r="AT48" i="16"/>
  <c r="AT47" i="16"/>
  <c r="AT46" i="16"/>
  <c r="AT45" i="16"/>
  <c r="AT43" i="16"/>
  <c r="AT42" i="16"/>
  <c r="AT41" i="16"/>
  <c r="AT40" i="16"/>
  <c r="AT39" i="16"/>
  <c r="AT38" i="16"/>
  <c r="AT37" i="16"/>
  <c r="AT36" i="16"/>
  <c r="AT35" i="16"/>
  <c r="AT34" i="16"/>
  <c r="AT33" i="16"/>
  <c r="AT32" i="16"/>
  <c r="AT31" i="16"/>
  <c r="AT30" i="16"/>
  <c r="AT29" i="16"/>
  <c r="AT28" i="16"/>
  <c r="AT27" i="16"/>
  <c r="AT26" i="16"/>
  <c r="AT25" i="16"/>
  <c r="AT24" i="16"/>
  <c r="AT23" i="16"/>
  <c r="AT20" i="16"/>
  <c r="AT19" i="16"/>
  <c r="AT18" i="16"/>
  <c r="AT17" i="16"/>
  <c r="AT15" i="16"/>
  <c r="AT14" i="16"/>
  <c r="AT13" i="16"/>
  <c r="AT12" i="16"/>
  <c r="AT11" i="16"/>
  <c r="AT8" i="16"/>
  <c r="AT10" i="16"/>
  <c r="AT9" i="16"/>
  <c r="AS218" i="16"/>
  <c r="AS216" i="16"/>
  <c r="AS215" i="16"/>
  <c r="AS214" i="16"/>
  <c r="AS213" i="16"/>
  <c r="AS212" i="16"/>
  <c r="AS211" i="16"/>
  <c r="AS210" i="16"/>
  <c r="AS208" i="16"/>
  <c r="AS207" i="16"/>
  <c r="AS204" i="16"/>
  <c r="AS203" i="16"/>
  <c r="AS202" i="16"/>
  <c r="AS201" i="16"/>
  <c r="AS200" i="16"/>
  <c r="AS198" i="16"/>
  <c r="AS197" i="16"/>
  <c r="AS196" i="16"/>
  <c r="AS195" i="16"/>
  <c r="AS194" i="16"/>
  <c r="AS193" i="16"/>
  <c r="AS192" i="16"/>
  <c r="AS191" i="16"/>
  <c r="AS190" i="16"/>
  <c r="AS189" i="16"/>
  <c r="AS188" i="16"/>
  <c r="AS187" i="16"/>
  <c r="AS186" i="16"/>
  <c r="AS184" i="16"/>
  <c r="AS180" i="16"/>
  <c r="AS179" i="16"/>
  <c r="AS178" i="16"/>
  <c r="AS177" i="16"/>
  <c r="AS176" i="16"/>
  <c r="AS174" i="16"/>
  <c r="AS173" i="16"/>
  <c r="AS171" i="16"/>
  <c r="AS169" i="16"/>
  <c r="AS167" i="16"/>
  <c r="AS166" i="16"/>
  <c r="AS165" i="16"/>
  <c r="AS164" i="16"/>
  <c r="AS162" i="16"/>
  <c r="AS161" i="16"/>
  <c r="AS160" i="16"/>
  <c r="AS159" i="16"/>
  <c r="AS158" i="16"/>
  <c r="AS157" i="16"/>
  <c r="AS156" i="16"/>
  <c r="AS154" i="16"/>
  <c r="AS152" i="16"/>
  <c r="AS151" i="16"/>
  <c r="AS150" i="16"/>
  <c r="AS149" i="16"/>
  <c r="AS148" i="16"/>
  <c r="AS147" i="16"/>
  <c r="AS146" i="16"/>
  <c r="AS143" i="16"/>
  <c r="AS142" i="16"/>
  <c r="AS140" i="16"/>
  <c r="AS138" i="16"/>
  <c r="AS137" i="16"/>
  <c r="AS136" i="16"/>
  <c r="AS135" i="16"/>
  <c r="AS134" i="16"/>
  <c r="AS133" i="16"/>
  <c r="AS132" i="16"/>
  <c r="AS130" i="16"/>
  <c r="AS129" i="16"/>
  <c r="AS128" i="16"/>
  <c r="AS127" i="16"/>
  <c r="AS126" i="16"/>
  <c r="AS125" i="16"/>
  <c r="AS124" i="16"/>
  <c r="AS122" i="16"/>
  <c r="AS121" i="16"/>
  <c r="AS120" i="16"/>
  <c r="AS119" i="16"/>
  <c r="AS118" i="16"/>
  <c r="AS117" i="16"/>
  <c r="AS116" i="16"/>
  <c r="AS115" i="16"/>
  <c r="AS114" i="16"/>
  <c r="AS113" i="16"/>
  <c r="AS112" i="16"/>
  <c r="AS111" i="16"/>
  <c r="AS110" i="16"/>
  <c r="AS109" i="16"/>
  <c r="AS108" i="16"/>
  <c r="AS107" i="16"/>
  <c r="AS105" i="16"/>
  <c r="AS104" i="16"/>
  <c r="AS103" i="16"/>
  <c r="AS102" i="16"/>
  <c r="AS101" i="16"/>
  <c r="AS100" i="16"/>
  <c r="AS99" i="16"/>
  <c r="AS98" i="16"/>
  <c r="AS97" i="16"/>
  <c r="AS95" i="16"/>
  <c r="AS94" i="16"/>
  <c r="AS93" i="16"/>
  <c r="AS91" i="16"/>
  <c r="AS90" i="16"/>
  <c r="AS88" i="16"/>
  <c r="AS87" i="16"/>
  <c r="AS86" i="16"/>
  <c r="AS85" i="16"/>
  <c r="AS84" i="16"/>
  <c r="AS83" i="16"/>
  <c r="AS82" i="16"/>
  <c r="AS80" i="16"/>
  <c r="AS77" i="16"/>
  <c r="AS76" i="16"/>
  <c r="AS75" i="16"/>
  <c r="AS74" i="16"/>
  <c r="AS73" i="16"/>
  <c r="AS72" i="16"/>
  <c r="AS71" i="16"/>
  <c r="AS70" i="16"/>
  <c r="AS69" i="16"/>
  <c r="AS68" i="16"/>
  <c r="AS67" i="16"/>
  <c r="AS66" i="16"/>
  <c r="AS65" i="16"/>
  <c r="AS64" i="16"/>
  <c r="AS63" i="16"/>
  <c r="AS62" i="16"/>
  <c r="AS61" i="16"/>
  <c r="AS60" i="16"/>
  <c r="AS59" i="16"/>
  <c r="AS58" i="16"/>
  <c r="AS55" i="16"/>
  <c r="AS54" i="16"/>
  <c r="AS53" i="16"/>
  <c r="AS51" i="16"/>
  <c r="AS50" i="16"/>
  <c r="AS49" i="16"/>
  <c r="AS48" i="16"/>
  <c r="AS47" i="16"/>
  <c r="AS46" i="16"/>
  <c r="AS45" i="16"/>
  <c r="AS43" i="16"/>
  <c r="AS42" i="16"/>
  <c r="AS41" i="16"/>
  <c r="AS40" i="16"/>
  <c r="AS39" i="16"/>
  <c r="AS38" i="16"/>
  <c r="AS37" i="16"/>
  <c r="AS36" i="16"/>
  <c r="AS35" i="16"/>
  <c r="AS34" i="16"/>
  <c r="AS33" i="16"/>
  <c r="AS32" i="16"/>
  <c r="AS31" i="16"/>
  <c r="AS30" i="16"/>
  <c r="AS29" i="16"/>
  <c r="AS28" i="16"/>
  <c r="AS27" i="16"/>
  <c r="AS26" i="16"/>
  <c r="BB26" i="16" s="1"/>
  <c r="BG26" i="16" s="1"/>
  <c r="AS25" i="16"/>
  <c r="AS24" i="16"/>
  <c r="AS23" i="16"/>
  <c r="AS20" i="16"/>
  <c r="AS19" i="16"/>
  <c r="AS18" i="16"/>
  <c r="AS17" i="16"/>
  <c r="AS15" i="16"/>
  <c r="AS14" i="16"/>
  <c r="AS13" i="16"/>
  <c r="AS12" i="16"/>
  <c r="AS11" i="16"/>
  <c r="AS8" i="16"/>
  <c r="AS10" i="16"/>
  <c r="AS9" i="16"/>
  <c r="BK146" i="16"/>
  <c r="AR59" i="16"/>
  <c r="AQ168" i="16"/>
  <c r="AQ143" i="16"/>
  <c r="AQ176" i="16"/>
  <c r="AQ127" i="16"/>
  <c r="AQ202" i="16"/>
  <c r="AQ198" i="16"/>
  <c r="AQ193" i="16"/>
  <c r="AQ147" i="16"/>
  <c r="AQ133" i="16"/>
  <c r="AQ75" i="16"/>
  <c r="AQ63" i="16"/>
  <c r="AQ38" i="16"/>
  <c r="AQ30" i="16"/>
  <c r="AQ12" i="16"/>
  <c r="AQ9" i="16"/>
  <c r="BJ217" i="16"/>
  <c r="BJ181" i="16"/>
  <c r="BJ163" i="16"/>
  <c r="BJ155" i="16"/>
  <c r="BJ81" i="16"/>
  <c r="BJ57" i="16"/>
  <c r="BJ22" i="16"/>
  <c r="BJ21" i="16"/>
  <c r="BI209" i="16"/>
  <c r="AM192" i="16"/>
  <c r="AM189" i="16"/>
  <c r="AM137" i="16"/>
  <c r="AM126" i="16"/>
  <c r="AM122" i="16"/>
  <c r="AM112" i="16"/>
  <c r="AM102" i="16"/>
  <c r="AM100" i="16"/>
  <c r="AM80" i="16"/>
  <c r="AM73" i="16"/>
  <c r="AM69" i="16"/>
  <c r="AM67" i="16"/>
  <c r="AM64" i="16"/>
  <c r="AM59" i="16"/>
  <c r="AM55" i="16"/>
  <c r="AM10" i="16"/>
  <c r="AM9" i="16"/>
  <c r="AO60" i="16"/>
  <c r="AN60" i="16"/>
  <c r="AM60" i="16"/>
  <c r="AP281" i="16"/>
  <c r="AQ205" i="16"/>
  <c r="AP205" i="16"/>
  <c r="AP206" i="16"/>
  <c r="AO205" i="16"/>
  <c r="AO206" i="16"/>
  <c r="AN205" i="16"/>
  <c r="AN206" i="16"/>
  <c r="AO202" i="16"/>
  <c r="AP201" i="16"/>
  <c r="AN202" i="16"/>
  <c r="AO189" i="16"/>
  <c r="AN189" i="16"/>
  <c r="AO141" i="16"/>
  <c r="AN141" i="16"/>
  <c r="AM141" i="16"/>
  <c r="AO137" i="16"/>
  <c r="AN136" i="16"/>
  <c r="AN137" i="16"/>
  <c r="AM136" i="16"/>
  <c r="BA208" i="16"/>
  <c r="AP208" i="16"/>
  <c r="AO208" i="16"/>
  <c r="AN208" i="16"/>
  <c r="AM205" i="16"/>
  <c r="AM206" i="16"/>
  <c r="AM202" i="16"/>
  <c r="AM198" i="16"/>
  <c r="AM180" i="16"/>
  <c r="AM160" i="16"/>
  <c r="AM157" i="16"/>
  <c r="AM139" i="16"/>
  <c r="AM135" i="16"/>
  <c r="AM103" i="16"/>
  <c r="AM86" i="16"/>
  <c r="AM75" i="16"/>
  <c r="AM66" i="16"/>
  <c r="AM50" i="16"/>
  <c r="AM31" i="16"/>
  <c r="AR216" i="16"/>
  <c r="AQ216" i="16"/>
  <c r="AP216" i="16"/>
  <c r="AO216" i="16"/>
  <c r="AN216" i="16"/>
  <c r="AR215" i="16"/>
  <c r="AQ215" i="16"/>
  <c r="AP215" i="16"/>
  <c r="AO215" i="16"/>
  <c r="AN215" i="16"/>
  <c r="AR214" i="16"/>
  <c r="AQ214" i="16"/>
  <c r="AP214" i="16"/>
  <c r="AO214" i="16"/>
  <c r="AN214" i="16"/>
  <c r="AP213" i="16"/>
  <c r="AO213" i="16"/>
  <c r="AN213" i="16"/>
  <c r="AR212" i="16"/>
  <c r="AQ212" i="16"/>
  <c r="AP212" i="16"/>
  <c r="AO212" i="16"/>
  <c r="AN212" i="16"/>
  <c r="AP211" i="16"/>
  <c r="AO211" i="16"/>
  <c r="AN211" i="16"/>
  <c r="AP210" i="16"/>
  <c r="AO210" i="16"/>
  <c r="AN210" i="16"/>
  <c r="AP207" i="16"/>
  <c r="AO207" i="16"/>
  <c r="AN207" i="16"/>
  <c r="AP204" i="16"/>
  <c r="AO204" i="16"/>
  <c r="AN204" i="16"/>
  <c r="AP203" i="16"/>
  <c r="AO203" i="16"/>
  <c r="AN203" i="16"/>
  <c r="AR202" i="16"/>
  <c r="AP202" i="16"/>
  <c r="AO201" i="16"/>
  <c r="AN201" i="16"/>
  <c r="AP200" i="16"/>
  <c r="AO200" i="16"/>
  <c r="AN200" i="16"/>
  <c r="AR199" i="16"/>
  <c r="AP199" i="16"/>
  <c r="AP198" i="16"/>
  <c r="AO198" i="16"/>
  <c r="AN198" i="16"/>
  <c r="AP197" i="16"/>
  <c r="AO197" i="16"/>
  <c r="AN197" i="16"/>
  <c r="AR196" i="16"/>
  <c r="AP196" i="16"/>
  <c r="AO196" i="16"/>
  <c r="AN196" i="16"/>
  <c r="AP195" i="16"/>
  <c r="AO195" i="16"/>
  <c r="AN195" i="16"/>
  <c r="AP194" i="16"/>
  <c r="AO194" i="16"/>
  <c r="AN194" i="16"/>
  <c r="AP193" i="16"/>
  <c r="AO193" i="16"/>
  <c r="AN193" i="16"/>
  <c r="AP192" i="16"/>
  <c r="AO192" i="16"/>
  <c r="AN192" i="16"/>
  <c r="AQ191" i="16"/>
  <c r="AP191" i="16"/>
  <c r="AO191" i="16"/>
  <c r="AN191" i="16"/>
  <c r="AP190" i="16"/>
  <c r="AO190" i="16"/>
  <c r="AN190" i="16"/>
  <c r="AP189" i="16"/>
  <c r="AR188" i="16"/>
  <c r="AQ188" i="16"/>
  <c r="AP188" i="16"/>
  <c r="AO188" i="16"/>
  <c r="AN188" i="16"/>
  <c r="AP187" i="16"/>
  <c r="AO187" i="16"/>
  <c r="AN187" i="16"/>
  <c r="AP186" i="16"/>
  <c r="AO186" i="16"/>
  <c r="AN186" i="16"/>
  <c r="AR185" i="16"/>
  <c r="AP185" i="16"/>
  <c r="AR184" i="16"/>
  <c r="AP184" i="16"/>
  <c r="AO184" i="16"/>
  <c r="AN184" i="16"/>
  <c r="AR183" i="16"/>
  <c r="AP183" i="16"/>
  <c r="AR182" i="16"/>
  <c r="AP182" i="16"/>
  <c r="AP180" i="16"/>
  <c r="AO180" i="16"/>
  <c r="AN180" i="16"/>
  <c r="AP179" i="16"/>
  <c r="AO179" i="16"/>
  <c r="AN179" i="16"/>
  <c r="AP178" i="16"/>
  <c r="AO178" i="16"/>
  <c r="AN178" i="16"/>
  <c r="AR177" i="16"/>
  <c r="AP177" i="16"/>
  <c r="AR176" i="16"/>
  <c r="AP176" i="16"/>
  <c r="AR175" i="16"/>
  <c r="AQ175" i="16"/>
  <c r="AP175" i="16"/>
  <c r="AR174" i="16"/>
  <c r="AP174" i="16"/>
  <c r="AO174" i="16"/>
  <c r="AN174" i="16"/>
  <c r="AP173" i="16"/>
  <c r="AO173" i="16"/>
  <c r="AN173" i="16"/>
  <c r="AP171" i="16"/>
  <c r="AO171" i="16"/>
  <c r="AN171" i="16"/>
  <c r="AR170" i="16"/>
  <c r="AP170" i="16"/>
  <c r="AN170" i="16"/>
  <c r="AR169" i="16"/>
  <c r="AP169" i="16"/>
  <c r="AO169" i="16"/>
  <c r="AN169" i="16"/>
  <c r="AR168" i="16"/>
  <c r="AP168" i="16"/>
  <c r="AP167" i="16"/>
  <c r="AO167" i="16"/>
  <c r="AN167" i="16"/>
  <c r="AP166" i="16"/>
  <c r="AO166" i="16"/>
  <c r="AN166" i="16"/>
  <c r="AP165" i="16"/>
  <c r="AO165" i="16"/>
  <c r="AN165" i="16"/>
  <c r="AP164" i="16"/>
  <c r="AO164" i="16"/>
  <c r="AN164" i="16"/>
  <c r="AP162" i="16"/>
  <c r="AO162" i="16"/>
  <c r="AN162" i="16"/>
  <c r="AP161" i="16"/>
  <c r="AO161" i="16"/>
  <c r="AP160" i="16"/>
  <c r="AO160" i="16"/>
  <c r="AN160" i="16"/>
  <c r="AR159" i="16"/>
  <c r="AP159" i="16"/>
  <c r="AO159" i="16"/>
  <c r="AN159" i="16"/>
  <c r="AR158" i="16"/>
  <c r="AQ158" i="16"/>
  <c r="AP158" i="16"/>
  <c r="AO158" i="16"/>
  <c r="AN158" i="16"/>
  <c r="AP157" i="16"/>
  <c r="AO157" i="16"/>
  <c r="AN157" i="16"/>
  <c r="AR156" i="16"/>
  <c r="AQ156" i="16"/>
  <c r="AP156" i="16"/>
  <c r="AO156" i="16"/>
  <c r="AN156" i="16"/>
  <c r="AR154" i="16"/>
  <c r="AQ154" i="16"/>
  <c r="AP154" i="16"/>
  <c r="AO154" i="16"/>
  <c r="AN154" i="16"/>
  <c r="AR153" i="16"/>
  <c r="AP153" i="16"/>
  <c r="AR152" i="16"/>
  <c r="AQ152" i="16"/>
  <c r="AP152" i="16"/>
  <c r="AO152" i="16"/>
  <c r="AN152" i="16"/>
  <c r="AP151" i="16"/>
  <c r="AP150" i="16"/>
  <c r="AO150" i="16"/>
  <c r="AP149" i="16"/>
  <c r="AO149" i="16"/>
  <c r="AN149" i="16"/>
  <c r="AR148" i="16"/>
  <c r="AQ148" i="16"/>
  <c r="AP148" i="16"/>
  <c r="AO148" i="16"/>
  <c r="AN148" i="16"/>
  <c r="AP147" i="16"/>
  <c r="AO147" i="16"/>
  <c r="AN147" i="16"/>
  <c r="AQ146" i="16"/>
  <c r="AP146" i="16"/>
  <c r="AO146" i="16"/>
  <c r="AN146" i="16"/>
  <c r="AQ145" i="16"/>
  <c r="AP145" i="16"/>
  <c r="AQ144" i="16"/>
  <c r="AP144" i="16"/>
  <c r="AP143" i="16"/>
  <c r="AR142" i="16"/>
  <c r="AQ142" i="16"/>
  <c r="AP142" i="16"/>
  <c r="AO142" i="16"/>
  <c r="AN142" i="16"/>
  <c r="AP141" i="16"/>
  <c r="AQ140" i="16"/>
  <c r="AP140" i="16"/>
  <c r="AO140" i="16"/>
  <c r="AN140" i="16"/>
  <c r="AP139" i="16"/>
  <c r="AO139" i="16"/>
  <c r="AN139" i="16"/>
  <c r="AP138" i="16"/>
  <c r="AO138" i="16"/>
  <c r="AN138" i="16"/>
  <c r="AR137" i="16"/>
  <c r="AP137" i="16"/>
  <c r="AP136" i="16"/>
  <c r="AO136" i="16"/>
  <c r="AR135" i="16"/>
  <c r="AQ135" i="16"/>
  <c r="AP135" i="16"/>
  <c r="AO135" i="16"/>
  <c r="AN135" i="16"/>
  <c r="AP134" i="16"/>
  <c r="AO134" i="16"/>
  <c r="AN134" i="16"/>
  <c r="AR133" i="16"/>
  <c r="AP133" i="16"/>
  <c r="AO133" i="16"/>
  <c r="AN133" i="16"/>
  <c r="AR132" i="16"/>
  <c r="AQ132" i="16"/>
  <c r="AP132" i="16"/>
  <c r="AO132" i="16"/>
  <c r="AN132" i="16"/>
  <c r="AR131" i="16"/>
  <c r="AP131" i="16"/>
  <c r="AQ130" i="16"/>
  <c r="AP130" i="16"/>
  <c r="AO130" i="16"/>
  <c r="AN130" i="16"/>
  <c r="AR129" i="16"/>
  <c r="AQ129" i="16"/>
  <c r="AP129" i="16"/>
  <c r="AO129" i="16"/>
  <c r="AN129" i="16"/>
  <c r="AP128" i="16"/>
  <c r="AO128" i="16"/>
  <c r="AN128" i="16"/>
  <c r="AR127" i="16"/>
  <c r="AP127" i="16"/>
  <c r="AR126" i="16"/>
  <c r="AP126" i="16"/>
  <c r="AO126" i="16"/>
  <c r="AN126" i="16"/>
  <c r="AQ125" i="16"/>
  <c r="AP125" i="16"/>
  <c r="AO125" i="16"/>
  <c r="AN125" i="16"/>
  <c r="AR124" i="16"/>
  <c r="AQ124" i="16"/>
  <c r="AP124" i="16"/>
  <c r="AO124" i="16"/>
  <c r="AN124" i="16"/>
  <c r="AR123" i="16"/>
  <c r="AQ123" i="16"/>
  <c r="AP123" i="16"/>
  <c r="AO123" i="16"/>
  <c r="AP122" i="16"/>
  <c r="AO122" i="16"/>
  <c r="AN122" i="16"/>
  <c r="AR121" i="16"/>
  <c r="AP121" i="16"/>
  <c r="AR120" i="16"/>
  <c r="AP120" i="16"/>
  <c r="AO120" i="16"/>
  <c r="AN120" i="16"/>
  <c r="AP119" i="16"/>
  <c r="AO119" i="16"/>
  <c r="AN119" i="16"/>
  <c r="AR118" i="16"/>
  <c r="AQ118" i="16"/>
  <c r="AP118" i="16"/>
  <c r="AO118" i="16"/>
  <c r="AN118" i="16"/>
  <c r="AR117" i="16"/>
  <c r="AP117" i="16"/>
  <c r="AO117" i="16"/>
  <c r="AN117" i="16"/>
  <c r="AP116" i="16"/>
  <c r="AO116" i="16"/>
  <c r="AN116" i="16"/>
  <c r="AP115" i="16"/>
  <c r="AO115" i="16"/>
  <c r="AN115" i="16"/>
  <c r="AR114" i="16"/>
  <c r="AP114" i="16"/>
  <c r="AO114" i="16"/>
  <c r="AN114" i="16"/>
  <c r="AR113" i="16"/>
  <c r="AQ113" i="16"/>
  <c r="AP113" i="16"/>
  <c r="AO113" i="16"/>
  <c r="AN113" i="16"/>
  <c r="AP112" i="16"/>
  <c r="AO112" i="16"/>
  <c r="AN112" i="16"/>
  <c r="AR111" i="16"/>
  <c r="AQ111" i="16"/>
  <c r="AP111" i="16"/>
  <c r="AO111" i="16"/>
  <c r="AN111" i="16"/>
  <c r="AR110" i="16"/>
  <c r="AP110" i="16"/>
  <c r="AO110" i="16"/>
  <c r="AN110" i="16"/>
  <c r="AR109" i="16"/>
  <c r="AP109" i="16"/>
  <c r="AO109" i="16"/>
  <c r="AN109" i="16"/>
  <c r="AP108" i="16"/>
  <c r="AO108" i="16"/>
  <c r="AN108" i="16"/>
  <c r="AQ107" i="16"/>
  <c r="AP107" i="16"/>
  <c r="AO107" i="16"/>
  <c r="AN107" i="16"/>
  <c r="AP105" i="16"/>
  <c r="AO105" i="16"/>
  <c r="AN105" i="16"/>
  <c r="AP104" i="16"/>
  <c r="AO104" i="16"/>
  <c r="AN104" i="16"/>
  <c r="AP103" i="16"/>
  <c r="AO103" i="16"/>
  <c r="AN103" i="16"/>
  <c r="AR102" i="16"/>
  <c r="AP102" i="16"/>
  <c r="AO102" i="16"/>
  <c r="AN102" i="16"/>
  <c r="AP101" i="16"/>
  <c r="AO101" i="16"/>
  <c r="AN101" i="16"/>
  <c r="AP100" i="16"/>
  <c r="AO100" i="16"/>
  <c r="AN100" i="16"/>
  <c r="AP99" i="16"/>
  <c r="AO99" i="16"/>
  <c r="AN99" i="16"/>
  <c r="AR98" i="16"/>
  <c r="AQ98" i="16"/>
  <c r="AP98" i="16"/>
  <c r="AO98" i="16"/>
  <c r="AN98" i="16"/>
  <c r="AR97" i="16"/>
  <c r="AP97" i="16"/>
  <c r="AO97" i="16"/>
  <c r="AN97" i="16"/>
  <c r="AR96" i="16"/>
  <c r="AP96" i="16"/>
  <c r="AN96" i="16"/>
  <c r="AP95" i="16"/>
  <c r="AO95" i="16"/>
  <c r="AN95" i="16"/>
  <c r="AP94" i="16"/>
  <c r="AN94" i="16"/>
  <c r="AP93" i="16"/>
  <c r="AO93" i="16"/>
  <c r="AN93" i="16"/>
  <c r="AP91" i="16"/>
  <c r="AO91" i="16"/>
  <c r="AN91" i="16"/>
  <c r="AP90" i="16"/>
  <c r="AO90" i="16"/>
  <c r="AN90" i="16"/>
  <c r="AR88" i="16"/>
  <c r="AQ88" i="16"/>
  <c r="AP88" i="16"/>
  <c r="AO88" i="16"/>
  <c r="AN88" i="16"/>
  <c r="AP87" i="16"/>
  <c r="AO87" i="16"/>
  <c r="AN87" i="16"/>
  <c r="AP86" i="16"/>
  <c r="AO86" i="16"/>
  <c r="AN86" i="16"/>
  <c r="AP85" i="16"/>
  <c r="AO85" i="16"/>
  <c r="AN85" i="16"/>
  <c r="AR84" i="16"/>
  <c r="AQ84" i="16"/>
  <c r="AP84" i="16"/>
  <c r="AO84" i="16"/>
  <c r="AN84" i="16"/>
  <c r="AP83" i="16"/>
  <c r="AO83" i="16"/>
  <c r="AN83" i="16"/>
  <c r="AP82" i="16"/>
  <c r="AO82" i="16"/>
  <c r="AN82" i="16"/>
  <c r="AQ80" i="16"/>
  <c r="AP80" i="16"/>
  <c r="AO80" i="16"/>
  <c r="AN80" i="16"/>
  <c r="AP77" i="16"/>
  <c r="AO77" i="16"/>
  <c r="AN77" i="16"/>
  <c r="AR76" i="16"/>
  <c r="AQ76" i="16"/>
  <c r="AP76" i="16"/>
  <c r="AO76" i="16"/>
  <c r="AN76" i="16"/>
  <c r="AP75" i="16"/>
  <c r="AO75" i="16"/>
  <c r="AN75" i="16"/>
  <c r="AR74" i="16"/>
  <c r="AP74" i="16"/>
  <c r="AO74" i="16"/>
  <c r="AN74" i="16"/>
  <c r="AP73" i="16"/>
  <c r="AO73" i="16"/>
  <c r="AN73" i="16"/>
  <c r="AP72" i="16"/>
  <c r="AO72" i="16"/>
  <c r="AN72" i="16"/>
  <c r="AR71" i="16"/>
  <c r="AP71" i="16"/>
  <c r="AO71" i="16"/>
  <c r="AN71" i="16"/>
  <c r="AR70" i="16"/>
  <c r="AP70" i="16"/>
  <c r="AN70" i="16"/>
  <c r="AP69" i="16"/>
  <c r="AO69" i="16"/>
  <c r="AN69" i="16"/>
  <c r="AP68" i="16"/>
  <c r="AO68" i="16"/>
  <c r="AN68" i="16"/>
  <c r="AP67" i="16"/>
  <c r="AO67" i="16"/>
  <c r="AN67" i="16"/>
  <c r="AP66" i="16"/>
  <c r="AO66" i="16"/>
  <c r="AN66" i="16"/>
  <c r="AQ65" i="16"/>
  <c r="AP65" i="16"/>
  <c r="AO65" i="16"/>
  <c r="AN65" i="16"/>
  <c r="AP64" i="16"/>
  <c r="AO64" i="16"/>
  <c r="AN64" i="16"/>
  <c r="AP63" i="16"/>
  <c r="AO63" i="16"/>
  <c r="AN63" i="16"/>
  <c r="AP62" i="16"/>
  <c r="AO62" i="16"/>
  <c r="AN62" i="16"/>
  <c r="AQ61" i="16"/>
  <c r="AP61" i="16"/>
  <c r="AO61" i="16"/>
  <c r="AN61" i="16"/>
  <c r="AP60" i="16"/>
  <c r="AP59" i="16"/>
  <c r="AO59" i="16"/>
  <c r="AN59" i="16"/>
  <c r="AR58" i="16"/>
  <c r="AQ58" i="16"/>
  <c r="AP58" i="16"/>
  <c r="AO58" i="16"/>
  <c r="AN58" i="16"/>
  <c r="AR55" i="16"/>
  <c r="AQ55" i="16"/>
  <c r="AP55" i="16"/>
  <c r="AO55" i="16"/>
  <c r="AN55" i="16"/>
  <c r="AP54" i="16"/>
  <c r="AO54" i="16"/>
  <c r="AN54" i="16"/>
  <c r="AR53" i="16"/>
  <c r="AP53" i="16"/>
  <c r="AO53" i="16"/>
  <c r="AN53" i="16"/>
  <c r="AR52" i="16"/>
  <c r="AP52" i="16"/>
  <c r="AN52" i="16"/>
  <c r="AP51" i="16"/>
  <c r="AO51" i="16"/>
  <c r="AN51" i="16"/>
  <c r="AP50" i="16"/>
  <c r="AO50" i="16"/>
  <c r="AN50" i="16"/>
  <c r="AQ49" i="16"/>
  <c r="AP49" i="16"/>
  <c r="AO49" i="16"/>
  <c r="AN49" i="16"/>
  <c r="AP48" i="16"/>
  <c r="AO48" i="16"/>
  <c r="AN48" i="16"/>
  <c r="AP47" i="16"/>
  <c r="AO47" i="16"/>
  <c r="AN47" i="16"/>
  <c r="AP46" i="16"/>
  <c r="AO46" i="16"/>
  <c r="AN46" i="16"/>
  <c r="AP45" i="16"/>
  <c r="AO45" i="16"/>
  <c r="AN45" i="16"/>
  <c r="AR44" i="16"/>
  <c r="AP44" i="16"/>
  <c r="AN44" i="16"/>
  <c r="AR43" i="16"/>
  <c r="AQ43" i="16"/>
  <c r="AP43" i="16"/>
  <c r="AO43" i="16"/>
  <c r="AN43" i="16"/>
  <c r="AP42" i="16"/>
  <c r="AO42" i="16"/>
  <c r="AN42" i="16"/>
  <c r="AQ41" i="16"/>
  <c r="AP41" i="16"/>
  <c r="AO41" i="16"/>
  <c r="AN41" i="16"/>
  <c r="AP40" i="16"/>
  <c r="AO40" i="16"/>
  <c r="AN40" i="16"/>
  <c r="AP39" i="16"/>
  <c r="AO39" i="16"/>
  <c r="AN39" i="16"/>
  <c r="AP38" i="16"/>
  <c r="AO38" i="16"/>
  <c r="AN38" i="16"/>
  <c r="AQ37" i="16"/>
  <c r="AP37" i="16"/>
  <c r="AO37" i="16"/>
  <c r="AN37" i="16"/>
  <c r="AR36" i="16"/>
  <c r="AQ36" i="16"/>
  <c r="BB36" i="16" s="1"/>
  <c r="BF36" i="16" s="1"/>
  <c r="AP36" i="16"/>
  <c r="AO36" i="16"/>
  <c r="AN36" i="16"/>
  <c r="AP35" i="16"/>
  <c r="AO35" i="16"/>
  <c r="AN35" i="16"/>
  <c r="AP34" i="16"/>
  <c r="AO34" i="16"/>
  <c r="AN34" i="16"/>
  <c r="AP33" i="16"/>
  <c r="AO33" i="16"/>
  <c r="AN33" i="16"/>
  <c r="AP32" i="16"/>
  <c r="AO32" i="16"/>
  <c r="AN32" i="16"/>
  <c r="AP31" i="16"/>
  <c r="AO31" i="16"/>
  <c r="AN31" i="16"/>
  <c r="AP30" i="16"/>
  <c r="AO30" i="16"/>
  <c r="AN30" i="16"/>
  <c r="AP29" i="16"/>
  <c r="AO29" i="16"/>
  <c r="AN29" i="16"/>
  <c r="AR28" i="16"/>
  <c r="AQ28" i="16"/>
  <c r="AP28" i="16"/>
  <c r="AO28" i="16"/>
  <c r="AN28" i="16"/>
  <c r="AP27" i="16"/>
  <c r="AO27" i="16"/>
  <c r="AN27" i="16"/>
  <c r="AR26" i="16"/>
  <c r="AQ26" i="16"/>
  <c r="AP26" i="16"/>
  <c r="AO26" i="16"/>
  <c r="AN26" i="16"/>
  <c r="AR25" i="16"/>
  <c r="AP25" i="16"/>
  <c r="AO25" i="16"/>
  <c r="AN25" i="16"/>
  <c r="AP24" i="16"/>
  <c r="AO24" i="16"/>
  <c r="AN24" i="16"/>
  <c r="AR23" i="16"/>
  <c r="AP23" i="16"/>
  <c r="AO23" i="16"/>
  <c r="AN23" i="16"/>
  <c r="AP20" i="16"/>
  <c r="AO20" i="16"/>
  <c r="AN20" i="16"/>
  <c r="AP19" i="16"/>
  <c r="AO19" i="16"/>
  <c r="AN19" i="16"/>
  <c r="AR18" i="16"/>
  <c r="AP18" i="16"/>
  <c r="AO18" i="16"/>
  <c r="AN18" i="16"/>
  <c r="AP17" i="16"/>
  <c r="AO17" i="16"/>
  <c r="AN17" i="16"/>
  <c r="AR15" i="16"/>
  <c r="AQ15" i="16"/>
  <c r="AP15" i="16"/>
  <c r="AO15" i="16"/>
  <c r="AN15" i="16"/>
  <c r="AQ14" i="16"/>
  <c r="AP14" i="16"/>
  <c r="AO14" i="16"/>
  <c r="AN14" i="16"/>
  <c r="AP13" i="16"/>
  <c r="AO13" i="16"/>
  <c r="AN13" i="16"/>
  <c r="AR12" i="16"/>
  <c r="AP12" i="16"/>
  <c r="AO12" i="16"/>
  <c r="AN12" i="16"/>
  <c r="AR11" i="16"/>
  <c r="AQ11" i="16"/>
  <c r="AP11" i="16"/>
  <c r="AO11" i="16"/>
  <c r="AN11" i="16"/>
  <c r="AP10" i="16"/>
  <c r="AO10" i="16"/>
  <c r="AN10" i="16"/>
  <c r="AR9" i="16"/>
  <c r="AP9" i="16"/>
  <c r="AO9" i="16"/>
  <c r="BB9" i="16" s="1"/>
  <c r="AN9" i="16"/>
  <c r="AP8" i="16"/>
  <c r="AO8" i="16"/>
  <c r="AN8" i="16"/>
  <c r="AQ171" i="16"/>
  <c r="BA218" i="16"/>
  <c r="BA216" i="16"/>
  <c r="BA215" i="16"/>
  <c r="BA214" i="16"/>
  <c r="BA213" i="16"/>
  <c r="BA212" i="16"/>
  <c r="BA211" i="16"/>
  <c r="BA210" i="16"/>
  <c r="BA207" i="16"/>
  <c r="BA204" i="16"/>
  <c r="BA203" i="16"/>
  <c r="BA202" i="16"/>
  <c r="BA201" i="16"/>
  <c r="BA200" i="16"/>
  <c r="BA198" i="16"/>
  <c r="BA197" i="16"/>
  <c r="BA196" i="16"/>
  <c r="BA195" i="16"/>
  <c r="BA194" i="16"/>
  <c r="BA193" i="16"/>
  <c r="BA192" i="16"/>
  <c r="BA191" i="16"/>
  <c r="BA190" i="16"/>
  <c r="BA189" i="16"/>
  <c r="BA188" i="16"/>
  <c r="BA187" i="16"/>
  <c r="BA186" i="16"/>
  <c r="BA184" i="16"/>
  <c r="BA180" i="16"/>
  <c r="BA179" i="16"/>
  <c r="BA178" i="16"/>
  <c r="BA174" i="16"/>
  <c r="BA173" i="16"/>
  <c r="BA171" i="16"/>
  <c r="BA169" i="16"/>
  <c r="BA167" i="16"/>
  <c r="BA166" i="16"/>
  <c r="BA165" i="16"/>
  <c r="BA164" i="16"/>
  <c r="BA162" i="16"/>
  <c r="BA161" i="16"/>
  <c r="BA160" i="16"/>
  <c r="BA159" i="16"/>
  <c r="BA158" i="16"/>
  <c r="BA157" i="16"/>
  <c r="BA156" i="16"/>
  <c r="BA154" i="16"/>
  <c r="BA152" i="16"/>
  <c r="BA151" i="16"/>
  <c r="BA150" i="16"/>
  <c r="BA149" i="16"/>
  <c r="BA148" i="16"/>
  <c r="BA147" i="16"/>
  <c r="BA146" i="16"/>
  <c r="BA142" i="16"/>
  <c r="BA141" i="16"/>
  <c r="BA140" i="16"/>
  <c r="BA139" i="16"/>
  <c r="BA138" i="16"/>
  <c r="BA137" i="16"/>
  <c r="BA136" i="16"/>
  <c r="BA135" i="16"/>
  <c r="BA134" i="16"/>
  <c r="BA133" i="16"/>
  <c r="BA132" i="16"/>
  <c r="BA130" i="16"/>
  <c r="BA129" i="16"/>
  <c r="BA128" i="16"/>
  <c r="BA126" i="16"/>
  <c r="BA125" i="16"/>
  <c r="BA124" i="16"/>
  <c r="BA122" i="16"/>
  <c r="BA121" i="16"/>
  <c r="BA120" i="16"/>
  <c r="BA119" i="16"/>
  <c r="BA118" i="16"/>
  <c r="BA117" i="16"/>
  <c r="BA116" i="16"/>
  <c r="BA115" i="16"/>
  <c r="BA114" i="16"/>
  <c r="BA113" i="16"/>
  <c r="BA112" i="16"/>
  <c r="BA111" i="16"/>
  <c r="BA110" i="16"/>
  <c r="BA109" i="16"/>
  <c r="BA108" i="16"/>
  <c r="BA107" i="16"/>
  <c r="BA105" i="16"/>
  <c r="BA104" i="16"/>
  <c r="BA103" i="16"/>
  <c r="BA102" i="16"/>
  <c r="BA101" i="16"/>
  <c r="BA100" i="16"/>
  <c r="BA99" i="16"/>
  <c r="BA98" i="16"/>
  <c r="BA97" i="16"/>
  <c r="BA94" i="16"/>
  <c r="BA93" i="16"/>
  <c r="BA91" i="16"/>
  <c r="BA90" i="16"/>
  <c r="BA88" i="16"/>
  <c r="BA87" i="16"/>
  <c r="BA86" i="16"/>
  <c r="BA85" i="16"/>
  <c r="BA84" i="16"/>
  <c r="BA83" i="16"/>
  <c r="BA82" i="16"/>
  <c r="BA80" i="16"/>
  <c r="BA77" i="16"/>
  <c r="BA76" i="16"/>
  <c r="BA75" i="16"/>
  <c r="BA74" i="16"/>
  <c r="BA73" i="16"/>
  <c r="BA72" i="16"/>
  <c r="BA71" i="16"/>
  <c r="BA69" i="16"/>
  <c r="BA68" i="16"/>
  <c r="BA67" i="16"/>
  <c r="BA66" i="16"/>
  <c r="BA65" i="16"/>
  <c r="BA64" i="16"/>
  <c r="BA63" i="16"/>
  <c r="BA62" i="16"/>
  <c r="BA61" i="16"/>
  <c r="BA60" i="16"/>
  <c r="BA58" i="16"/>
  <c r="BA55" i="16"/>
  <c r="BA54" i="16"/>
  <c r="BA53" i="16"/>
  <c r="BA51" i="16"/>
  <c r="BA50" i="16"/>
  <c r="BA49" i="16"/>
  <c r="BA48" i="16"/>
  <c r="BA47" i="16"/>
  <c r="BA46" i="16"/>
  <c r="BA45" i="16"/>
  <c r="BA43" i="16"/>
  <c r="BA42" i="16"/>
  <c r="BA41" i="16"/>
  <c r="BA40" i="16"/>
  <c r="BA39" i="16"/>
  <c r="BA38" i="16"/>
  <c r="BA37" i="16"/>
  <c r="BA36" i="16"/>
  <c r="BA35" i="16"/>
  <c r="BA34" i="16"/>
  <c r="BA33" i="16"/>
  <c r="BA32" i="16"/>
  <c r="BA31" i="16"/>
  <c r="BA30" i="16"/>
  <c r="BA29" i="16"/>
  <c r="BA28" i="16"/>
  <c r="BA27" i="16"/>
  <c r="BA26" i="16"/>
  <c r="BA25" i="16"/>
  <c r="BA24" i="16"/>
  <c r="BA23" i="16"/>
  <c r="BA20" i="16"/>
  <c r="BA19" i="16"/>
  <c r="BA18" i="16"/>
  <c r="BA17" i="16"/>
  <c r="BA15" i="16"/>
  <c r="BA14" i="16"/>
  <c r="BA13" i="16"/>
  <c r="BA12" i="16"/>
  <c r="BA11" i="16"/>
  <c r="BA8" i="16"/>
  <c r="BA10" i="16"/>
  <c r="BA9" i="16"/>
  <c r="AJ273" i="16"/>
  <c r="AM216" i="16"/>
  <c r="BB216" i="16" s="1"/>
  <c r="AM215" i="16"/>
  <c r="AM214" i="16"/>
  <c r="AM213" i="16"/>
  <c r="AM212" i="16"/>
  <c r="AM210" i="16"/>
  <c r="AM207" i="16"/>
  <c r="AM204" i="16"/>
  <c r="AM201" i="16"/>
  <c r="AM196" i="16"/>
  <c r="AM195" i="16"/>
  <c r="AM194" i="16"/>
  <c r="AM190" i="16"/>
  <c r="AM188" i="16"/>
  <c r="AM186" i="16"/>
  <c r="AM184" i="16"/>
  <c r="AM179" i="16"/>
  <c r="AM178" i="16"/>
  <c r="AM174" i="16"/>
  <c r="AM173" i="16"/>
  <c r="AM171" i="16"/>
  <c r="AM167" i="16"/>
  <c r="AM165" i="16"/>
  <c r="AM164" i="16"/>
  <c r="AM162" i="16"/>
  <c r="AM159" i="16"/>
  <c r="AM158" i="16"/>
  <c r="AM156" i="16"/>
  <c r="AM154" i="16"/>
  <c r="AM152" i="16"/>
  <c r="AM151" i="16"/>
  <c r="AM150" i="16"/>
  <c r="AM148" i="16"/>
  <c r="AM147" i="16"/>
  <c r="AM142" i="16"/>
  <c r="AM140" i="16"/>
  <c r="AM138" i="16"/>
  <c r="AM134" i="16"/>
  <c r="AM133" i="16"/>
  <c r="AM132" i="16"/>
  <c r="AM129" i="16"/>
  <c r="AM128" i="16"/>
  <c r="AM124" i="16"/>
  <c r="AM121" i="16"/>
  <c r="AM120" i="16"/>
  <c r="AM119" i="16"/>
  <c r="AM118" i="16"/>
  <c r="AM117" i="16"/>
  <c r="AM115" i="16"/>
  <c r="AM114" i="16"/>
  <c r="AM113" i="16"/>
  <c r="AM111" i="16"/>
  <c r="AM109" i="16"/>
  <c r="AM107" i="16"/>
  <c r="AM104" i="16"/>
  <c r="AM101" i="16"/>
  <c r="AM98" i="16"/>
  <c r="AM97" i="16"/>
  <c r="AM93" i="16"/>
  <c r="AM90" i="16"/>
  <c r="AM88" i="16"/>
  <c r="AM87" i="16"/>
  <c r="AM84" i="16"/>
  <c r="AM83" i="16"/>
  <c r="AM82" i="16"/>
  <c r="AM77" i="16"/>
  <c r="AM74" i="16"/>
  <c r="AM72" i="16"/>
  <c r="AM71" i="16"/>
  <c r="AM70" i="16"/>
  <c r="AM65" i="16"/>
  <c r="AM63" i="16"/>
  <c r="AM62" i="16"/>
  <c r="AM58" i="16"/>
  <c r="AM54" i="16"/>
  <c r="AM51" i="16"/>
  <c r="AM49" i="16"/>
  <c r="AM46" i="16"/>
  <c r="AM45" i="16"/>
  <c r="AM43" i="16"/>
  <c r="AM41" i="16"/>
  <c r="AM39" i="16"/>
  <c r="AM38" i="16"/>
  <c r="AM37" i="16"/>
  <c r="AM36" i="16"/>
  <c r="AM35" i="16"/>
  <c r="AM33" i="16"/>
  <c r="AM32" i="16"/>
  <c r="AM30" i="16"/>
  <c r="AM28" i="16"/>
  <c r="AM27" i="16"/>
  <c r="AM26" i="16"/>
  <c r="AM25" i="16"/>
  <c r="AM23" i="16"/>
  <c r="AM18" i="16"/>
  <c r="AM15" i="16"/>
  <c r="AM14" i="16"/>
  <c r="AM12" i="16"/>
  <c r="AM11" i="16"/>
  <c r="AM8" i="16"/>
  <c r="AK224" i="16"/>
  <c r="AH287" i="16"/>
  <c r="AX283" i="16"/>
  <c r="AX281" i="16"/>
  <c r="AU281" i="16"/>
  <c r="AU282" i="16" s="1"/>
  <c r="BB278" i="16"/>
  <c r="BG277" i="16"/>
  <c r="BA277" i="16"/>
  <c r="AY277" i="16"/>
  <c r="AW277" i="16"/>
  <c r="AV277" i="16"/>
  <c r="AT277" i="16"/>
  <c r="AR277" i="16"/>
  <c r="AQ277" i="16"/>
  <c r="AP277" i="16"/>
  <c r="AO277" i="16"/>
  <c r="AN277" i="16"/>
  <c r="AM277" i="16"/>
  <c r="BB277" i="16" s="1"/>
  <c r="BB276" i="16"/>
  <c r="BG275" i="16"/>
  <c r="BA275" i="16"/>
  <c r="AY275" i="16"/>
  <c r="AW275" i="16"/>
  <c r="AV275" i="16"/>
  <c r="AS275" i="16"/>
  <c r="AR275" i="16"/>
  <c r="AQ275" i="16"/>
  <c r="AP275" i="16"/>
  <c r="AO275" i="16"/>
  <c r="AN275" i="16"/>
  <c r="AM275" i="16"/>
  <c r="BB275" i="16"/>
  <c r="BB274" i="16"/>
  <c r="BG273" i="16"/>
  <c r="BA273" i="16"/>
  <c r="AY273" i="16"/>
  <c r="AW273" i="16"/>
  <c r="AV273" i="16"/>
  <c r="AT273" i="16"/>
  <c r="AS273" i="16"/>
  <c r="AR273" i="16"/>
  <c r="AQ273" i="16"/>
  <c r="AP273" i="16"/>
  <c r="AO273" i="16"/>
  <c r="AN273" i="16"/>
  <c r="AM273" i="16"/>
  <c r="BB273" i="16" s="1"/>
  <c r="BB272" i="16"/>
  <c r="BG271" i="16"/>
  <c r="AJ270" i="16"/>
  <c r="AI270" i="16"/>
  <c r="AH270" i="16"/>
  <c r="AG270" i="16"/>
  <c r="AF270" i="16"/>
  <c r="AE270" i="16"/>
  <c r="AD270" i="16"/>
  <c r="AB270" i="16"/>
  <c r="AA270" i="16"/>
  <c r="AJ269" i="16"/>
  <c r="AI269" i="16"/>
  <c r="AH269" i="16"/>
  <c r="AG269" i="16"/>
  <c r="AF269" i="16"/>
  <c r="AF271" i="16"/>
  <c r="AF273" i="16" s="1"/>
  <c r="AE269" i="16"/>
  <c r="AD269" i="16"/>
  <c r="AC269" i="16"/>
  <c r="AB269" i="16"/>
  <c r="AA269" i="16"/>
  <c r="AJ268" i="16"/>
  <c r="AJ276" i="16" s="1"/>
  <c r="AI268" i="16"/>
  <c r="AI271" i="16"/>
  <c r="AH268" i="16"/>
  <c r="AG268" i="16"/>
  <c r="AG271" i="16"/>
  <c r="AG273" i="16" s="1"/>
  <c r="AF268" i="16"/>
  <c r="AE268" i="16"/>
  <c r="AD268" i="16"/>
  <c r="AD271" i="16" s="1"/>
  <c r="AD273" i="16" s="1"/>
  <c r="AC268" i="16"/>
  <c r="AA268" i="16"/>
  <c r="AA271" i="16" s="1"/>
  <c r="AA273" i="16" s="1"/>
  <c r="AW267" i="16"/>
  <c r="AI266" i="16"/>
  <c r="AH266" i="16"/>
  <c r="AG266" i="16"/>
  <c r="AF266" i="16"/>
  <c r="AE266" i="16"/>
  <c r="AD266" i="16"/>
  <c r="AC266" i="16"/>
  <c r="AB266" i="16"/>
  <c r="AA266" i="16"/>
  <c r="BA262" i="16"/>
  <c r="AY262" i="16"/>
  <c r="AW262" i="16"/>
  <c r="AV262" i="16"/>
  <c r="AT262" i="16"/>
  <c r="AS262" i="16"/>
  <c r="AQ262" i="16"/>
  <c r="AP262" i="16"/>
  <c r="AO262" i="16"/>
  <c r="AN262" i="16"/>
  <c r="AM262" i="16"/>
  <c r="AO261" i="16"/>
  <c r="BA260" i="16"/>
  <c r="BA261" i="16"/>
  <c r="AY260" i="16"/>
  <c r="AY261" i="16" s="1"/>
  <c r="AW260" i="16"/>
  <c r="AW261" i="16"/>
  <c r="AV260" i="16"/>
  <c r="AV261" i="16"/>
  <c r="AT260" i="16"/>
  <c r="AT261" i="16"/>
  <c r="AS260" i="16"/>
  <c r="AS261" i="16" s="1"/>
  <c r="AR260" i="16"/>
  <c r="AR261" i="16"/>
  <c r="AQ260" i="16"/>
  <c r="AQ261" i="16"/>
  <c r="AP260" i="16"/>
  <c r="AP261" i="16"/>
  <c r="AN260" i="16"/>
  <c r="AM260" i="16"/>
  <c r="AM261" i="16" s="1"/>
  <c r="BA259" i="16"/>
  <c r="AW259" i="16"/>
  <c r="AV259" i="16"/>
  <c r="AT259" i="16"/>
  <c r="AR259" i="16"/>
  <c r="AM259" i="16"/>
  <c r="BA258" i="16"/>
  <c r="AW258" i="16"/>
  <c r="AT258" i="16"/>
  <c r="AN258" i="16"/>
  <c r="BA257" i="16"/>
  <c r="BA267" i="16" s="1"/>
  <c r="AY257" i="16"/>
  <c r="AY267" i="16" s="1"/>
  <c r="AV257" i="16"/>
  <c r="AV267" i="16" s="1"/>
  <c r="AT257" i="16"/>
  <c r="AT267" i="16" s="1"/>
  <c r="AS257" i="16"/>
  <c r="AS267" i="16" s="1"/>
  <c r="AR257" i="16"/>
  <c r="AR267" i="16" s="1"/>
  <c r="AQ257" i="16"/>
  <c r="AQ267" i="16" s="1"/>
  <c r="AP257" i="16"/>
  <c r="AO257" i="16"/>
  <c r="AO267" i="16" s="1"/>
  <c r="AN257" i="16"/>
  <c r="AN267" i="16" s="1"/>
  <c r="AM257" i="16"/>
  <c r="BF256" i="16"/>
  <c r="BB256" i="16"/>
  <c r="BA255" i="16"/>
  <c r="AY255" i="16"/>
  <c r="AW255" i="16"/>
  <c r="AV255" i="16"/>
  <c r="AT255" i="16"/>
  <c r="AS255" i="16"/>
  <c r="AR255" i="16"/>
  <c r="AQ255" i="16"/>
  <c r="AP255" i="16"/>
  <c r="AO255" i="16"/>
  <c r="AN255" i="16"/>
  <c r="AM255" i="16"/>
  <c r="BA254" i="16"/>
  <c r="AY254" i="16"/>
  <c r="AW254" i="16"/>
  <c r="AV254" i="16"/>
  <c r="AT254" i="16"/>
  <c r="AS254" i="16"/>
  <c r="AR254" i="16"/>
  <c r="AQ254" i="16"/>
  <c r="AP254" i="16"/>
  <c r="AO254" i="16"/>
  <c r="AN254" i="16"/>
  <c r="AM254" i="16"/>
  <c r="BA253" i="16"/>
  <c r="AY253" i="16"/>
  <c r="AW253" i="16"/>
  <c r="AV253" i="16"/>
  <c r="AT253" i="16"/>
  <c r="AS253" i="16"/>
  <c r="AR253" i="16"/>
  <c r="AQ253" i="16"/>
  <c r="AP253" i="16"/>
  <c r="AO253" i="16"/>
  <c r="AN253" i="16"/>
  <c r="AM253" i="16"/>
  <c r="BA252" i="16"/>
  <c r="AY252" i="16"/>
  <c r="AW252" i="16"/>
  <c r="AV252" i="16"/>
  <c r="AT252" i="16"/>
  <c r="AS252" i="16"/>
  <c r="AQ252" i="16"/>
  <c r="AP252" i="16"/>
  <c r="AN252" i="16"/>
  <c r="AM252" i="16"/>
  <c r="BB251" i="16"/>
  <c r="BB250" i="16"/>
  <c r="BA249" i="16"/>
  <c r="AY249" i="16"/>
  <c r="AW249" i="16"/>
  <c r="AV249" i="16"/>
  <c r="AT249" i="16"/>
  <c r="AS249" i="16"/>
  <c r="AR249" i="16"/>
  <c r="AQ249" i="16"/>
  <c r="AP249" i="16"/>
  <c r="AO249" i="16"/>
  <c r="AN249" i="16"/>
  <c r="AM249" i="16"/>
  <c r="BA248" i="16"/>
  <c r="AY248" i="16"/>
  <c r="AW248" i="16"/>
  <c r="AV248" i="16"/>
  <c r="AT248" i="16"/>
  <c r="AS248" i="16"/>
  <c r="AR248" i="16"/>
  <c r="AQ248" i="16"/>
  <c r="AP248" i="16"/>
  <c r="AO248" i="16"/>
  <c r="AN248" i="16"/>
  <c r="AM248" i="16"/>
  <c r="BA247" i="16"/>
  <c r="AY247" i="16"/>
  <c r="AW247" i="16"/>
  <c r="AV247" i="16"/>
  <c r="AT247" i="16"/>
  <c r="AS247" i="16"/>
  <c r="AR247" i="16"/>
  <c r="AQ247" i="16"/>
  <c r="BB247" i="16" s="1"/>
  <c r="AP247" i="16"/>
  <c r="AO247" i="16"/>
  <c r="AN247" i="16"/>
  <c r="AM247" i="16"/>
  <c r="BA246" i="16"/>
  <c r="AY246" i="16"/>
  <c r="AW246" i="16"/>
  <c r="AS246" i="16"/>
  <c r="AR246" i="16"/>
  <c r="AQ246" i="16"/>
  <c r="AP246" i="16"/>
  <c r="AO246" i="16"/>
  <c r="AN246" i="16"/>
  <c r="AM246" i="16"/>
  <c r="BA245" i="16"/>
  <c r="AY245" i="16"/>
  <c r="AR245" i="16"/>
  <c r="AP245" i="16"/>
  <c r="AO245" i="16"/>
  <c r="AN245" i="16"/>
  <c r="BA244" i="16"/>
  <c r="AY244" i="16"/>
  <c r="AW244" i="16"/>
  <c r="AV244" i="16"/>
  <c r="AT244" i="16"/>
  <c r="AS244" i="16"/>
  <c r="AR244" i="16"/>
  <c r="AQ244" i="16"/>
  <c r="AP244" i="16"/>
  <c r="AO244" i="16"/>
  <c r="AN244" i="16"/>
  <c r="AM244" i="16"/>
  <c r="BA243" i="16"/>
  <c r="AY243" i="16"/>
  <c r="AW243" i="16"/>
  <c r="AV243" i="16"/>
  <c r="AT243" i="16"/>
  <c r="AS243" i="16"/>
  <c r="AR243" i="16"/>
  <c r="AQ243" i="16"/>
  <c r="AP243" i="16"/>
  <c r="AO243" i="16"/>
  <c r="AM243" i="16"/>
  <c r="AB243" i="16"/>
  <c r="AA243" i="16"/>
  <c r="Z243" i="16"/>
  <c r="Y243" i="16"/>
  <c r="X243" i="16"/>
  <c r="W243" i="16"/>
  <c r="P243" i="16"/>
  <c r="BA242" i="16"/>
  <c r="AY242" i="16"/>
  <c r="AW242" i="16"/>
  <c r="AV242" i="16"/>
  <c r="AT242" i="16"/>
  <c r="AS242" i="16"/>
  <c r="AR242" i="16"/>
  <c r="AQ242" i="16"/>
  <c r="AP242" i="16"/>
  <c r="AO242" i="16"/>
  <c r="AN242" i="16"/>
  <c r="AM242" i="16"/>
  <c r="AB242" i="16"/>
  <c r="AA242" i="16"/>
  <c r="Z242" i="16"/>
  <c r="Y242" i="16"/>
  <c r="X242" i="16"/>
  <c r="W242" i="16"/>
  <c r="W244" i="16" s="1"/>
  <c r="P242" i="16"/>
  <c r="E242" i="16"/>
  <c r="BA241" i="16"/>
  <c r="AY241" i="16"/>
  <c r="AW241" i="16"/>
  <c r="AV241" i="16"/>
  <c r="AT241" i="16"/>
  <c r="AS241" i="16"/>
  <c r="AR241" i="16"/>
  <c r="AQ241" i="16"/>
  <c r="AP241" i="16"/>
  <c r="AO241" i="16"/>
  <c r="AN241" i="16"/>
  <c r="AM241" i="16"/>
  <c r="AA240" i="16"/>
  <c r="Y240" i="16"/>
  <c r="Y244" i="16" s="1"/>
  <c r="X240" i="16"/>
  <c r="W240" i="16"/>
  <c r="P240" i="16"/>
  <c r="P244" i="16" s="1"/>
  <c r="E240" i="16"/>
  <c r="AS239" i="16"/>
  <c r="AR239" i="16"/>
  <c r="AQ239" i="16"/>
  <c r="AP239" i="16"/>
  <c r="AO239" i="16"/>
  <c r="AN239" i="16"/>
  <c r="AM239" i="16"/>
  <c r="AB239" i="16"/>
  <c r="AA239" i="16"/>
  <c r="Z239" i="16"/>
  <c r="Y239" i="16"/>
  <c r="X239" i="16"/>
  <c r="W239" i="16"/>
  <c r="P239" i="16"/>
  <c r="E239" i="16"/>
  <c r="BC238" i="16"/>
  <c r="BA238" i="16"/>
  <c r="AY238" i="16"/>
  <c r="AW238" i="16"/>
  <c r="AV238" i="16"/>
  <c r="AT238" i="16"/>
  <c r="AS238" i="16"/>
  <c r="AR238" i="16"/>
  <c r="AQ238" i="16"/>
  <c r="AP238" i="16"/>
  <c r="AO238" i="16"/>
  <c r="AN238" i="16"/>
  <c r="AM238" i="16"/>
  <c r="BB237" i="16"/>
  <c r="BB236" i="16"/>
  <c r="BB235" i="16"/>
  <c r="BA234" i="16"/>
  <c r="AY234" i="16"/>
  <c r="AW234" i="16"/>
  <c r="AV234" i="16"/>
  <c r="AT234" i="16"/>
  <c r="AS234" i="16"/>
  <c r="AR234" i="16"/>
  <c r="AQ234" i="16"/>
  <c r="AP234" i="16"/>
  <c r="AO234" i="16"/>
  <c r="AN234" i="16"/>
  <c r="AM234" i="16"/>
  <c r="BB233" i="16"/>
  <c r="BC232" i="16"/>
  <c r="AR232" i="16"/>
  <c r="AQ232" i="16"/>
  <c r="AP232" i="16"/>
  <c r="AO232" i="16"/>
  <c r="AN232" i="16"/>
  <c r="AM232" i="16"/>
  <c r="AP231" i="16"/>
  <c r="AO231" i="16"/>
  <c r="AN231" i="16"/>
  <c r="AM231" i="16"/>
  <c r="AT230" i="16"/>
  <c r="AS230" i="16"/>
  <c r="AR230" i="16"/>
  <c r="AQ230" i="16"/>
  <c r="AO230" i="16"/>
  <c r="AN230" i="16"/>
  <c r="AM230" i="16"/>
  <c r="AZ224" i="16"/>
  <c r="AZ282" i="16" s="1"/>
  <c r="AX224" i="16"/>
  <c r="AX282" i="16" s="1"/>
  <c r="AU224" i="16"/>
  <c r="AJ224" i="16"/>
  <c r="AI224" i="16"/>
  <c r="AH224" i="16"/>
  <c r="AG224" i="16"/>
  <c r="AF224" i="16"/>
  <c r="AE224" i="16"/>
  <c r="AD224" i="16"/>
  <c r="AA224" i="16"/>
  <c r="Y224" i="16"/>
  <c r="X224" i="16"/>
  <c r="W224" i="16"/>
  <c r="BE223" i="16"/>
  <c r="V218" i="16"/>
  <c r="BD218" i="16"/>
  <c r="BE218" i="16" s="1"/>
  <c r="V217" i="16"/>
  <c r="BD217" i="16" s="1"/>
  <c r="BE217" i="16" s="1"/>
  <c r="V216" i="16"/>
  <c r="BD216" i="16"/>
  <c r="V215" i="16"/>
  <c r="BD215" i="16"/>
  <c r="V214" i="16"/>
  <c r="BD214" i="16" s="1"/>
  <c r="V213" i="16"/>
  <c r="BD213" i="16"/>
  <c r="V212" i="16"/>
  <c r="BD212" i="16"/>
  <c r="V211" i="16"/>
  <c r="BD211" i="16"/>
  <c r="V210" i="16"/>
  <c r="BD210" i="16" s="1"/>
  <c r="V204" i="16"/>
  <c r="V203" i="16"/>
  <c r="BD203" i="16" s="1"/>
  <c r="V201" i="16"/>
  <c r="BD201" i="16" s="1"/>
  <c r="V200" i="16"/>
  <c r="BD200" i="16" s="1"/>
  <c r="V199" i="16"/>
  <c r="BD199" i="16" s="1"/>
  <c r="V198" i="16"/>
  <c r="BD198" i="16" s="1"/>
  <c r="V197" i="16"/>
  <c r="BD197" i="16" s="1"/>
  <c r="V196" i="16"/>
  <c r="BD196" i="16" s="1"/>
  <c r="V195" i="16"/>
  <c r="BD195" i="16" s="1"/>
  <c r="V194" i="16"/>
  <c r="BD194" i="16" s="1"/>
  <c r="V193" i="16"/>
  <c r="BD193" i="16" s="1"/>
  <c r="V192" i="16"/>
  <c r="BD192" i="16" s="1"/>
  <c r="V191" i="16"/>
  <c r="BD191" i="16" s="1"/>
  <c r="V190" i="16"/>
  <c r="BD190" i="16" s="1"/>
  <c r="V188" i="16"/>
  <c r="BD188" i="16" s="1"/>
  <c r="V187" i="16"/>
  <c r="BD187" i="16" s="1"/>
  <c r="V186" i="16"/>
  <c r="BD186" i="16" s="1"/>
  <c r="V185" i="16"/>
  <c r="BD185" i="16" s="1"/>
  <c r="V184" i="16"/>
  <c r="BD184" i="16" s="1"/>
  <c r="V183" i="16"/>
  <c r="BD183" i="16" s="1"/>
  <c r="AC182" i="16"/>
  <c r="E243" i="16" s="1"/>
  <c r="V182" i="16"/>
  <c r="BD182" i="16" s="1"/>
  <c r="V181" i="16"/>
  <c r="V180" i="16"/>
  <c r="BD180" i="16"/>
  <c r="V179" i="16"/>
  <c r="BD179" i="16" s="1"/>
  <c r="V178" i="16"/>
  <c r="BD178" i="16"/>
  <c r="V177" i="16"/>
  <c r="BD177" i="16"/>
  <c r="V176" i="16"/>
  <c r="BD176" i="16"/>
  <c r="V175" i="16"/>
  <c r="BD175" i="16" s="1"/>
  <c r="V174" i="16"/>
  <c r="BD174" i="16"/>
  <c r="V173" i="16"/>
  <c r="BD173" i="16"/>
  <c r="V172" i="16"/>
  <c r="V171" i="16"/>
  <c r="BD171" i="16" s="1"/>
  <c r="V170" i="16"/>
  <c r="BD170" i="16" s="1"/>
  <c r="V169" i="16"/>
  <c r="BD169" i="16" s="1"/>
  <c r="V168" i="16"/>
  <c r="BD168" i="16" s="1"/>
  <c r="V167" i="16"/>
  <c r="BD167" i="16" s="1"/>
  <c r="V166" i="16"/>
  <c r="BD166" i="16" s="1"/>
  <c r="V165" i="16"/>
  <c r="BD165" i="16" s="1"/>
  <c r="V164" i="16"/>
  <c r="BD164" i="16" s="1"/>
  <c r="V162" i="16"/>
  <c r="BD162" i="16" s="1"/>
  <c r="V161" i="16"/>
  <c r="BD161" i="16" s="1"/>
  <c r="V160" i="16"/>
  <c r="BD160" i="16" s="1"/>
  <c r="V159" i="16"/>
  <c r="BD159" i="16" s="1"/>
  <c r="V158" i="16"/>
  <c r="BD158" i="16" s="1"/>
  <c r="V157" i="16"/>
  <c r="BD157" i="16" s="1"/>
  <c r="V156" i="16"/>
  <c r="V155" i="16"/>
  <c r="V154" i="16"/>
  <c r="V153" i="16"/>
  <c r="BD153" i="16"/>
  <c r="V152" i="16"/>
  <c r="V151" i="16"/>
  <c r="BD151" i="16" s="1"/>
  <c r="V150" i="16"/>
  <c r="BD150" i="16" s="1"/>
  <c r="V149" i="16"/>
  <c r="BD149" i="16" s="1"/>
  <c r="AB147" i="16"/>
  <c r="Z147" i="16"/>
  <c r="V147" i="16"/>
  <c r="BD147" i="16" s="1"/>
  <c r="V146" i="16"/>
  <c r="BD146" i="16" s="1"/>
  <c r="V145" i="16"/>
  <c r="BD145" i="16" s="1"/>
  <c r="V144" i="16"/>
  <c r="BD144" i="16" s="1"/>
  <c r="V143" i="16"/>
  <c r="BD143" i="16" s="1"/>
  <c r="V140" i="16"/>
  <c r="BD140" i="16" s="1"/>
  <c r="V139" i="16"/>
  <c r="BD139" i="16" s="1"/>
  <c r="V138" i="16"/>
  <c r="BD138" i="16" s="1"/>
  <c r="V135" i="16"/>
  <c r="BD135" i="16" s="1"/>
  <c r="V134" i="16"/>
  <c r="BD134" i="16" s="1"/>
  <c r="V133" i="16"/>
  <c r="BD133" i="16" s="1"/>
  <c r="V132" i="16"/>
  <c r="BD132" i="16" s="1"/>
  <c r="V131" i="16"/>
  <c r="BD131" i="16" s="1"/>
  <c r="V130" i="16"/>
  <c r="BD130" i="16" s="1"/>
  <c r="V129" i="16"/>
  <c r="V128" i="16"/>
  <c r="BD128" i="16"/>
  <c r="V127" i="16"/>
  <c r="BD127" i="16" s="1"/>
  <c r="V126" i="16"/>
  <c r="BD126" i="16"/>
  <c r="V125" i="16"/>
  <c r="BD125" i="16"/>
  <c r="V124" i="16"/>
  <c r="BD124" i="16"/>
  <c r="V123" i="16"/>
  <c r="BD123" i="16" s="1"/>
  <c r="V122" i="16"/>
  <c r="BD122" i="16"/>
  <c r="V121" i="16"/>
  <c r="BD121" i="16"/>
  <c r="V120" i="16"/>
  <c r="BD120" i="16"/>
  <c r="V119" i="16"/>
  <c r="BD119" i="16" s="1"/>
  <c r="V118" i="16"/>
  <c r="BD118" i="16"/>
  <c r="V117" i="16"/>
  <c r="BD117" i="16"/>
  <c r="V116" i="16"/>
  <c r="BD116" i="16"/>
  <c r="V115" i="16"/>
  <c r="BD115" i="16" s="1"/>
  <c r="V114" i="16"/>
  <c r="BD114" i="16"/>
  <c r="V113" i="16"/>
  <c r="BD113" i="16"/>
  <c r="V112" i="16"/>
  <c r="BD112" i="16"/>
  <c r="V111" i="16"/>
  <c r="BD111" i="16" s="1"/>
  <c r="V110" i="16"/>
  <c r="BD110" i="16"/>
  <c r="V109" i="16"/>
  <c r="BD109" i="16"/>
  <c r="V108" i="16"/>
  <c r="BD108" i="16"/>
  <c r="V107" i="16"/>
  <c r="BD107" i="16" s="1"/>
  <c r="V106" i="16"/>
  <c r="BD106" i="16"/>
  <c r="V105" i="16"/>
  <c r="BD105" i="16"/>
  <c r="V104" i="16"/>
  <c r="BD104" i="16" s="1"/>
  <c r="V103" i="16"/>
  <c r="BD103" i="16" s="1"/>
  <c r="V102" i="16"/>
  <c r="BD102" i="16"/>
  <c r="V101" i="16"/>
  <c r="BD101" i="16"/>
  <c r="V100" i="16"/>
  <c r="BD100" i="16" s="1"/>
  <c r="V99" i="16"/>
  <c r="BD99" i="16" s="1"/>
  <c r="V98" i="16"/>
  <c r="BD98" i="16"/>
  <c r="V97" i="16"/>
  <c r="BD97" i="16"/>
  <c r="V96" i="16"/>
  <c r="BD96" i="16" s="1"/>
  <c r="V95" i="16"/>
  <c r="BD95" i="16" s="1"/>
  <c r="V94" i="16"/>
  <c r="BD94" i="16"/>
  <c r="V93" i="16"/>
  <c r="BD93" i="16"/>
  <c r="BE93" i="16" s="1"/>
  <c r="V91" i="16"/>
  <c r="BD91" i="16" s="1"/>
  <c r="V90" i="16"/>
  <c r="BD90" i="16" s="1"/>
  <c r="BB89" i="16"/>
  <c r="V88" i="16"/>
  <c r="BD88" i="16" s="1"/>
  <c r="V87" i="16"/>
  <c r="BD87" i="16" s="1"/>
  <c r="V86" i="16"/>
  <c r="BD86" i="16" s="1"/>
  <c r="V85" i="16"/>
  <c r="BD85" i="16" s="1"/>
  <c r="V84" i="16"/>
  <c r="V83" i="16"/>
  <c r="BD83" i="16"/>
  <c r="V82" i="16"/>
  <c r="BD82" i="16" s="1"/>
  <c r="V80" i="16"/>
  <c r="BD80" i="16"/>
  <c r="V77" i="16"/>
  <c r="BD77" i="16"/>
  <c r="V76" i="16"/>
  <c r="BD76" i="16" s="1"/>
  <c r="V75" i="16"/>
  <c r="BD75" i="16" s="1"/>
  <c r="V74" i="16"/>
  <c r="BD74" i="16"/>
  <c r="V73" i="16"/>
  <c r="BD73" i="16"/>
  <c r="V72" i="16"/>
  <c r="BD72" i="16"/>
  <c r="BE72" i="16" s="1"/>
  <c r="V71" i="16"/>
  <c r="BD71" i="16" s="1"/>
  <c r="V70" i="16"/>
  <c r="BD70" i="16" s="1"/>
  <c r="V69" i="16"/>
  <c r="BD69" i="16"/>
  <c r="V68" i="16"/>
  <c r="BD68" i="16" s="1"/>
  <c r="V67" i="16"/>
  <c r="BD67" i="16" s="1"/>
  <c r="V66" i="16"/>
  <c r="BD66" i="16" s="1"/>
  <c r="V65" i="16"/>
  <c r="BD65" i="16"/>
  <c r="V64" i="16"/>
  <c r="BD64" i="16"/>
  <c r="V63" i="16"/>
  <c r="BD63" i="16" s="1"/>
  <c r="V62" i="16"/>
  <c r="BD62" i="16"/>
  <c r="V61" i="16"/>
  <c r="BD61" i="16"/>
  <c r="V59" i="16"/>
  <c r="BD59" i="16" s="1"/>
  <c r="V58" i="16"/>
  <c r="V55" i="16"/>
  <c r="BD55" i="16" s="1"/>
  <c r="V54" i="16"/>
  <c r="BD54" i="16" s="1"/>
  <c r="V53" i="16"/>
  <c r="BD53" i="16" s="1"/>
  <c r="V52" i="16"/>
  <c r="BD52" i="16" s="1"/>
  <c r="V51" i="16"/>
  <c r="BD51" i="16"/>
  <c r="V50" i="16"/>
  <c r="BD50" i="16" s="1"/>
  <c r="V49" i="16"/>
  <c r="BD49" i="16" s="1"/>
  <c r="V48" i="16"/>
  <c r="BD48" i="16"/>
  <c r="V47" i="16"/>
  <c r="BD47" i="16"/>
  <c r="V46" i="16"/>
  <c r="BD46" i="16"/>
  <c r="V45" i="16"/>
  <c r="BD45" i="16" s="1"/>
  <c r="V44" i="16"/>
  <c r="BD44" i="16" s="1"/>
  <c r="V43" i="16"/>
  <c r="BD43" i="16"/>
  <c r="V42" i="16"/>
  <c r="BD42" i="16"/>
  <c r="V41" i="16"/>
  <c r="BD41" i="16" s="1"/>
  <c r="V40" i="16"/>
  <c r="BD40" i="16" s="1"/>
  <c r="BE40" i="16" s="1"/>
  <c r="V39" i="16"/>
  <c r="BD39" i="16"/>
  <c r="V38" i="16"/>
  <c r="BD38" i="16"/>
  <c r="V37" i="16"/>
  <c r="BD37" i="16" s="1"/>
  <c r="BE37" i="16"/>
  <c r="V36" i="16"/>
  <c r="BD36" i="16" s="1"/>
  <c r="V35" i="16"/>
  <c r="BD35" i="16" s="1"/>
  <c r="V34" i="16"/>
  <c r="BD34" i="16" s="1"/>
  <c r="V33" i="16"/>
  <c r="BD33" i="16"/>
  <c r="V32" i="16"/>
  <c r="BD32" i="16" s="1"/>
  <c r="V31" i="16"/>
  <c r="BD31" i="16" s="1"/>
  <c r="V30" i="16"/>
  <c r="BD30" i="16" s="1"/>
  <c r="V29" i="16"/>
  <c r="BD29" i="16" s="1"/>
  <c r="V28" i="16"/>
  <c r="BD28" i="16"/>
  <c r="V27" i="16"/>
  <c r="BD27" i="16" s="1"/>
  <c r="V26" i="16"/>
  <c r="V25" i="16"/>
  <c r="BD25" i="16"/>
  <c r="V24" i="16"/>
  <c r="BD24" i="16" s="1"/>
  <c r="V23" i="16"/>
  <c r="BD23" i="16"/>
  <c r="V20" i="16"/>
  <c r="BD20" i="16" s="1"/>
  <c r="V19" i="16"/>
  <c r="BD19" i="16"/>
  <c r="V18" i="16"/>
  <c r="BD18" i="16"/>
  <c r="V17" i="16"/>
  <c r="BD17" i="16" s="1"/>
  <c r="V15" i="16"/>
  <c r="BD15" i="16" s="1"/>
  <c r="BE15" i="16" s="1"/>
  <c r="V14" i="16"/>
  <c r="BD14" i="16" s="1"/>
  <c r="V13" i="16"/>
  <c r="BD13" i="16"/>
  <c r="V12" i="16"/>
  <c r="BD12" i="16"/>
  <c r="BE12" i="16" s="1"/>
  <c r="V10" i="16"/>
  <c r="BD10" i="16" s="1"/>
  <c r="V9" i="16"/>
  <c r="BD9" i="16"/>
  <c r="V8" i="16"/>
  <c r="BD8" i="16"/>
  <c r="AX231" i="16"/>
  <c r="AM42" i="16"/>
  <c r="AM13" i="16"/>
  <c r="AM91" i="16"/>
  <c r="AM105" i="16"/>
  <c r="AM208" i="16"/>
  <c r="AM47" i="16"/>
  <c r="AM85" i="16"/>
  <c r="AM127" i="16"/>
  <c r="AM19" i="16"/>
  <c r="BI79" i="16"/>
  <c r="AM177" i="16"/>
  <c r="AM53" i="16"/>
  <c r="AM61" i="16"/>
  <c r="AM130" i="16"/>
  <c r="AM149" i="16"/>
  <c r="BB149" i="16" s="1"/>
  <c r="AM176" i="16"/>
  <c r="AM203" i="16"/>
  <c r="BB203" i="16" s="1"/>
  <c r="BI203" i="16" s="1"/>
  <c r="AM116" i="16"/>
  <c r="AM95" i="16"/>
  <c r="AM20" i="16"/>
  <c r="BB20" i="16" s="1"/>
  <c r="BI20" i="16"/>
  <c r="AM191" i="16"/>
  <c r="BB191" i="16" s="1"/>
  <c r="BI191" i="16" s="1"/>
  <c r="AM24" i="16"/>
  <c r="AM193" i="16"/>
  <c r="AH271" i="16"/>
  <c r="AH273" i="16"/>
  <c r="BF260" i="16"/>
  <c r="AC270" i="16"/>
  <c r="AC271" i="16"/>
  <c r="AC273" i="16" s="1"/>
  <c r="BI81" i="16"/>
  <c r="AC224" i="16"/>
  <c r="BF259" i="16"/>
  <c r="BE181" i="16"/>
  <c r="BF262" i="16"/>
  <c r="BF258" i="16"/>
  <c r="BG274" i="16"/>
  <c r="BI155" i="16"/>
  <c r="BG218" i="16"/>
  <c r="AA244" i="16"/>
  <c r="BB246" i="16"/>
  <c r="BB259" i="16"/>
  <c r="BB252" i="16"/>
  <c r="BB254" i="16"/>
  <c r="AN261" i="16"/>
  <c r="BB261" i="16" s="1"/>
  <c r="AE271" i="16"/>
  <c r="AE273" i="16" s="1"/>
  <c r="BG276" i="16"/>
  <c r="BI16" i="16"/>
  <c r="BB249" i="16"/>
  <c r="BB241" i="16"/>
  <c r="BE163" i="16"/>
  <c r="E244" i="16"/>
  <c r="BI181" i="16"/>
  <c r="BB106" i="16"/>
  <c r="BI106" i="16"/>
  <c r="BE106" i="16"/>
  <c r="BI22" i="16"/>
  <c r="BI78" i="16"/>
  <c r="BI21" i="16"/>
  <c r="BI57" i="16"/>
  <c r="BG272" i="16"/>
  <c r="AB240" i="16"/>
  <c r="AB244" i="16"/>
  <c r="AB224" i="16"/>
  <c r="AB268" i="16"/>
  <c r="AB271" i="16"/>
  <c r="AB273" i="16" s="1"/>
  <c r="BI56" i="16"/>
  <c r="BI92" i="16"/>
  <c r="BB257" i="16"/>
  <c r="BB267" i="16" s="1"/>
  <c r="AM267" i="16"/>
  <c r="BI217" i="16"/>
  <c r="BB243" i="16"/>
  <c r="BB260" i="16"/>
  <c r="BI163" i="16"/>
  <c r="BE172" i="16"/>
  <c r="BI172" i="16"/>
  <c r="BF253" i="16"/>
  <c r="BB253" i="16"/>
  <c r="BB255" i="16"/>
  <c r="BF255" i="16"/>
  <c r="BB234" i="16"/>
  <c r="Z224" i="16"/>
  <c r="Z240" i="16"/>
  <c r="Z244" i="16"/>
  <c r="BB248" i="16"/>
  <c r="BB244" i="16"/>
  <c r="BB232" i="16"/>
  <c r="BD232" i="16"/>
  <c r="BB245" i="16"/>
  <c r="BB258" i="16"/>
  <c r="BF252" i="16"/>
  <c r="BF254" i="16"/>
  <c r="BB262" i="16"/>
  <c r="BB238" i="16"/>
  <c r="X244" i="16"/>
  <c r="BB242" i="16"/>
  <c r="AY231" i="16"/>
  <c r="AM145" i="16"/>
  <c r="AM153" i="16"/>
  <c r="AM199" i="16"/>
  <c r="AM94" i="16"/>
  <c r="AM144" i="16"/>
  <c r="BI11" i="16"/>
  <c r="AM185" i="16"/>
  <c r="AM183" i="16"/>
  <c r="AR213" i="16"/>
  <c r="BB213" i="16" s="1"/>
  <c r="BI213" i="16" s="1"/>
  <c r="AR211" i="16"/>
  <c r="AR210" i="16"/>
  <c r="AR207" i="16"/>
  <c r="BB207" i="16" s="1"/>
  <c r="AR206" i="16"/>
  <c r="AR205" i="16"/>
  <c r="BB205" i="16"/>
  <c r="BF205" i="16" s="1"/>
  <c r="BJ205" i="16" s="1"/>
  <c r="AR204" i="16"/>
  <c r="AR203" i="16"/>
  <c r="AR201" i="16"/>
  <c r="AR200" i="16"/>
  <c r="AR198" i="16"/>
  <c r="BB198" i="16" s="1"/>
  <c r="BI198" i="16" s="1"/>
  <c r="AR197" i="16"/>
  <c r="AR195" i="16"/>
  <c r="AR194" i="16"/>
  <c r="BB194" i="16" s="1"/>
  <c r="AR193" i="16"/>
  <c r="BB193" i="16" s="1"/>
  <c r="AR192" i="16"/>
  <c r="BB192" i="16" s="1"/>
  <c r="BE192" i="16" s="1"/>
  <c r="AR190" i="16"/>
  <c r="AR189" i="16"/>
  <c r="AR186" i="16"/>
  <c r="AR179" i="16"/>
  <c r="AR178" i="16"/>
  <c r="AR173" i="16"/>
  <c r="AR171" i="16"/>
  <c r="BB171" i="16"/>
  <c r="BE171" i="16" s="1"/>
  <c r="AR167" i="16"/>
  <c r="AR166" i="16"/>
  <c r="AR165" i="16"/>
  <c r="AR160" i="16"/>
  <c r="AR157" i="16"/>
  <c r="AR149" i="16"/>
  <c r="AR147" i="16"/>
  <c r="BB147" i="16"/>
  <c r="BF147" i="16" s="1"/>
  <c r="BJ147" i="16" s="1"/>
  <c r="AR94" i="16"/>
  <c r="AR141" i="16"/>
  <c r="AR140" i="16"/>
  <c r="BB140" i="16"/>
  <c r="AR139" i="16"/>
  <c r="BB139" i="16" s="1"/>
  <c r="AR138" i="16"/>
  <c r="AR136" i="16"/>
  <c r="AR134" i="16"/>
  <c r="AR130" i="16"/>
  <c r="AR128" i="16"/>
  <c r="BB128" i="16" s="1"/>
  <c r="AR122" i="16"/>
  <c r="AR119" i="16"/>
  <c r="AR116" i="16"/>
  <c r="AR115" i="16"/>
  <c r="AR107" i="16"/>
  <c r="BB107" i="16" s="1"/>
  <c r="BE107" i="16" s="1"/>
  <c r="AR105" i="16"/>
  <c r="BB105" i="16" s="1"/>
  <c r="AR103" i="16"/>
  <c r="AR101" i="16"/>
  <c r="AR100" i="16"/>
  <c r="BB100" i="16" s="1"/>
  <c r="AR91" i="16"/>
  <c r="AR90" i="16"/>
  <c r="AR87" i="16"/>
  <c r="AR86" i="16"/>
  <c r="AR85" i="16"/>
  <c r="AR83" i="16"/>
  <c r="AR82" i="16"/>
  <c r="AR77" i="16"/>
  <c r="BB77" i="16" s="1"/>
  <c r="BE77" i="16" s="1"/>
  <c r="AR75" i="16"/>
  <c r="BB75" i="16" s="1"/>
  <c r="BE75" i="16" s="1"/>
  <c r="AR73" i="16"/>
  <c r="AR68" i="16"/>
  <c r="AR67" i="16"/>
  <c r="AR66" i="16"/>
  <c r="AR65" i="16"/>
  <c r="BB65" i="16" s="1"/>
  <c r="AR64" i="16"/>
  <c r="AR62" i="16"/>
  <c r="BB62" i="16" s="1"/>
  <c r="AR60" i="16"/>
  <c r="AR54" i="16"/>
  <c r="AR50" i="16"/>
  <c r="AR49" i="16"/>
  <c r="AR48" i="16"/>
  <c r="AR47" i="16"/>
  <c r="AR46" i="16"/>
  <c r="AR45" i="16"/>
  <c r="AR42" i="16"/>
  <c r="AR41" i="16"/>
  <c r="BB41" i="16" s="1"/>
  <c r="AR40" i="16"/>
  <c r="AR39" i="16"/>
  <c r="BB39" i="16" s="1"/>
  <c r="BG39" i="16" s="1"/>
  <c r="AR38" i="16"/>
  <c r="BB38" i="16"/>
  <c r="BI38" i="16" s="1"/>
  <c r="BH38" i="16"/>
  <c r="AR37" i="16"/>
  <c r="BB37" i="16" s="1"/>
  <c r="AR34" i="16"/>
  <c r="AR33" i="16"/>
  <c r="AR32" i="16"/>
  <c r="AR31" i="16"/>
  <c r="AR30" i="16"/>
  <c r="BB30" i="16" s="1"/>
  <c r="BE30" i="16"/>
  <c r="AR29" i="16"/>
  <c r="AR20" i="16"/>
  <c r="AR19" i="16"/>
  <c r="AR17" i="16"/>
  <c r="AR14" i="16"/>
  <c r="BB14" i="16"/>
  <c r="AR13" i="16"/>
  <c r="AR10" i="16"/>
  <c r="BB10" i="16" s="1"/>
  <c r="BI10" i="16" s="1"/>
  <c r="AR8" i="16"/>
  <c r="AR146" i="16"/>
  <c r="AR151" i="16"/>
  <c r="AQ213" i="16"/>
  <c r="AQ211" i="16"/>
  <c r="AQ210" i="16"/>
  <c r="AQ208" i="16"/>
  <c r="AQ206" i="16"/>
  <c r="BB206" i="16"/>
  <c r="AQ203" i="16"/>
  <c r="AQ200" i="16"/>
  <c r="AQ197" i="16"/>
  <c r="BB197" i="16" s="1"/>
  <c r="BF197" i="16" s="1"/>
  <c r="BJ197" i="16" s="1"/>
  <c r="AQ196" i="16"/>
  <c r="BB196" i="16"/>
  <c r="BF196" i="16" s="1"/>
  <c r="BJ196" i="16" s="1"/>
  <c r="AQ195" i="16"/>
  <c r="AQ194" i="16"/>
  <c r="AQ192" i="16"/>
  <c r="AQ190" i="16"/>
  <c r="BB190" i="16"/>
  <c r="BE190" i="16" s="1"/>
  <c r="AQ189" i="16"/>
  <c r="BB189" i="16" s="1"/>
  <c r="AQ180" i="16"/>
  <c r="AQ179" i="16"/>
  <c r="BB179" i="16"/>
  <c r="AQ174" i="16"/>
  <c r="BB174" i="16" s="1"/>
  <c r="BG174" i="16" s="1"/>
  <c r="AQ169" i="16"/>
  <c r="BB169" i="16" s="1"/>
  <c r="BI169" i="16" s="1"/>
  <c r="AQ167" i="16"/>
  <c r="AQ166" i="16"/>
  <c r="AQ165" i="16"/>
  <c r="BB165" i="16" s="1"/>
  <c r="AQ164" i="16"/>
  <c r="BB164" i="16"/>
  <c r="BF164" i="16" s="1"/>
  <c r="AQ160" i="16"/>
  <c r="BB160" i="16" s="1"/>
  <c r="AQ157" i="16"/>
  <c r="AQ149" i="16"/>
  <c r="AQ141" i="16"/>
  <c r="AQ139" i="16"/>
  <c r="AQ137" i="16"/>
  <c r="BB137" i="16" s="1"/>
  <c r="BF137" i="16" s="1"/>
  <c r="AQ136" i="16"/>
  <c r="BH136" i="16"/>
  <c r="AQ134" i="16"/>
  <c r="BB134" i="16" s="1"/>
  <c r="AQ128" i="16"/>
  <c r="AQ122" i="16"/>
  <c r="BB122" i="16" s="1"/>
  <c r="AQ120" i="16"/>
  <c r="BB120" i="16" s="1"/>
  <c r="BG120" i="16" s="1"/>
  <c r="AQ116" i="16"/>
  <c r="BB116" i="16" s="1"/>
  <c r="BE116" i="16" s="1"/>
  <c r="AQ115" i="16"/>
  <c r="BB115" i="16" s="1"/>
  <c r="AQ114" i="16"/>
  <c r="BB114" i="16"/>
  <c r="BF114" i="16" s="1"/>
  <c r="AQ112" i="16"/>
  <c r="BB112" i="16" s="1"/>
  <c r="AQ109" i="16"/>
  <c r="BB109" i="16" s="1"/>
  <c r="AQ108" i="16"/>
  <c r="AQ105" i="16"/>
  <c r="AQ104" i="16"/>
  <c r="BB104" i="16" s="1"/>
  <c r="BF104" i="16" s="1"/>
  <c r="AQ103" i="16"/>
  <c r="BB103" i="16" s="1"/>
  <c r="AQ102" i="16"/>
  <c r="BB102" i="16"/>
  <c r="BE102" i="16" s="1"/>
  <c r="AQ100" i="16"/>
  <c r="AQ97" i="16"/>
  <c r="BB97" i="16"/>
  <c r="BE97" i="16" s="1"/>
  <c r="AQ93" i="16"/>
  <c r="BB93" i="16" s="1"/>
  <c r="AQ91" i="16"/>
  <c r="BB91" i="16" s="1"/>
  <c r="AQ90" i="16"/>
  <c r="BB90" i="16" s="1"/>
  <c r="AQ87" i="16"/>
  <c r="AQ86" i="16"/>
  <c r="AQ85" i="16"/>
  <c r="AQ83" i="16"/>
  <c r="BB83" i="16"/>
  <c r="AQ77" i="16"/>
  <c r="AQ74" i="16"/>
  <c r="AQ73" i="16"/>
  <c r="AQ72" i="16"/>
  <c r="AQ71" i="16"/>
  <c r="BB71" i="16" s="1"/>
  <c r="AQ69" i="16"/>
  <c r="AQ68" i="16"/>
  <c r="AQ67" i="16"/>
  <c r="AQ66" i="16"/>
  <c r="BB66" i="16" s="1"/>
  <c r="AQ64" i="16"/>
  <c r="AQ62" i="16"/>
  <c r="AQ60" i="16"/>
  <c r="BB60" i="16"/>
  <c r="AQ54" i="16"/>
  <c r="BB54" i="16" s="1"/>
  <c r="BG54" i="16" s="1"/>
  <c r="BF54" i="16"/>
  <c r="BJ54" i="16" s="1"/>
  <c r="AQ53" i="16"/>
  <c r="AQ51" i="16"/>
  <c r="AQ50" i="16"/>
  <c r="AQ48" i="16"/>
  <c r="AQ46" i="16"/>
  <c r="AQ45" i="16"/>
  <c r="BB45" i="16" s="1"/>
  <c r="AQ40" i="16"/>
  <c r="BB40" i="16" s="1"/>
  <c r="AQ35" i="16"/>
  <c r="AQ33" i="16"/>
  <c r="AQ32" i="16"/>
  <c r="AQ31" i="16"/>
  <c r="BB31" i="16"/>
  <c r="AQ29" i="16"/>
  <c r="AQ27" i="16"/>
  <c r="BB27" i="16" s="1"/>
  <c r="AQ25" i="16"/>
  <c r="BB25" i="16"/>
  <c r="BG25" i="16" s="1"/>
  <c r="AQ24" i="16"/>
  <c r="AQ20" i="16"/>
  <c r="AQ19" i="16"/>
  <c r="AQ18" i="16"/>
  <c r="BB18" i="16" s="1"/>
  <c r="BH18" i="16"/>
  <c r="AQ17" i="16"/>
  <c r="AQ13" i="16"/>
  <c r="BB13" i="16" s="1"/>
  <c r="BF13" i="16" s="1"/>
  <c r="AQ8" i="16"/>
  <c r="BB8" i="16" s="1"/>
  <c r="BG8" i="16" s="1"/>
  <c r="AR145" i="16"/>
  <c r="AR35" i="16"/>
  <c r="AQ34" i="16"/>
  <c r="BB34" i="16" s="1"/>
  <c r="AQ39" i="16"/>
  <c r="AQ186" i="16"/>
  <c r="AR63" i="16"/>
  <c r="BB63" i="16" s="1"/>
  <c r="AR72" i="16"/>
  <c r="AQ162" i="16"/>
  <c r="AQ119" i="16"/>
  <c r="BB119" i="16" s="1"/>
  <c r="AQ110" i="16"/>
  <c r="BB110" i="16" s="1"/>
  <c r="AQ10" i="16"/>
  <c r="AQ101" i="16"/>
  <c r="BB101" i="16"/>
  <c r="AQ201" i="16"/>
  <c r="AR27" i="16"/>
  <c r="AR162" i="16"/>
  <c r="AR108" i="16"/>
  <c r="AR191" i="16"/>
  <c r="AR208" i="16"/>
  <c r="AR150" i="16"/>
  <c r="AQ178" i="16"/>
  <c r="AQ184" i="16"/>
  <c r="BB184" i="16"/>
  <c r="BI184" i="16"/>
  <c r="AR61" i="16"/>
  <c r="AR69" i="16"/>
  <c r="BB69" i="16" s="1"/>
  <c r="AR80" i="16"/>
  <c r="BB80" i="16"/>
  <c r="BF80" i="16" s="1"/>
  <c r="BH80" i="16"/>
  <c r="AR99" i="16"/>
  <c r="AR104" i="16"/>
  <c r="AR164" i="16"/>
  <c r="AR180" i="16"/>
  <c r="AR187" i="16"/>
  <c r="AR125" i="16"/>
  <c r="AR24" i="16"/>
  <c r="BB24" i="16"/>
  <c r="AR51" i="16"/>
  <c r="AR93" i="16"/>
  <c r="AR112" i="16"/>
  <c r="AQ126" i="16"/>
  <c r="BB126" i="16" s="1"/>
  <c r="AQ94" i="16"/>
  <c r="BB94" i="16" s="1"/>
  <c r="AR143" i="16"/>
  <c r="AR144" i="16"/>
  <c r="AR161" i="16"/>
  <c r="AR95" i="16"/>
  <c r="AQ95" i="16"/>
  <c r="AQ161" i="16"/>
  <c r="AQ117" i="16"/>
  <c r="BB117" i="16" s="1"/>
  <c r="BI117" i="16" s="1"/>
  <c r="AQ99" i="16"/>
  <c r="BB99" i="16" s="1"/>
  <c r="BF99" i="16" s="1"/>
  <c r="BJ99" i="16" s="1"/>
  <c r="AQ82" i="16"/>
  <c r="BB82" i="16" s="1"/>
  <c r="AQ138" i="16"/>
  <c r="AQ59" i="16"/>
  <c r="BB59" i="16"/>
  <c r="AQ42" i="16"/>
  <c r="AQ47" i="16"/>
  <c r="AQ204" i="16"/>
  <c r="BB204" i="16" s="1"/>
  <c r="AQ187" i="16"/>
  <c r="BB187" i="16" s="1"/>
  <c r="AQ151" i="16"/>
  <c r="AQ173" i="16"/>
  <c r="AQ131" i="16"/>
  <c r="AQ96" i="16"/>
  <c r="AQ153" i="16"/>
  <c r="AQ185" i="16"/>
  <c r="AQ52" i="16"/>
  <c r="AQ159" i="16"/>
  <c r="BB159" i="16" s="1"/>
  <c r="AQ23" i="16"/>
  <c r="AQ207" i="16"/>
  <c r="AQ121" i="16"/>
  <c r="AQ150" i="16"/>
  <c r="AQ170" i="16"/>
  <c r="AQ70" i="16"/>
  <c r="AQ199" i="16"/>
  <c r="BB199" i="16" s="1"/>
  <c r="AQ44" i="16"/>
  <c r="AQ177" i="16"/>
  <c r="AQ183" i="16"/>
  <c r="AQ182" i="16"/>
  <c r="AQ281" i="16"/>
  <c r="AS144" i="16"/>
  <c r="AS145" i="16"/>
  <c r="AO153" i="16"/>
  <c r="AO185" i="16"/>
  <c r="AO175" i="16"/>
  <c r="AO94" i="16"/>
  <c r="AO127" i="16"/>
  <c r="AO182" i="16"/>
  <c r="AO52" i="16"/>
  <c r="AO70" i="16"/>
  <c r="BB70" i="16" s="1"/>
  <c r="AN144" i="16"/>
  <c r="AN176" i="16"/>
  <c r="AN161" i="16"/>
  <c r="AN175" i="16"/>
  <c r="AN185" i="16"/>
  <c r="AN153" i="16"/>
  <c r="AN145" i="16"/>
  <c r="AN127" i="16"/>
  <c r="AM52" i="16"/>
  <c r="BB52" i="16" s="1"/>
  <c r="AM182" i="16"/>
  <c r="AM125" i="16"/>
  <c r="BB125" i="16" s="1"/>
  <c r="BF125" i="16" s="1"/>
  <c r="BJ125" i="16" s="1"/>
  <c r="AM161" i="16"/>
  <c r="AM166" i="16"/>
  <c r="BB166" i="16"/>
  <c r="BF166" i="16" s="1"/>
  <c r="AM17" i="16"/>
  <c r="BB17" i="16" s="1"/>
  <c r="BI17" i="16" s="1"/>
  <c r="AM197" i="16"/>
  <c r="AM211" i="16"/>
  <c r="AM68" i="16"/>
  <c r="AO44" i="16"/>
  <c r="AO170" i="16"/>
  <c r="AO145" i="16"/>
  <c r="AO281" i="16"/>
  <c r="AO144" i="16"/>
  <c r="AN199" i="16"/>
  <c r="AN121" i="16"/>
  <c r="AN150" i="16"/>
  <c r="AM146" i="16"/>
  <c r="AM170" i="16"/>
  <c r="AM44" i="16"/>
  <c r="AN183" i="16"/>
  <c r="BB183" i="16" s="1"/>
  <c r="BE183" i="16" s="1"/>
  <c r="AM96" i="16"/>
  <c r="BB96" i="16" s="1"/>
  <c r="BI96" i="16" s="1"/>
  <c r="AM281" i="16"/>
  <c r="AN182" i="16"/>
  <c r="AN281" i="16"/>
  <c r="BH148" i="16"/>
  <c r="BH89" i="16"/>
  <c r="BH156" i="16"/>
  <c r="BI89" i="16"/>
  <c r="AT146" i="16"/>
  <c r="BB146" i="16" s="1"/>
  <c r="BG146" i="16" s="1"/>
  <c r="AS52" i="16"/>
  <c r="AS183" i="16"/>
  <c r="AS96" i="16"/>
  <c r="AS185" i="16"/>
  <c r="AS168" i="16"/>
  <c r="AT94" i="16"/>
  <c r="AT153" i="16"/>
  <c r="AT177" i="16"/>
  <c r="BB177" i="16" s="1"/>
  <c r="BG177" i="16" s="1"/>
  <c r="AS44" i="16"/>
  <c r="AS170" i="16"/>
  <c r="AS182" i="16"/>
  <c r="AS153" i="16"/>
  <c r="BB133" i="16"/>
  <c r="AS281" i="16"/>
  <c r="AT162" i="16"/>
  <c r="AT70" i="16"/>
  <c r="AT131" i="16"/>
  <c r="AV263" i="16"/>
  <c r="BH152" i="16"/>
  <c r="BH15" i="16"/>
  <c r="BH212" i="16"/>
  <c r="AT145" i="16"/>
  <c r="AT176" i="16"/>
  <c r="AT64" i="16"/>
  <c r="BB64" i="16" s="1"/>
  <c r="AT73" i="16"/>
  <c r="AT168" i="16"/>
  <c r="AT185" i="16"/>
  <c r="AT121" i="16"/>
  <c r="AT151" i="16"/>
  <c r="AT150" i="16"/>
  <c r="AT52" i="16"/>
  <c r="AT199" i="16"/>
  <c r="AT144" i="16"/>
  <c r="AT44" i="16"/>
  <c r="AT183" i="16"/>
  <c r="AT182" i="16"/>
  <c r="AT170" i="16"/>
  <c r="AT281" i="16"/>
  <c r="AW175" i="16"/>
  <c r="AW170" i="16"/>
  <c r="AW177" i="16"/>
  <c r="AW185" i="16"/>
  <c r="AW168" i="16"/>
  <c r="AW137" i="16"/>
  <c r="AW162" i="16"/>
  <c r="AW76" i="16"/>
  <c r="BB76" i="16" s="1"/>
  <c r="AW198" i="16"/>
  <c r="AW210" i="16"/>
  <c r="AW10" i="16"/>
  <c r="AW28" i="16"/>
  <c r="BB28" i="16" s="1"/>
  <c r="BF28" i="16" s="1"/>
  <c r="BJ28" i="16" s="1"/>
  <c r="AW62" i="16"/>
  <c r="AW45" i="16"/>
  <c r="AW70" i="16"/>
  <c r="AW123" i="16"/>
  <c r="AW199" i="16"/>
  <c r="AW121" i="16"/>
  <c r="BB121" i="16" s="1"/>
  <c r="BI121" i="16" s="1"/>
  <c r="AW144" i="16"/>
  <c r="AW52" i="16"/>
  <c r="AW183" i="16"/>
  <c r="AW182" i="16"/>
  <c r="AW281" i="16"/>
  <c r="AP224" i="16"/>
  <c r="AP240" i="16" s="1"/>
  <c r="AY176" i="16"/>
  <c r="AY96" i="16"/>
  <c r="AY168" i="16"/>
  <c r="AY170" i="16"/>
  <c r="AY131" i="16"/>
  <c r="BH131" i="16"/>
  <c r="AY153" i="16"/>
  <c r="AY185" i="16"/>
  <c r="AY177" i="16"/>
  <c r="AY52" i="16"/>
  <c r="AY183" i="16"/>
  <c r="AY182" i="16"/>
  <c r="AY44" i="16"/>
  <c r="BB118" i="16"/>
  <c r="BI118" i="16" s="1"/>
  <c r="BE118" i="16"/>
  <c r="BB152" i="16"/>
  <c r="BB49" i="16"/>
  <c r="BB154" i="16"/>
  <c r="BF154" i="16"/>
  <c r="BJ154" i="16" s="1"/>
  <c r="BB212" i="16"/>
  <c r="BF26" i="16"/>
  <c r="BJ26" i="16"/>
  <c r="BB111" i="16"/>
  <c r="BG111" i="16" s="1"/>
  <c r="BB173" i="16"/>
  <c r="BF173" i="16" s="1"/>
  <c r="BB113" i="16"/>
  <c r="BG113" i="16" s="1"/>
  <c r="BB124" i="16"/>
  <c r="BF124" i="16"/>
  <c r="BJ124" i="16"/>
  <c r="BB158" i="16"/>
  <c r="BB214" i="16"/>
  <c r="BB12" i="16"/>
  <c r="BI12" i="16" s="1"/>
  <c r="BB58" i="16"/>
  <c r="BB135" i="16"/>
  <c r="BG135" i="16" s="1"/>
  <c r="BH105" i="16"/>
  <c r="BB98" i="16"/>
  <c r="BF98" i="16" s="1"/>
  <c r="BJ98" i="16" s="1"/>
  <c r="BB129" i="16"/>
  <c r="BJ11" i="16"/>
  <c r="BC164" i="16"/>
  <c r="BH164" i="16" s="1"/>
  <c r="BC224" i="16"/>
  <c r="BI224" i="16" s="1"/>
  <c r="BA96" i="16"/>
  <c r="BA175" i="16"/>
  <c r="BA123" i="16"/>
  <c r="BA145" i="16"/>
  <c r="BA177" i="16"/>
  <c r="BA131" i="16"/>
  <c r="BA52" i="16"/>
  <c r="BA183" i="16"/>
  <c r="BA143" i="16"/>
  <c r="BB143" i="16" s="1"/>
  <c r="BA168" i="16"/>
  <c r="BA153" i="16"/>
  <c r="BB153" i="16" s="1"/>
  <c r="BA185" i="16"/>
  <c r="BA95" i="16"/>
  <c r="BB95" i="16"/>
  <c r="BA70" i="16"/>
  <c r="BH195" i="16"/>
  <c r="BB178" i="16"/>
  <c r="BI178" i="16" s="1"/>
  <c r="BA170" i="16"/>
  <c r="BA44" i="16"/>
  <c r="BF113" i="16"/>
  <c r="BJ113" i="16" s="1"/>
  <c r="BH120" i="16"/>
  <c r="BA144" i="16"/>
  <c r="BA182" i="16"/>
  <c r="BA281" i="16"/>
  <c r="BH34" i="16"/>
  <c r="BB67" i="16"/>
  <c r="BC171" i="16"/>
  <c r="BH171" i="16"/>
  <c r="BI37" i="16"/>
  <c r="BH173" i="16"/>
  <c r="BB132" i="16"/>
  <c r="BE132" i="16" s="1"/>
  <c r="BB142" i="16"/>
  <c r="BG142" i="16" s="1"/>
  <c r="BB215" i="16"/>
  <c r="BH63" i="16"/>
  <c r="BF129" i="16"/>
  <c r="BJ129" i="16" s="1"/>
  <c r="BF25" i="16"/>
  <c r="BJ25" i="16" s="1"/>
  <c r="BH25" i="16"/>
  <c r="BH102" i="16"/>
  <c r="BH37" i="16"/>
  <c r="BG59" i="16"/>
  <c r="BI59" i="16"/>
  <c r="BF216" i="16"/>
  <c r="BJ216" i="16"/>
  <c r="BH216" i="16"/>
  <c r="BH69" i="16"/>
  <c r="AP263" i="16"/>
  <c r="AP264" i="16" s="1"/>
  <c r="BB29" i="16"/>
  <c r="BG125" i="16"/>
  <c r="BF39" i="16"/>
  <c r="BJ39" i="16" s="1"/>
  <c r="BH174" i="16"/>
  <c r="BF59" i="16"/>
  <c r="BJ59" i="16" s="1"/>
  <c r="BH66" i="16"/>
  <c r="BH126" i="16"/>
  <c r="BG102" i="16"/>
  <c r="BF102" i="16"/>
  <c r="BJ102" i="16" s="1"/>
  <c r="BH40" i="16"/>
  <c r="BF106" i="16"/>
  <c r="BJ106" i="16"/>
  <c r="BG65" i="16"/>
  <c r="BG214" i="16"/>
  <c r="BH179" i="16"/>
  <c r="BB186" i="16"/>
  <c r="BB48" i="16"/>
  <c r="BF48" i="16" s="1"/>
  <c r="BJ48" i="16" s="1"/>
  <c r="BH115" i="16"/>
  <c r="BB157" i="16"/>
  <c r="BH157" i="16"/>
  <c r="BB51" i="16"/>
  <c r="BI51" i="16" s="1"/>
  <c r="BB43" i="16"/>
  <c r="BB202" i="16"/>
  <c r="BH202" i="16"/>
  <c r="BH77" i="16"/>
  <c r="BG89" i="16"/>
  <c r="AJ271" i="16"/>
  <c r="BH111" i="16"/>
  <c r="BI111" i="16"/>
  <c r="BI154" i="16"/>
  <c r="BG83" i="16"/>
  <c r="BG30" i="16"/>
  <c r="BH113" i="16"/>
  <c r="BH118" i="16"/>
  <c r="BJ36" i="16"/>
  <c r="BH140" i="16"/>
  <c r="BI202" i="16"/>
  <c r="BH43" i="16"/>
  <c r="BF9" i="16"/>
  <c r="BJ9" i="16"/>
  <c r="BH94" i="16"/>
  <c r="BH42" i="16"/>
  <c r="BG64" i="16"/>
  <c r="BH64" i="16"/>
  <c r="BI171" i="16"/>
  <c r="BH29" i="16"/>
  <c r="BF142" i="16"/>
  <c r="BJ142" i="16" s="1"/>
  <c r="AV264" i="16"/>
  <c r="BG9" i="16"/>
  <c r="BB144" i="16"/>
  <c r="BE144" i="16" s="1"/>
  <c r="BG190" i="16"/>
  <c r="BJ114" i="16"/>
  <c r="BE191" i="16"/>
  <c r="BH125" i="16"/>
  <c r="BI125" i="16"/>
  <c r="BE197" i="16"/>
  <c r="BH75" i="16"/>
  <c r="BB46" i="16"/>
  <c r="BE125" i="16"/>
  <c r="BB15" i="16"/>
  <c r="BG15" i="16" s="1"/>
  <c r="BB188" i="16"/>
  <c r="BF188" i="16" s="1"/>
  <c r="BE188" i="16"/>
  <c r="BB55" i="16"/>
  <c r="BB88" i="16"/>
  <c r="BB32" i="16"/>
  <c r="BI32" i="16" s="1"/>
  <c r="BE179" i="16"/>
  <c r="BB156" i="16"/>
  <c r="BF156" i="16" s="1"/>
  <c r="BI156" i="16"/>
  <c r="BB33" i="16"/>
  <c r="BE174" i="16"/>
  <c r="BH93" i="16"/>
  <c r="BJ164" i="16"/>
  <c r="BF178" i="16"/>
  <c r="BJ178" i="16" s="1"/>
  <c r="BE26" i="16"/>
  <c r="BF12" i="16"/>
  <c r="BJ12" i="16" s="1"/>
  <c r="BI124" i="16"/>
  <c r="BH133" i="16"/>
  <c r="AV240" i="16"/>
  <c r="AV282" i="16"/>
  <c r="BH12" i="16"/>
  <c r="BG147" i="16"/>
  <c r="BH184" i="16"/>
  <c r="BB208" i="16"/>
  <c r="BI208" i="16" s="1"/>
  <c r="BI75" i="16"/>
  <c r="BI13" i="16"/>
  <c r="BF134" i="16"/>
  <c r="BJ134" i="16" s="1"/>
  <c r="BB167" i="16"/>
  <c r="BI167" i="16"/>
  <c r="BB84" i="16"/>
  <c r="BB148" i="16"/>
  <c r="BG213" i="16"/>
  <c r="BG17" i="16"/>
  <c r="BJ156" i="16"/>
  <c r="BE156" i="16"/>
  <c r="BI54" i="16"/>
  <c r="BE54" i="16"/>
  <c r="BH99" i="16"/>
  <c r="BH88" i="16"/>
  <c r="BG55" i="16"/>
  <c r="BH188" i="16"/>
  <c r="BH197" i="16"/>
  <c r="BF15" i="16"/>
  <c r="BJ15" i="16" s="1"/>
  <c r="BI15" i="16"/>
  <c r="BH144" i="16"/>
  <c r="BH165" i="16"/>
  <c r="BI46" i="16"/>
  <c r="BF191" i="16"/>
  <c r="BJ191" i="16"/>
  <c r="BH52" i="16"/>
  <c r="BH87" i="16"/>
  <c r="BH208" i="16"/>
  <c r="BG148" i="16"/>
  <c r="BD224" i="16"/>
  <c r="BH134" i="16"/>
  <c r="BJ13" i="16"/>
  <c r="BH191" i="16"/>
  <c r="BG191" i="16"/>
  <c r="BH27" i="16"/>
  <c r="BH167" i="16"/>
  <c r="BH62" i="16"/>
  <c r="BH61" i="16"/>
  <c r="BH177" i="16"/>
  <c r="BH51" i="16"/>
  <c r="BG139" i="16"/>
  <c r="BG167" i="16"/>
  <c r="BF158" i="16"/>
  <c r="BJ158" i="16" s="1"/>
  <c r="BG158" i="16"/>
  <c r="BH201" i="16"/>
  <c r="BE203" i="16"/>
  <c r="BH95" i="16"/>
  <c r="BG143" i="16"/>
  <c r="BH143" i="16"/>
  <c r="BH10" i="16"/>
  <c r="BF202" i="16"/>
  <c r="BJ202" i="16"/>
  <c r="BH53" i="16"/>
  <c r="BH71" i="16"/>
  <c r="BH49" i="16"/>
  <c r="BI135" i="16"/>
  <c r="BH36" i="16"/>
  <c r="BI36" i="16"/>
  <c r="BG36" i="16"/>
  <c r="BH41" i="16"/>
  <c r="BH20" i="16"/>
  <c r="BG20" i="16"/>
  <c r="BF64" i="16"/>
  <c r="BJ64" i="16"/>
  <c r="AY224" i="16"/>
  <c r="BG126" i="16"/>
  <c r="BI126" i="16"/>
  <c r="BJ104" i="16"/>
  <c r="BB151" i="16"/>
  <c r="BH151" i="16"/>
  <c r="BB47" i="16"/>
  <c r="BG47" i="16" s="1"/>
  <c r="BB170" i="16"/>
  <c r="BE109" i="16"/>
  <c r="BF169" i="16"/>
  <c r="BJ169" i="16" s="1"/>
  <c r="BE169" i="16"/>
  <c r="BH211" i="16"/>
  <c r="BH14" i="16"/>
  <c r="BH178" i="16"/>
  <c r="AP282" i="16"/>
  <c r="BF63" i="16"/>
  <c r="BJ63" i="16" s="1"/>
  <c r="BH97" i="16"/>
  <c r="BI97" i="16"/>
  <c r="BH82" i="16"/>
  <c r="BI82" i="16"/>
  <c r="BG48" i="16"/>
  <c r="BG129" i="16"/>
  <c r="BG154" i="16"/>
  <c r="BE154" i="16"/>
  <c r="BG80" i="16"/>
  <c r="BE119" i="16"/>
  <c r="BI119" i="16"/>
  <c r="AW224" i="16"/>
  <c r="BG184" i="16"/>
  <c r="BH110" i="16"/>
  <c r="BH91" i="16"/>
  <c r="BG31" i="16"/>
  <c r="BB108" i="16"/>
  <c r="BF38" i="16"/>
  <c r="BJ38" i="16" s="1"/>
  <c r="BE122" i="16"/>
  <c r="BH122" i="16"/>
  <c r="BF30" i="16"/>
  <c r="BJ30" i="16" s="1"/>
  <c r="BF37" i="16"/>
  <c r="BJ37" i="16" s="1"/>
  <c r="BG37" i="16"/>
  <c r="BB180" i="16"/>
  <c r="BG180" i="16"/>
  <c r="BG116" i="16"/>
  <c r="BB86" i="16"/>
  <c r="BE86" i="16" s="1"/>
  <c r="BB138" i="16"/>
  <c r="BE98" i="16"/>
  <c r="BB72" i="16"/>
  <c r="BF72" i="16"/>
  <c r="BJ72" i="16" s="1"/>
  <c r="BF86" i="16"/>
  <c r="BJ86" i="16" s="1"/>
  <c r="AW264" i="16"/>
  <c r="BH28" i="16"/>
  <c r="BH44" i="16"/>
  <c r="BF47" i="16"/>
  <c r="BJ47" i="16"/>
  <c r="BH47" i="16"/>
  <c r="BH185" i="16"/>
  <c r="BH103" i="16"/>
  <c r="BH175" i="16"/>
  <c r="BH108" i="16"/>
  <c r="BF108" i="16"/>
  <c r="BJ108" i="16" s="1"/>
  <c r="BH170" i="16"/>
  <c r="BH160" i="16"/>
  <c r="BF151" i="16"/>
  <c r="BJ151" i="16" s="1"/>
  <c r="BH210" i="16"/>
  <c r="BH72" i="16"/>
  <c r="BH70" i="16"/>
  <c r="BE148" i="16"/>
  <c r="BI148" i="16"/>
  <c r="BF148" i="16"/>
  <c r="BJ148" i="16" s="1"/>
  <c r="BI151" i="16"/>
  <c r="BH33" i="16"/>
  <c r="BH46" i="16"/>
  <c r="BH67" i="16"/>
  <c r="BH121" i="16"/>
  <c r="BJ188" i="16"/>
  <c r="BH199" i="16"/>
  <c r="BG118" i="16"/>
  <c r="BF118" i="16"/>
  <c r="BJ118" i="16" s="1"/>
  <c r="BH123" i="16"/>
  <c r="BE142" i="16"/>
  <c r="BG12" i="16"/>
  <c r="BE111" i="16"/>
  <c r="BF111" i="16"/>
  <c r="BJ111" i="16" s="1"/>
  <c r="AV231" i="16"/>
  <c r="BB85" i="16"/>
  <c r="BI85" i="16" s="1"/>
  <c r="BE149" i="16"/>
  <c r="AU231" i="16"/>
  <c r="BB231" i="16"/>
  <c r="BB130" i="16"/>
  <c r="AW231" i="16"/>
  <c r="BG216" i="16"/>
  <c r="BC225" i="16"/>
  <c r="AZ231" i="16"/>
  <c r="BA231" i="16"/>
  <c r="BB230" i="16"/>
  <c r="BH146" i="16"/>
  <c r="BE146" i="16"/>
  <c r="BH128" i="16"/>
  <c r="BG128" i="16"/>
  <c r="BI149" i="16"/>
  <c r="BF149" i="16"/>
  <c r="BJ149" i="16" s="1"/>
  <c r="BG149" i="16"/>
  <c r="BH149" i="16"/>
  <c r="BH183" i="16"/>
  <c r="BI112" i="16"/>
  <c r="BF112" i="16"/>
  <c r="BJ112" i="16" s="1"/>
  <c r="BH112" i="16"/>
  <c r="BH85" i="16"/>
  <c r="BH23" i="16"/>
  <c r="BH186" i="16"/>
  <c r="BH104" i="16"/>
  <c r="BI214" i="16"/>
  <c r="BH127" i="16"/>
  <c r="BI39" i="16"/>
  <c r="BH162" i="16"/>
  <c r="BH168" i="16"/>
  <c r="BH31" i="16"/>
  <c r="BH180" i="16"/>
  <c r="BH158" i="16"/>
  <c r="BH198" i="16"/>
  <c r="BI84" i="16"/>
  <c r="BI86" i="16"/>
  <c r="BI218" i="16"/>
  <c r="BI190" i="16"/>
  <c r="BH132" i="16"/>
  <c r="BH130" i="16"/>
  <c r="BI30" i="16"/>
  <c r="BH169" i="16"/>
  <c r="BH24" i="16"/>
  <c r="BH161" i="16"/>
  <c r="BH114" i="16"/>
  <c r="BI8" i="16"/>
  <c r="BH76" i="16"/>
  <c r="BI26" i="16"/>
  <c r="BI9" i="16"/>
  <c r="BH90" i="16"/>
  <c r="BH200" i="16"/>
  <c r="BH100" i="16"/>
  <c r="BH150" i="16"/>
  <c r="BH32" i="16"/>
  <c r="BI65" i="16"/>
  <c r="BH187" i="16"/>
  <c r="BH203" i="16"/>
  <c r="BI109" i="16"/>
  <c r="BH17" i="16"/>
  <c r="BI205" i="16"/>
  <c r="BI147" i="16"/>
  <c r="BI183" i="16"/>
  <c r="BF183" i="16"/>
  <c r="BJ183" i="16" s="1"/>
  <c r="BE166" i="16"/>
  <c r="BI166" i="16"/>
  <c r="BJ166" i="16"/>
  <c r="BG166" i="16"/>
  <c r="BF121" i="16"/>
  <c r="BJ121" i="16" s="1"/>
  <c r="BF170" i="16"/>
  <c r="BJ170" i="16" s="1"/>
  <c r="BI90" i="16"/>
  <c r="BE90" i="16"/>
  <c r="BG58" i="16"/>
  <c r="BE58" i="16"/>
  <c r="BG27" i="16"/>
  <c r="BF138" i="16"/>
  <c r="BJ138" i="16" s="1"/>
  <c r="BF58" i="16"/>
  <c r="BJ58" i="16" s="1"/>
  <c r="BI132" i="16"/>
  <c r="BF132" i="16"/>
  <c r="BJ132" i="16" s="1"/>
  <c r="BE96" i="16"/>
  <c r="BG96" i="16"/>
  <c r="BF93" i="16"/>
  <c r="BJ93" i="16" s="1"/>
  <c r="BG13" i="16"/>
  <c r="BI62" i="16"/>
  <c r="BE62" i="16"/>
  <c r="BG62" i="16"/>
  <c r="BF177" i="16"/>
  <c r="BJ177" i="16" s="1"/>
  <c r="BE173" i="16"/>
  <c r="BI173" i="16"/>
  <c r="BJ173" i="16"/>
  <c r="BG173" i="16"/>
  <c r="BE88" i="16"/>
  <c r="BG88" i="16"/>
  <c r="BF146" i="16"/>
  <c r="BJ146" i="16" s="1"/>
  <c r="BF180" i="16"/>
  <c r="BJ180" i="16" s="1"/>
  <c r="BI188" i="16"/>
  <c r="BI88" i="16"/>
  <c r="BG188" i="16"/>
  <c r="BF46" i="16"/>
  <c r="BJ46" i="16" s="1"/>
  <c r="BG46" i="16"/>
  <c r="BF159" i="16"/>
  <c r="BJ159" i="16" s="1"/>
  <c r="BG159" i="16"/>
  <c r="BI159" i="16"/>
  <c r="BI187" i="16"/>
  <c r="BE187" i="16"/>
  <c r="BF187" i="16"/>
  <c r="BJ187" i="16" s="1"/>
  <c r="BF82" i="16"/>
  <c r="BJ82" i="16"/>
  <c r="BE82" i="16"/>
  <c r="BG82" i="16"/>
  <c r="BI174" i="16"/>
  <c r="BF174" i="16"/>
  <c r="BJ174" i="16"/>
  <c r="BF171" i="16"/>
  <c r="BJ171" i="16" s="1"/>
  <c r="BG171" i="16"/>
  <c r="BE193" i="16"/>
  <c r="BF193" i="16"/>
  <c r="BJ193" i="16"/>
  <c r="BI193" i="16"/>
  <c r="AM224" i="16"/>
  <c r="AM240" i="16" s="1"/>
  <c r="BB19" i="16"/>
  <c r="BG19" i="16" s="1"/>
  <c r="BI72" i="16"/>
  <c r="BG72" i="16"/>
  <c r="BE108" i="16"/>
  <c r="BI199" i="16"/>
  <c r="AN224" i="16"/>
  <c r="AN263" i="16" s="1"/>
  <c r="BI24" i="16"/>
  <c r="BJ80" i="16"/>
  <c r="BI80" i="16"/>
  <c r="BG179" i="16"/>
  <c r="BE14" i="16"/>
  <c r="BG14" i="16"/>
  <c r="BE41" i="16"/>
  <c r="BF41" i="16"/>
  <c r="BJ41" i="16" s="1"/>
  <c r="BG41" i="16"/>
  <c r="BI41" i="16"/>
  <c r="BG107" i="16"/>
  <c r="BF107" i="16"/>
  <c r="BJ107" i="16" s="1"/>
  <c r="BI107" i="16"/>
  <c r="BI34" i="16"/>
  <c r="BE34" i="16"/>
  <c r="BE18" i="16"/>
  <c r="BI18" i="16"/>
  <c r="BI31" i="16"/>
  <c r="BE31" i="16"/>
  <c r="BF31" i="16"/>
  <c r="BJ31" i="16"/>
  <c r="BG157" i="16"/>
  <c r="BG75" i="16"/>
  <c r="BF75" i="16"/>
  <c r="BJ75" i="16" s="1"/>
  <c r="BI93" i="16"/>
  <c r="BG93" i="16"/>
  <c r="BE159" i="16"/>
  <c r="BI58" i="16"/>
  <c r="BF62" i="16"/>
  <c r="BJ62" i="16" s="1"/>
  <c r="BI197" i="16"/>
  <c r="BG187" i="16"/>
  <c r="BF71" i="16"/>
  <c r="BJ71" i="16" s="1"/>
  <c r="BF165" i="16"/>
  <c r="BJ165" i="16"/>
  <c r="BB44" i="16"/>
  <c r="BF44" i="16" s="1"/>
  <c r="BJ44" i="16" s="1"/>
  <c r="BF96" i="16"/>
  <c r="BJ96" i="16" s="1"/>
  <c r="BI146" i="16"/>
  <c r="BI116" i="16"/>
  <c r="BE13" i="16"/>
  <c r="BG132" i="16"/>
  <c r="BF88" i="16"/>
  <c r="BJ88" i="16" s="1"/>
  <c r="BG76" i="16"/>
  <c r="BE214" i="16"/>
  <c r="BF214" i="16"/>
  <c r="BJ214" i="16"/>
  <c r="BE51" i="16"/>
  <c r="BE216" i="16"/>
  <c r="BI216" i="16"/>
  <c r="BE158" i="16"/>
  <c r="BI158" i="16"/>
  <c r="BE49" i="16"/>
  <c r="BE117" i="16"/>
  <c r="BG117" i="16"/>
  <c r="BG45" i="16"/>
  <c r="BI45" i="16"/>
  <c r="BI142" i="16"/>
  <c r="BE103" i="16"/>
  <c r="BF208" i="16"/>
  <c r="BJ208" i="16"/>
  <c r="BF32" i="16"/>
  <c r="BJ32" i="16"/>
  <c r="BE186" i="16"/>
  <c r="BF117" i="16"/>
  <c r="BJ117" i="16" s="1"/>
  <c r="BB123" i="16"/>
  <c r="BE8" i="16"/>
  <c r="BE224" i="16" s="1"/>
  <c r="BF8" i="16"/>
  <c r="BJ8" i="16" s="1"/>
  <c r="BI40" i="16"/>
  <c r="BG40" i="16"/>
  <c r="BF40" i="16"/>
  <c r="BJ40" i="16"/>
  <c r="BI83" i="16"/>
  <c r="BG97" i="16"/>
  <c r="BF97" i="16"/>
  <c r="BJ97" i="16" s="1"/>
  <c r="BI120" i="16"/>
  <c r="BE120" i="16"/>
  <c r="BF120" i="16"/>
  <c r="BJ120" i="16" s="1"/>
  <c r="BF206" i="16"/>
  <c r="BI206" i="16"/>
  <c r="BE28" i="16"/>
  <c r="BI28" i="16"/>
  <c r="BF10" i="16"/>
  <c r="BJ10" i="16"/>
  <c r="BE113" i="16"/>
  <c r="BI212" i="16"/>
  <c r="AS224" i="16"/>
  <c r="AS263" i="16" s="1"/>
  <c r="BI25" i="16"/>
  <c r="BE25" i="16"/>
  <c r="BF89" i="16"/>
  <c r="BJ89" i="16" s="1"/>
  <c r="BE89" i="16"/>
  <c r="BG178" i="16"/>
  <c r="BE178" i="16"/>
  <c r="BE59" i="16"/>
  <c r="BB50" i="16"/>
  <c r="BG50" i="16" s="1"/>
  <c r="BI114" i="16"/>
  <c r="BB211" i="16"/>
  <c r="BF211" i="16" s="1"/>
  <c r="BJ211" i="16" s="1"/>
  <c r="BE104" i="16"/>
  <c r="BE147" i="16"/>
  <c r="BE47" i="16"/>
  <c r="BI47" i="16"/>
  <c r="BE36" i="16"/>
  <c r="BB150" i="16"/>
  <c r="BB141" i="16"/>
  <c r="BE196" i="16"/>
  <c r="BI196" i="16"/>
  <c r="BG211" i="16"/>
  <c r="BE123" i="16"/>
  <c r="BI70" i="16"/>
  <c r="AN282" i="16"/>
  <c r="AN240" i="16"/>
  <c r="BF91" i="16"/>
  <c r="BJ91" i="16"/>
  <c r="BF50" i="16"/>
  <c r="BJ50" i="16" s="1"/>
  <c r="BE50" i="16"/>
  <c r="BI50" i="16"/>
  <c r="BE44" i="16"/>
  <c r="BG44" i="16"/>
  <c r="BI44" i="16"/>
  <c r="BF19" i="16"/>
  <c r="BJ19" i="16" s="1"/>
  <c r="BE52" i="16"/>
  <c r="BI141" i="16"/>
  <c r="BF141" i="16"/>
  <c r="BJ141" i="16" s="1"/>
  <c r="BF105" i="16"/>
  <c r="BJ105" i="16" s="1"/>
  <c r="AS282" i="16"/>
  <c r="BI137" i="16"/>
  <c r="BH141" i="16"/>
  <c r="BJ137" i="16"/>
  <c r="BH137" i="16"/>
  <c r="AW34" i="21" l="1"/>
  <c r="AX34" i="21" s="1"/>
  <c r="AY34" i="21" s="1"/>
  <c r="AV39" i="21"/>
  <c r="AV136" i="21"/>
  <c r="AW136" i="21"/>
  <c r="AV180" i="21"/>
  <c r="AW180" i="21"/>
  <c r="AV112" i="21"/>
  <c r="AW112" i="21" s="1"/>
  <c r="AV118" i="21"/>
  <c r="AV114" i="21"/>
  <c r="AW118" i="21"/>
  <c r="AW185" i="21"/>
  <c r="AS198" i="21"/>
  <c r="AT152" i="21"/>
  <c r="AX160" i="21"/>
  <c r="AY160" i="21" s="1"/>
  <c r="AW87" i="21"/>
  <c r="AX87" i="21" s="1"/>
  <c r="AX195" i="21"/>
  <c r="AW195" i="21"/>
  <c r="AW194" i="21"/>
  <c r="BF153" i="16"/>
  <c r="BJ153" i="16" s="1"/>
  <c r="BG153" i="16"/>
  <c r="BI153" i="16"/>
  <c r="BE153" i="16"/>
  <c r="BG33" i="16"/>
  <c r="BF33" i="16"/>
  <c r="BJ33" i="16" s="1"/>
  <c r="BE33" i="16"/>
  <c r="BI33" i="16"/>
  <c r="BI95" i="16"/>
  <c r="BF95" i="16"/>
  <c r="BJ95" i="16" s="1"/>
  <c r="BG95" i="16"/>
  <c r="BE69" i="16"/>
  <c r="BI69" i="16"/>
  <c r="BF69" i="16"/>
  <c r="BJ69" i="16" s="1"/>
  <c r="BG66" i="16"/>
  <c r="BF66" i="16"/>
  <c r="BJ66" i="16" s="1"/>
  <c r="BF212" i="16"/>
  <c r="BJ212" i="16" s="1"/>
  <c r="BE212" i="16"/>
  <c r="BG52" i="16"/>
  <c r="BI52" i="16"/>
  <c r="BF52" i="16"/>
  <c r="BJ52" i="16" s="1"/>
  <c r="BE199" i="16"/>
  <c r="BF199" i="16"/>
  <c r="BJ199" i="16" s="1"/>
  <c r="BF204" i="16"/>
  <c r="BJ204" i="16" s="1"/>
  <c r="BI204" i="16"/>
  <c r="BI128" i="16"/>
  <c r="BF128" i="16"/>
  <c r="BJ128" i="16" s="1"/>
  <c r="BE128" i="16"/>
  <c r="BE110" i="16"/>
  <c r="BF110" i="16"/>
  <c r="BJ110" i="16" s="1"/>
  <c r="BG110" i="16"/>
  <c r="AS240" i="16"/>
  <c r="BJ206" i="16"/>
  <c r="BH206" i="16"/>
  <c r="AS264" i="16"/>
  <c r="BF85" i="16"/>
  <c r="BJ85" i="16" s="1"/>
  <c r="BE157" i="16"/>
  <c r="BF157" i="16"/>
  <c r="BJ157" i="16" s="1"/>
  <c r="BI157" i="16"/>
  <c r="AR224" i="16"/>
  <c r="AT224" i="16"/>
  <c r="BF70" i="16"/>
  <c r="BJ70" i="16" s="1"/>
  <c r="BE70" i="16"/>
  <c r="BG70" i="16"/>
  <c r="BB145" i="16"/>
  <c r="BF207" i="16"/>
  <c r="BJ207" i="16" s="1"/>
  <c r="BI207" i="16"/>
  <c r="BE85" i="16"/>
  <c r="BG144" i="16"/>
  <c r="BF144" i="16"/>
  <c r="BJ144" i="16" s="1"/>
  <c r="BI144" i="16"/>
  <c r="BI110" i="16"/>
  <c r="BI177" i="16"/>
  <c r="BE177" i="16"/>
  <c r="BE112" i="16"/>
  <c r="BG112" i="16"/>
  <c r="BE134" i="16"/>
  <c r="BG134" i="16"/>
  <c r="BI134" i="16"/>
  <c r="BG160" i="16"/>
  <c r="BI160" i="16"/>
  <c r="BF160" i="16"/>
  <c r="BJ160" i="16" s="1"/>
  <c r="BE160" i="16"/>
  <c r="BI179" i="16"/>
  <c r="BF179" i="16"/>
  <c r="BJ179" i="16" s="1"/>
  <c r="BG105" i="16"/>
  <c r="BI105" i="16"/>
  <c r="BE105" i="16"/>
  <c r="BF150" i="16"/>
  <c r="BJ150" i="16" s="1"/>
  <c r="BI150" i="16"/>
  <c r="BG150" i="16"/>
  <c r="BE150" i="16"/>
  <c r="AM282" i="16"/>
  <c r="AM263" i="16"/>
  <c r="AM264" i="16"/>
  <c r="BI138" i="16"/>
  <c r="BG138" i="16"/>
  <c r="BE138" i="16"/>
  <c r="BE170" i="16"/>
  <c r="BG170" i="16"/>
  <c r="BI170" i="16"/>
  <c r="BG84" i="16"/>
  <c r="BE84" i="16"/>
  <c r="BF84" i="16"/>
  <c r="BJ84" i="16" s="1"/>
  <c r="BG69" i="16"/>
  <c r="BG67" i="16"/>
  <c r="BE67" i="16"/>
  <c r="BF67" i="16"/>
  <c r="BJ67" i="16" s="1"/>
  <c r="BI67" i="16"/>
  <c r="BB281" i="16"/>
  <c r="BE63" i="16"/>
  <c r="BI63" i="16"/>
  <c r="BG63" i="16"/>
  <c r="BE27" i="16"/>
  <c r="BF27" i="16"/>
  <c r="BJ27" i="16" s="1"/>
  <c r="BI27" i="16"/>
  <c r="BE45" i="16"/>
  <c r="BF45" i="16"/>
  <c r="BJ45" i="16" s="1"/>
  <c r="BI60" i="16"/>
  <c r="BF60" i="16"/>
  <c r="BE71" i="16"/>
  <c r="BG71" i="16"/>
  <c r="BI71" i="16"/>
  <c r="BE94" i="16"/>
  <c r="BI94" i="16"/>
  <c r="BG94" i="16"/>
  <c r="BF94" i="16"/>
  <c r="BJ94" i="16" s="1"/>
  <c r="BF77" i="16"/>
  <c r="BJ77" i="16" s="1"/>
  <c r="BG77" i="16"/>
  <c r="BI77" i="16"/>
  <c r="BE19" i="16"/>
  <c r="BI19" i="16"/>
  <c r="BG130" i="16"/>
  <c r="BF130" i="16"/>
  <c r="BJ130" i="16" s="1"/>
  <c r="AY263" i="16"/>
  <c r="AY264" i="16"/>
  <c r="AY282" i="16"/>
  <c r="AY239" i="16"/>
  <c r="AY240" i="16" s="1"/>
  <c r="BG85" i="16"/>
  <c r="AW282" i="16"/>
  <c r="AW239" i="16"/>
  <c r="AW263" i="16"/>
  <c r="BF186" i="16"/>
  <c r="BJ186" i="16" s="1"/>
  <c r="BI186" i="16"/>
  <c r="BG186" i="16"/>
  <c r="BF215" i="16"/>
  <c r="BJ215" i="16" s="1"/>
  <c r="BE215" i="16"/>
  <c r="BI215" i="16"/>
  <c r="BG215" i="16"/>
  <c r="BE143" i="16"/>
  <c r="BF143" i="16"/>
  <c r="BJ143" i="16" s="1"/>
  <c r="BI143" i="16"/>
  <c r="BE152" i="16"/>
  <c r="BF152" i="16"/>
  <c r="BJ152" i="16" s="1"/>
  <c r="BG152" i="16"/>
  <c r="BI152" i="16"/>
  <c r="BI76" i="16"/>
  <c r="BE76" i="16"/>
  <c r="BF76" i="16"/>
  <c r="BJ76" i="16" s="1"/>
  <c r="BE24" i="16"/>
  <c r="BG24" i="16"/>
  <c r="BF24" i="16"/>
  <c r="BJ24" i="16" s="1"/>
  <c r="BI101" i="16"/>
  <c r="BF101" i="16"/>
  <c r="BJ101" i="16" s="1"/>
  <c r="BG101" i="16"/>
  <c r="BE101" i="16"/>
  <c r="BE194" i="16"/>
  <c r="BF194" i="16"/>
  <c r="BJ194" i="16" s="1"/>
  <c r="BI194" i="16"/>
  <c r="BI99" i="16"/>
  <c r="BG99" i="16"/>
  <c r="BE99" i="16"/>
  <c r="BF100" i="16"/>
  <c r="BJ100" i="16" s="1"/>
  <c r="BI100" i="16"/>
  <c r="BG100" i="16"/>
  <c r="BE100" i="16"/>
  <c r="BE66" i="16"/>
  <c r="BE95" i="16"/>
  <c r="BF29" i="16"/>
  <c r="BJ29" i="16" s="1"/>
  <c r="BG29" i="16"/>
  <c r="BI29" i="16"/>
  <c r="BE29" i="16"/>
  <c r="BB168" i="16"/>
  <c r="BG90" i="16"/>
  <c r="BF90" i="16"/>
  <c r="BJ90" i="16" s="1"/>
  <c r="BI103" i="16"/>
  <c r="BG103" i="16"/>
  <c r="BF103" i="16"/>
  <c r="BJ103" i="16" s="1"/>
  <c r="BE115" i="16"/>
  <c r="BF115" i="16"/>
  <c r="BJ115" i="16" s="1"/>
  <c r="BI115" i="16"/>
  <c r="BG115" i="16"/>
  <c r="BE165" i="16"/>
  <c r="BG165" i="16"/>
  <c r="BI165" i="16"/>
  <c r="BE211" i="16"/>
  <c r="BF198" i="16"/>
  <c r="BJ198" i="16" s="1"/>
  <c r="BE130" i="16"/>
  <c r="BI133" i="16"/>
  <c r="BG133" i="16"/>
  <c r="BE133" i="16"/>
  <c r="BF133" i="16"/>
  <c r="BJ133" i="16" s="1"/>
  <c r="AN264" i="16"/>
  <c r="BI211" i="16"/>
  <c r="BG212" i="16"/>
  <c r="BG123" i="16"/>
  <c r="BF123" i="16"/>
  <c r="BJ123" i="16" s="1"/>
  <c r="BI123" i="16"/>
  <c r="BG51" i="16"/>
  <c r="BI66" i="16"/>
  <c r="BI130" i="16"/>
  <c r="BI108" i="16"/>
  <c r="BG108" i="16"/>
  <c r="BE198" i="16"/>
  <c r="BF51" i="16"/>
  <c r="BJ51" i="16" s="1"/>
  <c r="BG43" i="16"/>
  <c r="BI43" i="16"/>
  <c r="BE43" i="16"/>
  <c r="BF43" i="16"/>
  <c r="BJ43" i="16" s="1"/>
  <c r="AQ224" i="16"/>
  <c r="BB23" i="16"/>
  <c r="BF34" i="16"/>
  <c r="BJ34" i="16" s="1"/>
  <c r="BG34" i="16"/>
  <c r="BG91" i="16"/>
  <c r="BE91" i="16"/>
  <c r="BI91" i="16"/>
  <c r="BE213" i="16"/>
  <c r="BE114" i="16"/>
  <c r="BI113" i="16"/>
  <c r="BE39" i="16"/>
  <c r="BF203" i="16"/>
  <c r="BJ203" i="16" s="1"/>
  <c r="BF116" i="16"/>
  <c r="BJ116" i="16" s="1"/>
  <c r="BI180" i="16"/>
  <c r="BE180" i="16"/>
  <c r="BF213" i="16"/>
  <c r="BJ213" i="16" s="1"/>
  <c r="BE124" i="16"/>
  <c r="BG124" i="16"/>
  <c r="BB200" i="16"/>
  <c r="BB185" i="16"/>
  <c r="BB176" i="16"/>
  <c r="BB42" i="16"/>
  <c r="BE32" i="16"/>
  <c r="BB161" i="16"/>
  <c r="BB175" i="16"/>
  <c r="BE184" i="16"/>
  <c r="BF184" i="16"/>
  <c r="BJ184" i="16" s="1"/>
  <c r="BB35" i="16"/>
  <c r="BB68" i="16"/>
  <c r="BE83" i="16"/>
  <c r="BF83" i="16"/>
  <c r="BJ83" i="16" s="1"/>
  <c r="BG122" i="16"/>
  <c r="BF122" i="16"/>
  <c r="BJ122" i="16" s="1"/>
  <c r="BI122" i="16"/>
  <c r="BB73" i="16"/>
  <c r="BE139" i="16"/>
  <c r="BI139" i="16"/>
  <c r="BF139" i="16"/>
  <c r="BJ139" i="16" s="1"/>
  <c r="BF261" i="16"/>
  <c r="BI98" i="16"/>
  <c r="BG98" i="16"/>
  <c r="BG119" i="16"/>
  <c r="BF119" i="16"/>
  <c r="BJ119" i="16" s="1"/>
  <c r="BF192" i="16"/>
  <c r="BJ192" i="16" s="1"/>
  <c r="BE46" i="16"/>
  <c r="BE135" i="16"/>
  <c r="BF135" i="16"/>
  <c r="BJ135" i="16" s="1"/>
  <c r="BB131" i="16"/>
  <c r="BE80" i="16"/>
  <c r="BG121" i="16"/>
  <c r="BG28" i="16"/>
  <c r="BE151" i="16"/>
  <c r="BG151" i="16"/>
  <c r="BF55" i="16"/>
  <c r="BJ55" i="16" s="1"/>
  <c r="BI55" i="16"/>
  <c r="BE55" i="16"/>
  <c r="BG114" i="16"/>
  <c r="BG104" i="16"/>
  <c r="BI48" i="16"/>
  <c r="BE48" i="16"/>
  <c r="BF49" i="16"/>
  <c r="BJ49" i="16" s="1"/>
  <c r="BG49" i="16"/>
  <c r="BI49" i="16"/>
  <c r="BI64" i="16"/>
  <c r="BE64" i="16"/>
  <c r="BF140" i="16"/>
  <c r="BJ140" i="16" s="1"/>
  <c r="BE140" i="16"/>
  <c r="BG140" i="16"/>
  <c r="BI140" i="16"/>
  <c r="BB127" i="16"/>
  <c r="AO224" i="16"/>
  <c r="BE10" i="16"/>
  <c r="BG10" i="16"/>
  <c r="BG224" i="16" s="1"/>
  <c r="BG38" i="16"/>
  <c r="BE38" i="16"/>
  <c r="BE20" i="16"/>
  <c r="BF20" i="16"/>
  <c r="BJ20" i="16" s="1"/>
  <c r="BI104" i="16"/>
  <c r="BF190" i="16"/>
  <c r="BJ190" i="16" s="1"/>
  <c r="BF17" i="16"/>
  <c r="BJ17" i="16" s="1"/>
  <c r="BI192" i="16"/>
  <c r="BE17" i="16"/>
  <c r="BE121" i="16"/>
  <c r="BB224" i="16"/>
  <c r="BI164" i="16"/>
  <c r="BF167" i="16"/>
  <c r="BJ167" i="16" s="1"/>
  <c r="BE167" i="16"/>
  <c r="BE164" i="16"/>
  <c r="BI102" i="16"/>
  <c r="BG164" i="16"/>
  <c r="BA224" i="16"/>
  <c r="BG18" i="16"/>
  <c r="BF18" i="16"/>
  <c r="BJ18" i="16" s="1"/>
  <c r="BB210" i="16"/>
  <c r="BF65" i="16"/>
  <c r="BJ65" i="16" s="1"/>
  <c r="BE65" i="16"/>
  <c r="BB53" i="16"/>
  <c r="BI189" i="16"/>
  <c r="BF189" i="16"/>
  <c r="BI14" i="16"/>
  <c r="BF14" i="16"/>
  <c r="BJ14" i="16" s="1"/>
  <c r="BG86" i="16"/>
  <c r="BG156" i="16"/>
  <c r="BI129" i="16"/>
  <c r="BE129" i="16"/>
  <c r="BB182" i="16"/>
  <c r="BF126" i="16"/>
  <c r="BJ126" i="16" s="1"/>
  <c r="BE126" i="16"/>
  <c r="BF109" i="16"/>
  <c r="BJ109" i="16" s="1"/>
  <c r="BG109" i="16"/>
  <c r="BB61" i="16"/>
  <c r="BB87" i="16"/>
  <c r="BF257" i="16"/>
  <c r="AP267" i="16"/>
  <c r="BB195" i="16"/>
  <c r="AI273" i="16"/>
  <c r="BB162" i="16"/>
  <c r="BB201" i="16"/>
  <c r="BE9" i="16"/>
  <c r="BB74" i="16"/>
  <c r="BB136" i="16"/>
  <c r="AY39" i="21" l="1"/>
  <c r="AX118" i="21"/>
  <c r="AY118" i="21" s="1"/>
  <c r="AX180" i="21"/>
  <c r="AY180" i="21" s="1"/>
  <c r="AX136" i="21"/>
  <c r="AY136" i="21" s="1"/>
  <c r="AW39" i="21"/>
  <c r="AX39" i="21"/>
  <c r="AX112" i="21"/>
  <c r="AY112" i="21" s="1"/>
  <c r="AW114" i="21"/>
  <c r="AX114" i="21" s="1"/>
  <c r="AX185" i="21"/>
  <c r="AY185" i="21" s="1"/>
  <c r="AT198" i="21"/>
  <c r="AU152" i="21"/>
  <c r="AY87" i="21"/>
  <c r="AY195" i="21"/>
  <c r="AX194" i="21"/>
  <c r="BA240" i="16"/>
  <c r="BA263" i="16"/>
  <c r="BA282" i="16"/>
  <c r="BA264" i="16"/>
  <c r="BE87" i="16"/>
  <c r="BG87" i="16"/>
  <c r="BI87" i="16"/>
  <c r="BF87" i="16"/>
  <c r="BJ87" i="16" s="1"/>
  <c r="BE182" i="16"/>
  <c r="BG182" i="16"/>
  <c r="BI182" i="16"/>
  <c r="BF182" i="16"/>
  <c r="BJ182" i="16" s="1"/>
  <c r="BF200" i="16"/>
  <c r="BJ200" i="16" s="1"/>
  <c r="BI200" i="16"/>
  <c r="BE200" i="16"/>
  <c r="BI201" i="16"/>
  <c r="BE201" i="16"/>
  <c r="BF201" i="16"/>
  <c r="BJ201" i="16" s="1"/>
  <c r="BI53" i="16"/>
  <c r="BE53" i="16"/>
  <c r="BG53" i="16"/>
  <c r="BF53" i="16"/>
  <c r="BJ53" i="16" s="1"/>
  <c r="BI175" i="16"/>
  <c r="BG175" i="16"/>
  <c r="BF175" i="16"/>
  <c r="BJ175" i="16" s="1"/>
  <c r="BE175" i="16"/>
  <c r="BI23" i="16"/>
  <c r="BE23" i="16"/>
  <c r="BF23" i="16"/>
  <c r="BJ23" i="16" s="1"/>
  <c r="BG23" i="16"/>
  <c r="BF168" i="16"/>
  <c r="BJ168" i="16" s="1"/>
  <c r="BI168" i="16"/>
  <c r="BG168" i="16"/>
  <c r="BE168" i="16"/>
  <c r="BJ60" i="16"/>
  <c r="BH60" i="16"/>
  <c r="BI145" i="16"/>
  <c r="BG145" i="16"/>
  <c r="BE145" i="16"/>
  <c r="BF145" i="16"/>
  <c r="BE74" i="16"/>
  <c r="BG74" i="16"/>
  <c r="BF74" i="16"/>
  <c r="BJ74" i="16" s="1"/>
  <c r="BI74" i="16"/>
  <c r="BJ189" i="16"/>
  <c r="BH189" i="16"/>
  <c r="BG162" i="16"/>
  <c r="BE162" i="16"/>
  <c r="BF162" i="16"/>
  <c r="BJ162" i="16" s="1"/>
  <c r="BI162" i="16"/>
  <c r="BG131" i="16"/>
  <c r="BE131" i="16"/>
  <c r="BI131" i="16"/>
  <c r="BF131" i="16"/>
  <c r="BJ131" i="16" s="1"/>
  <c r="BE161" i="16"/>
  <c r="BI161" i="16"/>
  <c r="BG161" i="16"/>
  <c r="BF161" i="16"/>
  <c r="BJ161" i="16" s="1"/>
  <c r="AQ282" i="16"/>
  <c r="AQ263" i="16"/>
  <c r="AQ264" i="16" s="1"/>
  <c r="AQ240" i="16"/>
  <c r="BF73" i="16"/>
  <c r="BJ73" i="16" s="1"/>
  <c r="BG73" i="16"/>
  <c r="BE73" i="16"/>
  <c r="BI73" i="16"/>
  <c r="BI185" i="16"/>
  <c r="BG185" i="16"/>
  <c r="BF185" i="16"/>
  <c r="BJ185" i="16" s="1"/>
  <c r="BE185" i="16"/>
  <c r="BE61" i="16"/>
  <c r="BG61" i="16"/>
  <c r="BF61" i="16"/>
  <c r="BJ61" i="16" s="1"/>
  <c r="BI61" i="16"/>
  <c r="AO263" i="16"/>
  <c r="AO264" i="16"/>
  <c r="AO282" i="16"/>
  <c r="BB282" i="16" s="1"/>
  <c r="AO240" i="16"/>
  <c r="AW240" i="16"/>
  <c r="BB239" i="16"/>
  <c r="BB263" i="16"/>
  <c r="BF263" i="16"/>
  <c r="BI195" i="16"/>
  <c r="BE195" i="16"/>
  <c r="BF195" i="16"/>
  <c r="BJ195" i="16" s="1"/>
  <c r="BG210" i="16"/>
  <c r="BF210" i="16"/>
  <c r="BJ210" i="16" s="1"/>
  <c r="BI210" i="16"/>
  <c r="BE210" i="16"/>
  <c r="BF127" i="16"/>
  <c r="BJ127" i="16" s="1"/>
  <c r="BS127" i="16"/>
  <c r="BE127" i="16"/>
  <c r="BI127" i="16"/>
  <c r="BG127" i="16"/>
  <c r="BB225" i="16"/>
  <c r="BF68" i="16"/>
  <c r="BJ68" i="16" s="1"/>
  <c r="BI68" i="16"/>
  <c r="BG68" i="16"/>
  <c r="BE68" i="16"/>
  <c r="BG42" i="16"/>
  <c r="BE42" i="16"/>
  <c r="BF42" i="16"/>
  <c r="BJ42" i="16" s="1"/>
  <c r="BI42" i="16"/>
  <c r="AT240" i="16"/>
  <c r="AT282" i="16"/>
  <c r="AT263" i="16"/>
  <c r="AT264" i="16"/>
  <c r="BF136" i="16"/>
  <c r="BJ136" i="16" s="1"/>
  <c r="BI136" i="16"/>
  <c r="BF225" i="16"/>
  <c r="BB264" i="16"/>
  <c r="AI287" i="16"/>
  <c r="BG35" i="16"/>
  <c r="BI35" i="16"/>
  <c r="BE35" i="16"/>
  <c r="BF35" i="16"/>
  <c r="BJ35" i="16" s="1"/>
  <c r="BF176" i="16"/>
  <c r="BJ176" i="16" s="1"/>
  <c r="BE176" i="16"/>
  <c r="BG176" i="16"/>
  <c r="BI176" i="16"/>
  <c r="BF224" i="16"/>
  <c r="BJ224" i="16" s="1"/>
  <c r="AR263" i="16"/>
  <c r="AR282" i="16"/>
  <c r="AR264" i="16"/>
  <c r="AR240" i="16"/>
  <c r="AY114" i="21" l="1"/>
  <c r="AU198" i="21"/>
  <c r="AV152" i="21"/>
  <c r="AV198" i="21" s="1"/>
  <c r="AW152" i="21"/>
  <c r="AW198" i="21" s="1"/>
  <c r="AY194" i="21"/>
  <c r="BB240" i="16"/>
  <c r="AI289" i="16"/>
  <c r="AI288" i="16"/>
  <c r="AI290" i="16" s="1"/>
  <c r="BK145" i="16"/>
  <c r="BK147" i="16" s="1"/>
  <c r="BJ145" i="16"/>
  <c r="AX152" i="21" l="1"/>
  <c r="AX198" i="21" s="1"/>
  <c r="AM288" i="16"/>
  <c r="AY152" i="21" l="1"/>
  <c r="AY198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Chin</author>
  </authors>
  <commentList>
    <comment ref="B21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Nancy Chin:</t>
        </r>
        <r>
          <rPr>
            <sz val="9"/>
            <color indexed="81"/>
            <rFont val="Tahoma"/>
            <family val="2"/>
          </rPr>
          <t xml:space="preserve">
INDIVIDUAL BILL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NChin</author>
    <author>nchin</author>
    <author>Nancy Chin</author>
  </authors>
  <commentList>
    <comment ref="L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NChin:</t>
        </r>
        <r>
          <rPr>
            <sz val="8"/>
            <color indexed="81"/>
            <rFont val="Tahoma"/>
            <family val="2"/>
          </rPr>
          <t xml:space="preserve">
ONLY LAST 5 YEARS OF SWO NO's SHOWN.  REST OF SWO NO's ARE IN FY05 SPREADSHEETS</t>
        </r>
      </text>
    </comment>
    <comment ref="M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NChin:</t>
        </r>
        <r>
          <rPr>
            <sz val="8"/>
            <color indexed="81"/>
            <rFont val="Tahoma"/>
            <family val="2"/>
          </rPr>
          <t xml:space="preserve">
ONLY LAST 5 YEARS OF SWO NO's SHOWN.  REST OF SWO NO's ARE IN FY05 SPREADSHEETS</t>
        </r>
      </text>
    </comment>
    <comment ref="AA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NChin:</t>
        </r>
        <r>
          <rPr>
            <sz val="8"/>
            <color indexed="81"/>
            <rFont val="Tahoma"/>
            <family val="2"/>
          </rPr>
          <t xml:space="preserve">
ONLY LAST 5 YEARS OF ACTUALS SHOWN.  PREVIOUS PRIOR YR ARE IN FY05 SPREADSHEETS</t>
        </r>
      </text>
    </comment>
    <comment ref="AB5" authorId="1" shapeId="0" xr:uid="{00000000-0006-0000-0000-000004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ONLY LAST 5 YEARS OF ACTUALS SHOWN.  PREVIOUS PRIOR YR ARE IN FY05 SPREADSHEETS</t>
        </r>
      </text>
    </comment>
    <comment ref="BD5" authorId="1" shapeId="0" xr:uid="{00000000-0006-0000-0000-000005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from FAMIS using Brio query SWO Matrix</t>
        </r>
      </text>
    </comment>
    <comment ref="BB1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10% admin overhead</t>
        </r>
      </text>
    </comment>
    <comment ref="BB25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FY14 SITE RECAPITALIZATION = $43,285.57 per CAROL FERN</t>
        </r>
      </text>
    </comment>
    <comment ref="AT32" authorId="1" shapeId="0" xr:uid="{00000000-0006-0000-0000-000008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ADJUSTED TEMP IRC2 CHILLER PLANT TO VIVIAN HALL CHILLER FOR DEC &amp; JAN</t>
        </r>
      </text>
    </comment>
    <comment ref="BA32" authorId="1" shapeId="0" xr:uid="{00000000-0006-0000-0000-000009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Correct #277.2 missing Dec charges
</t>
        </r>
      </text>
    </comment>
    <comment ref="C65" authorId="1" shapeId="0" xr:uid="{00000000-0006-0000-0000-00000A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was SCI Science Hall - until 2003</t>
        </r>
      </text>
    </comment>
    <comment ref="B106" authorId="2" shapeId="0" xr:uid="{00000000-0006-0000-0000-00000B000000}">
      <text>
        <r>
          <rPr>
            <b/>
            <sz val="8"/>
            <color indexed="81"/>
            <rFont val="Tahoma"/>
            <family val="2"/>
          </rPr>
          <t>Nancy Chin:</t>
        </r>
        <r>
          <rPr>
            <sz val="8"/>
            <color indexed="81"/>
            <rFont val="Tahoma"/>
            <family val="2"/>
          </rPr>
          <t xml:space="preserve">
ADD TO #332 UAC</t>
        </r>
      </text>
    </comment>
    <comment ref="BE112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ADMIN OVERHEAD</t>
        </r>
      </text>
    </comment>
    <comment ref="AW113" authorId="1" shapeId="0" xr:uid="{00000000-0006-0000-0000-00000D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REFER TO APR 12 SWO CORRECTIONS</t>
        </r>
      </text>
    </comment>
    <comment ref="BE114" authorId="1" shapeId="0" xr:uid="{00000000-0006-0000-0000-00000E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ALLOCATION % &lt; 100%. CHANGED 1/31/12</t>
        </r>
      </text>
    </comment>
    <comment ref="BE115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10% CELL SITE OVERHEAD</t>
        </r>
      </text>
    </comment>
    <comment ref="BE122" authorId="1" shapeId="0" xr:uid="{00000000-0006-0000-0000-000010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ADMIN OVERHEAD
</t>
        </r>
      </text>
    </comment>
    <comment ref="BE138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
</t>
        </r>
      </text>
    </comment>
    <comment ref="AV144" authorId="1" shapeId="0" xr:uid="{00000000-0006-0000-0000-000012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TO CORRECT ELECTRIC ALLOCATION</t>
        </r>
      </text>
    </comment>
    <comment ref="AT153" authorId="1" shapeId="0" xr:uid="{00000000-0006-0000-0000-000013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DELAYED ELECTRIC BILL ADD TO MAY</t>
        </r>
      </text>
    </comment>
    <comment ref="BE153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
</t>
        </r>
      </text>
    </comment>
    <comment ref="C155" authorId="1" shapeId="0" xr:uid="{00000000-0006-0000-0000-000015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IN FY07 CHARGE AUX FOR BOOKSTORE SPACE IN GALEN CENTER LET GIL KNOW.</t>
        </r>
      </text>
    </comment>
    <comment ref="AT168" authorId="1" shapeId="0" xr:uid="{00000000-0006-0000-0000-000016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MISSING JAN UPLOAD - CONTRACT DISCOUNT ONLY</t>
        </r>
      </text>
    </comment>
    <comment ref="AT177" authorId="1" shapeId="0" xr:uid="{00000000-0006-0000-0000-000017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UPLOAD #233 WITHOUT #289 WATER BILL - ADD TO MAY
</t>
        </r>
      </text>
    </comment>
    <comment ref="AC182" authorId="1" shapeId="0" xr:uid="{00000000-0006-0000-0000-000018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IN MAY PAID REAL PROPERTY CLOSING BILL IN ERROR &amp; JV'd BY EK ON 6/23/07</t>
        </r>
      </text>
    </comment>
    <comment ref="BE183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AT185" authorId="1" shapeId="0" xr:uid="{00000000-0006-0000-0000-00001A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UPLOAD #233 WITHOUT #289 BILL - ADD TO MAY</t>
        </r>
      </text>
    </comment>
    <comment ref="BE185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87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</t>
        </r>
      </text>
    </comment>
    <comment ref="BE190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
</t>
        </r>
      </text>
    </comment>
    <comment ref="BE191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5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6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8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20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5% ADM OVERHEAD</t>
        </r>
      </text>
    </comment>
    <comment ref="AJ207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per CAROL FERN'S 7/16/14 NEW CONSTRUCTION ADJUSTMENT IN ELECTRIC BILLING FOLDER</t>
        </r>
      </text>
    </comment>
    <comment ref="AJ208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per CAROL FERN'S 7/16/14 NEW CONSTRUCTION ADJUSTMENT IN ELECTRIC BILLING FOLDER</t>
        </r>
      </text>
    </comment>
    <comment ref="AR224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MISSING JEFF 6</t>
        </r>
      </text>
    </comment>
    <comment ref="AS224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REDUCE FOR JEFF1 EST IN JAN 2015; MISSING JEFF2 - DICK'S ESTIMATE  $385,197.34
</t>
        </r>
      </text>
    </comment>
    <comment ref="AT224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Nancy Chin:</t>
        </r>
        <r>
          <rPr>
            <sz val="9"/>
            <color indexed="81"/>
            <rFont val="Tahoma"/>
            <family val="2"/>
          </rPr>
          <t xml:space="preserve">
Dick's usc Biegler is $14,793.79 higher, Jeff 6 is ($21,27.96) and Jeff 5 is ($32.58)</t>
        </r>
      </text>
    </comment>
    <comment ref="AL22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SOURCE: ELECTRIC.ASR.TIE.DETAIL15</t>
        </r>
      </text>
    </comment>
    <comment ref="AL230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SOURCE: ELECTRIC.ASR.TIE.DETAIL15</t>
        </r>
      </text>
    </comment>
    <comment ref="BB235" authorId="1" shapeId="0" xr:uid="{00000000-0006-0000-0000-00002C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WITHOUT ADM OVERHEAD</t>
        </r>
      </text>
    </comment>
    <comment ref="BB237" authorId="1" shapeId="0" xr:uid="{00000000-0006-0000-0000-00002D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WITHOUT ADM OVERHEAD</t>
        </r>
      </text>
    </comment>
    <comment ref="AR282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OVERHEAD FOR
</t>
        </r>
      </text>
    </comment>
    <comment ref="AV282" authorId="1" shapeId="0" xr:uid="{00000000-0006-0000-0000-00002F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NEW BLDG OH tottal $5,399,51
</t>
        </r>
      </text>
    </comment>
    <comment ref="AW282" authorId="1" shapeId="0" xr:uid="{00000000-0006-0000-0000-000030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electric corrections + admin overhead + -$13,316.77 electric corrections</t>
        </r>
      </text>
    </comment>
    <comment ref="BB282" authorId="1" shapeId="0" xr:uid="{00000000-0006-0000-0000-000031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NEW BLDG  &amp; CELL SITE OH FOR #139, 142.9, 191.2, 192.2, 233. 254.7, 254.8, 254.9, 289, 296, 291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Hayashida</author>
    <author>nchin</author>
    <author>Nancy Chin</author>
  </authors>
  <commentList>
    <comment ref="B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  <comment ref="Z56" authorId="1" shapeId="0" xr:uid="{00000000-0006-0000-0000-000004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SERVICE ADDRESS: 2714 S. HOOVER</t>
        </r>
      </text>
    </comment>
    <comment ref="B65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Nancy Chin:</t>
        </r>
        <r>
          <rPr>
            <sz val="9"/>
            <color indexed="81"/>
            <rFont val="Tahoma"/>
            <family val="2"/>
          </rPr>
          <t xml:space="preserve">
#350 MIC BUILT AT THIS LOCATION  OCT 2018</t>
        </r>
      </text>
    </comment>
    <comment ref="B1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  <comment ref="B13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  <comment ref="B17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  <comment ref="B17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Diff Formulas (Finding by Building # not "Q"</t>
        </r>
      </text>
    </comment>
    <comment ref="B17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nchin</author>
    <author>AShum</author>
  </authors>
  <commentList>
    <comment ref="Y30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OMITTED FROM JUL UPLOAD &amp; INCL #90 WATER</t>
        </r>
      </text>
    </comment>
    <comment ref="A48" authorId="1" shapeId="0" xr:uid="{00000000-0006-0000-0000-000001000000}">
      <text>
        <r>
          <rPr>
            <b/>
            <sz val="8"/>
            <color indexed="81"/>
            <rFont val="Tahoma"/>
            <family val="2"/>
          </rPr>
          <t>AShum:</t>
        </r>
        <r>
          <rPr>
            <sz val="8"/>
            <color indexed="81"/>
            <rFont val="Tahoma"/>
            <family val="2"/>
          </rPr>
          <t xml:space="preserve">
BULD 2920 DNI (use 1% of SGM #1060)</t>
        </r>
      </text>
    </comment>
    <comment ref="Y173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OMITTED FROM JUL UPLOAD &amp; INCL #90 WATER</t>
        </r>
      </text>
    </comment>
  </commentList>
</comments>
</file>

<file path=xl/sharedStrings.xml><?xml version="1.0" encoding="utf-8"?>
<sst xmlns="http://schemas.openxmlformats.org/spreadsheetml/2006/main" count="5622" uniqueCount="3775">
  <si>
    <t>UPC ELECTRIC USAGE (kWh)</t>
  </si>
  <si>
    <t>Bldg #</t>
  </si>
  <si>
    <t>Building</t>
  </si>
  <si>
    <t>Code</t>
  </si>
  <si>
    <t>0010</t>
  </si>
  <si>
    <t>Administration Bldg</t>
  </si>
  <si>
    <t>ADM</t>
  </si>
  <si>
    <t>0011</t>
  </si>
  <si>
    <t>Bovard Auditorium</t>
  </si>
  <si>
    <t>ADM1</t>
  </si>
  <si>
    <t>0019</t>
  </si>
  <si>
    <t>Administration Bldg - Cell Site</t>
  </si>
  <si>
    <t>ADM9</t>
  </si>
  <si>
    <t>0020</t>
  </si>
  <si>
    <t>Music Practice Instructional Center</t>
  </si>
  <si>
    <t>PIC</t>
  </si>
  <si>
    <t>0030</t>
  </si>
  <si>
    <t xml:space="preserve">Waite Phillips Hall  </t>
  </si>
  <si>
    <t>WPH</t>
  </si>
  <si>
    <t>0031</t>
  </si>
  <si>
    <t xml:space="preserve">Social Sciences   </t>
  </si>
  <si>
    <t>SOS</t>
  </si>
  <si>
    <t>0040</t>
  </si>
  <si>
    <t>VonKleinsmid Center</t>
  </si>
  <si>
    <t>VKC</t>
  </si>
  <si>
    <t>0050</t>
  </si>
  <si>
    <t>YWCA Bldg</t>
  </si>
  <si>
    <t>YWC</t>
  </si>
  <si>
    <t>0060</t>
  </si>
  <si>
    <t>Humanities &amp; Social Science</t>
  </si>
  <si>
    <t>HSS</t>
  </si>
  <si>
    <t>0070</t>
  </si>
  <si>
    <t>Law Center</t>
  </si>
  <si>
    <t>LAW</t>
  </si>
  <si>
    <t>0071</t>
  </si>
  <si>
    <t>Law Center Central Plant</t>
  </si>
  <si>
    <t>LAW1</t>
  </si>
  <si>
    <t>0080</t>
  </si>
  <si>
    <t>Bridge Hall</t>
  </si>
  <si>
    <t>BRI</t>
  </si>
  <si>
    <t>0100</t>
  </si>
  <si>
    <t>Ele. Microscopy Center</t>
  </si>
  <si>
    <t>CEM</t>
  </si>
  <si>
    <t>0131</t>
  </si>
  <si>
    <t xml:space="preserve">Commons  </t>
  </si>
  <si>
    <t>COM1</t>
  </si>
  <si>
    <t>0130</t>
  </si>
  <si>
    <t xml:space="preserve">Commons Non-Aux  </t>
  </si>
  <si>
    <t>COM</t>
  </si>
  <si>
    <t>0140</t>
  </si>
  <si>
    <t>Dosan Ahn Chang Ho Family House</t>
  </si>
  <si>
    <t>AHN</t>
  </si>
  <si>
    <t>0150</t>
  </si>
  <si>
    <t>Academic Services (CAS)</t>
  </si>
  <si>
    <t>CAS</t>
  </si>
  <si>
    <t>0160</t>
  </si>
  <si>
    <t>Heritage Hall</t>
  </si>
  <si>
    <t>HER</t>
  </si>
  <si>
    <t>0161</t>
  </si>
  <si>
    <t>Heritage Hall GALEN CENTER</t>
  </si>
  <si>
    <t>HEX</t>
  </si>
  <si>
    <t>0180</t>
  </si>
  <si>
    <t>Doheny Library</t>
  </si>
  <si>
    <t>DML</t>
  </si>
  <si>
    <t>0190</t>
  </si>
  <si>
    <t>Gerontology Center</t>
  </si>
  <si>
    <t>GER</t>
  </si>
  <si>
    <t>0200</t>
  </si>
  <si>
    <t>Scene Dock</t>
  </si>
  <si>
    <t>SCD</t>
  </si>
  <si>
    <t>0230</t>
  </si>
  <si>
    <t>Biegler Hall</t>
  </si>
  <si>
    <t>BHE</t>
  </si>
  <si>
    <t>0240</t>
  </si>
  <si>
    <t>Vivian Hall</t>
  </si>
  <si>
    <t>VHE</t>
  </si>
  <si>
    <t>0242</t>
  </si>
  <si>
    <t>Vivian Hall Chiller Plant</t>
  </si>
  <si>
    <t>VHE2</t>
  </si>
  <si>
    <t>0250</t>
  </si>
  <si>
    <t>McClintock Building ( was University Computing Center UCC)</t>
  </si>
  <si>
    <t>MCC</t>
  </si>
  <si>
    <t>0270</t>
  </si>
  <si>
    <t>Powell Hall</t>
  </si>
  <si>
    <t>PHE</t>
  </si>
  <si>
    <t>0290</t>
  </si>
  <si>
    <t>Watt Hall</t>
  </si>
  <si>
    <t>WAH</t>
  </si>
  <si>
    <t>0310</t>
  </si>
  <si>
    <t>Student Health Center</t>
  </si>
  <si>
    <t>SHC</t>
  </si>
  <si>
    <t>0320</t>
  </si>
  <si>
    <t>Annenberg Sch. of Communications</t>
  </si>
  <si>
    <t>ASC</t>
  </si>
  <si>
    <t>0350</t>
  </si>
  <si>
    <t>Taper Hall</t>
  </si>
  <si>
    <t>THH</t>
  </si>
  <si>
    <t>0370</t>
  </si>
  <si>
    <t>Hancock Foundation</t>
  </si>
  <si>
    <t>AHF</t>
  </si>
  <si>
    <t>0380</t>
  </si>
  <si>
    <t>Harris Hall</t>
  </si>
  <si>
    <t>HAR</t>
  </si>
  <si>
    <t>0400</t>
  </si>
  <si>
    <t>Organic Chemistry Wing</t>
  </si>
  <si>
    <t>OCW</t>
  </si>
  <si>
    <t>0401</t>
  </si>
  <si>
    <t>Stabler Hall</t>
  </si>
  <si>
    <t>LJS</t>
  </si>
  <si>
    <t>0410</t>
  </si>
  <si>
    <t>School of Social Work</t>
  </si>
  <si>
    <t>MRF</t>
  </si>
  <si>
    <t>0420</t>
  </si>
  <si>
    <t>Kerckhoff Hall</t>
  </si>
  <si>
    <t>KER</t>
  </si>
  <si>
    <t>0440</t>
  </si>
  <si>
    <t>School of Accounting</t>
  </si>
  <si>
    <t>ACC</t>
  </si>
  <si>
    <t>0450</t>
  </si>
  <si>
    <t>Mudd Hall of Philosophy</t>
  </si>
  <si>
    <t>MHP</t>
  </si>
  <si>
    <t>0460</t>
  </si>
  <si>
    <t>Widney Alumni House (ALM)</t>
  </si>
  <si>
    <t>ALM</t>
  </si>
  <si>
    <t>0470</t>
  </si>
  <si>
    <t>JEP House</t>
  </si>
  <si>
    <t>JEP</t>
  </si>
  <si>
    <t>0480</t>
  </si>
  <si>
    <t>Seaver Science Laboratory</t>
  </si>
  <si>
    <t>SSC</t>
  </si>
  <si>
    <t>0481</t>
  </si>
  <si>
    <t>SSC Chiller Plant</t>
  </si>
  <si>
    <t>SSC1</t>
  </si>
  <si>
    <t>0490</t>
  </si>
  <si>
    <t>Seaver Science Library</t>
  </si>
  <si>
    <t>SSL</t>
  </si>
  <si>
    <t>0520</t>
  </si>
  <si>
    <t>Early Childhood Training</t>
  </si>
  <si>
    <t>ECT</t>
  </si>
  <si>
    <t>0550</t>
  </si>
  <si>
    <t>Webb Tower</t>
  </si>
  <si>
    <t>WTO</t>
  </si>
  <si>
    <t>0560</t>
  </si>
  <si>
    <t>Fluor Tower</t>
  </si>
  <si>
    <t>FLT</t>
  </si>
  <si>
    <t>0590</t>
  </si>
  <si>
    <t>Childs Way Bldg II</t>
  </si>
  <si>
    <t>CWT</t>
  </si>
  <si>
    <t>0600</t>
  </si>
  <si>
    <t>PHP Utility</t>
  </si>
  <si>
    <t>PPU</t>
  </si>
  <si>
    <t>0610</t>
  </si>
  <si>
    <t>PHP Grounds</t>
  </si>
  <si>
    <t>PPG</t>
  </si>
  <si>
    <t>0630</t>
  </si>
  <si>
    <t>Facilities Management</t>
  </si>
  <si>
    <t>FAM</t>
  </si>
  <si>
    <t>0640</t>
  </si>
  <si>
    <t>Dental Science Center</t>
  </si>
  <si>
    <t>DEN</t>
  </si>
  <si>
    <t>0649</t>
  </si>
  <si>
    <t>Dental Science Center - Verizon Cell Site</t>
  </si>
  <si>
    <t>DEN Verizon Cell Site</t>
  </si>
  <si>
    <t>0650</t>
  </si>
  <si>
    <t>Physical Education Bldg</t>
  </si>
  <si>
    <t>PED</t>
  </si>
  <si>
    <t>0651</t>
  </si>
  <si>
    <t>PED Chiller Plant (NEW 12/00)</t>
  </si>
  <si>
    <t>PED1</t>
  </si>
  <si>
    <t>0720</t>
  </si>
  <si>
    <t>Hedco Chemical Engineering</t>
  </si>
  <si>
    <t>HED</t>
  </si>
  <si>
    <t>0730</t>
  </si>
  <si>
    <t xml:space="preserve">Dedeaux Field </t>
  </si>
  <si>
    <t>BDF</t>
  </si>
  <si>
    <t>0740</t>
  </si>
  <si>
    <t xml:space="preserve">Zumberge Hall of Science </t>
  </si>
  <si>
    <t>ZHS</t>
  </si>
  <si>
    <t>0750</t>
  </si>
  <si>
    <t>Religious Center (URC)</t>
  </si>
  <si>
    <t>URC</t>
  </si>
  <si>
    <t>0760</t>
  </si>
  <si>
    <t>Norris Cinema Theater</t>
  </si>
  <si>
    <t>NCT</t>
  </si>
  <si>
    <t>0780</t>
  </si>
  <si>
    <t>Salvatori Computer</t>
  </si>
  <si>
    <t>SAL</t>
  </si>
  <si>
    <t>0790</t>
  </si>
  <si>
    <t>Drama Center</t>
  </si>
  <si>
    <t>DRC</t>
  </si>
  <si>
    <t>0800</t>
  </si>
  <si>
    <t>John Tyler DCI Bldg</t>
  </si>
  <si>
    <t>TYL</t>
  </si>
  <si>
    <t>0830</t>
  </si>
  <si>
    <t>Ramo Hall of Music</t>
  </si>
  <si>
    <t>RHM</t>
  </si>
  <si>
    <t>0840</t>
  </si>
  <si>
    <t>Bing Theater</t>
  </si>
  <si>
    <t>BIT</t>
  </si>
  <si>
    <t>0850</t>
  </si>
  <si>
    <t>Music Faculty Bldg</t>
  </si>
  <si>
    <t>MUS</t>
  </si>
  <si>
    <t>0870</t>
  </si>
  <si>
    <t>Davidson Conference Center Non-Aux</t>
  </si>
  <si>
    <t>DCC</t>
  </si>
  <si>
    <t>0871</t>
  </si>
  <si>
    <t xml:space="preserve">Davidson Conference Center  </t>
  </si>
  <si>
    <t>DCC1</t>
  </si>
  <si>
    <t>0880</t>
  </si>
  <si>
    <t>Birnkrant Hall</t>
  </si>
  <si>
    <t>BSR</t>
  </si>
  <si>
    <t>0890</t>
  </si>
  <si>
    <t>Wilson Student Union</t>
  </si>
  <si>
    <t>STU</t>
  </si>
  <si>
    <t>0900</t>
  </si>
  <si>
    <t>PHP Bldg A</t>
  </si>
  <si>
    <t>POA</t>
  </si>
  <si>
    <t>0901</t>
  </si>
  <si>
    <t>Custodial Services Building</t>
  </si>
  <si>
    <t>OMP</t>
  </si>
  <si>
    <t>0910</t>
  </si>
  <si>
    <t>John Hubbard Hall (was SAS)</t>
  </si>
  <si>
    <t>JHH</t>
  </si>
  <si>
    <t>0920</t>
  </si>
  <si>
    <t>Topping Student Center</t>
  </si>
  <si>
    <t>TSC</t>
  </si>
  <si>
    <t>0930</t>
  </si>
  <si>
    <t>Marks Tennis Stadium</t>
  </si>
  <si>
    <t>MTS</t>
  </si>
  <si>
    <t>0940</t>
  </si>
  <si>
    <t>David Marks Hall</t>
  </si>
  <si>
    <t>DXM</t>
  </si>
  <si>
    <t>0970</t>
  </si>
  <si>
    <t>Kerckhoff Carriage House</t>
  </si>
  <si>
    <t>KCH</t>
  </si>
  <si>
    <t>0990</t>
  </si>
  <si>
    <t>Elisabeth Von Kleins Mid Residence Hall</t>
  </si>
  <si>
    <t>EVK</t>
  </si>
  <si>
    <t>0991</t>
  </si>
  <si>
    <t>May Ormerod Harris Residence Hall</t>
  </si>
  <si>
    <t>HRH</t>
  </si>
  <si>
    <t>1000</t>
  </si>
  <si>
    <t>College Hall</t>
  </si>
  <si>
    <t>COL</t>
  </si>
  <si>
    <t>University Residence Hall</t>
  </si>
  <si>
    <t>1020</t>
  </si>
  <si>
    <t>Childs Way Bldg I</t>
  </si>
  <si>
    <t>CWO</t>
  </si>
  <si>
    <t>1040</t>
  </si>
  <si>
    <t>PHP Utility Storage</t>
  </si>
  <si>
    <t>PUS</t>
  </si>
  <si>
    <t>1050</t>
  </si>
  <si>
    <t>Hazel &amp; Stanley Hall</t>
  </si>
  <si>
    <t>HSH</t>
  </si>
  <si>
    <t>1060</t>
  </si>
  <si>
    <t>Seeley G. Mudd</t>
  </si>
  <si>
    <t>SGM</t>
  </si>
  <si>
    <t>1100</t>
  </si>
  <si>
    <t>Arnold Shoenberg Institute</t>
  </si>
  <si>
    <t>ASI</t>
  </si>
  <si>
    <t>1110</t>
  </si>
  <si>
    <t>Denny Research Center</t>
  </si>
  <si>
    <t>DRB</t>
  </si>
  <si>
    <t>1120</t>
  </si>
  <si>
    <t>Town &amp; Gown Foyer (Non-Aux)   *</t>
  </si>
  <si>
    <t>TGF</t>
  </si>
  <si>
    <t>1121</t>
  </si>
  <si>
    <t>Town &amp; Gown Foyer  *</t>
  </si>
  <si>
    <t>TGF1</t>
  </si>
  <si>
    <t>1130</t>
  </si>
  <si>
    <t>ABA Child Care Center</t>
  </si>
  <si>
    <t>ABA</t>
  </si>
  <si>
    <t>1140</t>
  </si>
  <si>
    <t>Stonier Hall</t>
  </si>
  <si>
    <t>STO</t>
  </si>
  <si>
    <t>1160</t>
  </si>
  <si>
    <t>Faculty Center - Direct</t>
  </si>
  <si>
    <t>FAC</t>
  </si>
  <si>
    <t>1171</t>
  </si>
  <si>
    <t>Parkside Apartments I  *</t>
  </si>
  <si>
    <t>PKS1</t>
  </si>
  <si>
    <t>1190</t>
  </si>
  <si>
    <t>Rapp Engineering Research</t>
  </si>
  <si>
    <t>RRB</t>
  </si>
  <si>
    <t>1200</t>
  </si>
  <si>
    <t>Trojan Hall (Non-Aux)</t>
  </si>
  <si>
    <t>TRO</t>
  </si>
  <si>
    <t>1201</t>
  </si>
  <si>
    <t xml:space="preserve">Trojan Hall </t>
  </si>
  <si>
    <t>TRO1</t>
  </si>
  <si>
    <t>1210</t>
  </si>
  <si>
    <t>Pretroleum &amp; Chemical Engineering</t>
  </si>
  <si>
    <t>PCE</t>
  </si>
  <si>
    <t>1260</t>
  </si>
  <si>
    <t>Figueroa Bldg</t>
  </si>
  <si>
    <t>FIG</t>
  </si>
  <si>
    <t>1270</t>
  </si>
  <si>
    <t>College Letters House (was Freshman Writing House)</t>
  </si>
  <si>
    <t>1280</t>
  </si>
  <si>
    <t>McDonald's Swim Stadium</t>
  </si>
  <si>
    <t>MAC</t>
  </si>
  <si>
    <t>1290</t>
  </si>
  <si>
    <t>Jefferson Bldg</t>
  </si>
  <si>
    <t>JEF</t>
  </si>
  <si>
    <t>1330</t>
  </si>
  <si>
    <t>Parking Structure C (Non-Aux)</t>
  </si>
  <si>
    <t>PSX</t>
  </si>
  <si>
    <t>1331</t>
  </si>
  <si>
    <t>Parking Structure C</t>
  </si>
  <si>
    <t>PSX1</t>
  </si>
  <si>
    <t>1340</t>
  </si>
  <si>
    <t>Stauffer Hall of Science</t>
  </si>
  <si>
    <t>SHS</t>
  </si>
  <si>
    <t>1350</t>
  </si>
  <si>
    <t>Stauffer Science Lecture</t>
  </si>
  <si>
    <t>SLH</t>
  </si>
  <si>
    <t>Parkside II Residence Building   NEW  FY08</t>
  </si>
  <si>
    <t>PRB</t>
  </si>
  <si>
    <t>1410</t>
  </si>
  <si>
    <t>Registration Building</t>
  </si>
  <si>
    <t>REG</t>
  </si>
  <si>
    <t>1420</t>
  </si>
  <si>
    <t>Hoffman Hall GSBA</t>
  </si>
  <si>
    <t>HOH</t>
  </si>
  <si>
    <t>1429</t>
  </si>
  <si>
    <t>HOH Cell Site - Electric  
   NEW FEB 06</t>
  </si>
  <si>
    <t>HOH Cell</t>
  </si>
  <si>
    <t>1440</t>
  </si>
  <si>
    <t>Booth Memorial Hall</t>
  </si>
  <si>
    <t>BMH</t>
  </si>
  <si>
    <t>1450</t>
  </si>
  <si>
    <t>Olin Hall of Engineering</t>
  </si>
  <si>
    <t>OHE</t>
  </si>
  <si>
    <t>Olin Hall of Engineering Chiller Plant   NEW JAN 06</t>
  </si>
  <si>
    <t>OHE1</t>
  </si>
  <si>
    <t>1480</t>
  </si>
  <si>
    <t>Ahmanson Center</t>
  </si>
  <si>
    <t>ACB</t>
  </si>
  <si>
    <t>1490</t>
  </si>
  <si>
    <t>David Marks Tower</t>
  </si>
  <si>
    <t>DMT</t>
  </si>
  <si>
    <t>1530</t>
  </si>
  <si>
    <t>Hoffman Contracts Bldg</t>
  </si>
  <si>
    <t>RAN</t>
  </si>
  <si>
    <t>1540</t>
  </si>
  <si>
    <t>USC University Club at King Stoops Hall  (was EDL)</t>
  </si>
  <si>
    <t>KSH</t>
  </si>
  <si>
    <t>1580</t>
  </si>
  <si>
    <t>One Institute (was Delta Tau Delta)</t>
  </si>
  <si>
    <t>ONE</t>
  </si>
  <si>
    <t>1590</t>
  </si>
  <si>
    <t>Human Relations Center</t>
  </si>
  <si>
    <t>HRC</t>
  </si>
  <si>
    <t>HONOR'S HOUSE RESIDENCE</t>
  </si>
  <si>
    <t>HHR</t>
  </si>
  <si>
    <t>1620</t>
  </si>
  <si>
    <t>Parking Structure D (Non-Aux)</t>
  </si>
  <si>
    <t>PSD</t>
  </si>
  <si>
    <t>1621</t>
  </si>
  <si>
    <t>Parking Structure D</t>
  </si>
  <si>
    <t>PSD1</t>
  </si>
  <si>
    <t>1630</t>
  </si>
  <si>
    <t>East Library Bldg</t>
  </si>
  <si>
    <t>ELB</t>
  </si>
  <si>
    <t>1660</t>
  </si>
  <si>
    <t>Loker Hydrocarbon Institute</t>
  </si>
  <si>
    <t>LHI</t>
  </si>
  <si>
    <t>1670</t>
  </si>
  <si>
    <t>Instructional Media Services</t>
  </si>
  <si>
    <t>IMS</t>
  </si>
  <si>
    <t>1690</t>
  </si>
  <si>
    <t>Grace Ford Salvatori</t>
  </si>
  <si>
    <t>GFS</t>
  </si>
  <si>
    <t>1710</t>
  </si>
  <si>
    <t>Max Kade German Center</t>
  </si>
  <si>
    <t>GEH</t>
  </si>
  <si>
    <t>1711</t>
  </si>
  <si>
    <t>Max Kade German Center II</t>
  </si>
  <si>
    <t>GEX</t>
  </si>
  <si>
    <t>1890</t>
  </si>
  <si>
    <t>Pardee Tower</t>
  </si>
  <si>
    <t>PTD</t>
  </si>
  <si>
    <t>1911</t>
  </si>
  <si>
    <t>Parking Structure A</t>
  </si>
  <si>
    <t>PSA1</t>
  </si>
  <si>
    <t>1910</t>
  </si>
  <si>
    <t>Parking Structure A (Non-Aux)</t>
  </si>
  <si>
    <t>PSA</t>
  </si>
  <si>
    <t>Parking Structure A Chiller Plant</t>
  </si>
  <si>
    <t>PSA2</t>
  </si>
  <si>
    <t>Parking Structure A - Cellular Only NEW</t>
  </si>
  <si>
    <t>PSA8</t>
  </si>
  <si>
    <t>Parking Structure A - Cellular Only  NEW FY 05</t>
  </si>
  <si>
    <t>PSA9</t>
  </si>
  <si>
    <t>1920</t>
  </si>
  <si>
    <t>Parking Structure B (Non-Aux)</t>
  </si>
  <si>
    <t>PSB</t>
  </si>
  <si>
    <t>1921</t>
  </si>
  <si>
    <t>Parking Structure B</t>
  </si>
  <si>
    <t>PSB1</t>
  </si>
  <si>
    <t>Parking Structure B - Cellular Only - new site</t>
  </si>
  <si>
    <t>PSB8</t>
  </si>
  <si>
    <t>1930</t>
  </si>
  <si>
    <t>Theatre Scene Shop</t>
  </si>
  <si>
    <t>TSS</t>
  </si>
  <si>
    <t>1970</t>
  </si>
  <si>
    <t>Robert Zemeckis Center for Digital Arts</t>
  </si>
  <si>
    <t>RZC</t>
  </si>
  <si>
    <t>USC SCHOOL OF CINEMATIC ARTS STATION</t>
  </si>
  <si>
    <t>SCS</t>
  </si>
  <si>
    <t>1990</t>
  </si>
  <si>
    <t>University Parking Center (Non-Aux)</t>
  </si>
  <si>
    <t>UPX</t>
  </si>
  <si>
    <t>1991</t>
  </si>
  <si>
    <t>University Parking Center</t>
  </si>
  <si>
    <t>UPX1</t>
  </si>
  <si>
    <t>University Parking Center (Engineering)</t>
  </si>
  <si>
    <t>UPX2</t>
  </si>
  <si>
    <t>2200</t>
  </si>
  <si>
    <t>The Music Complex</t>
  </si>
  <si>
    <t>LPB</t>
  </si>
  <si>
    <t>2210</t>
  </si>
  <si>
    <t>George Lucas Instructional</t>
  </si>
  <si>
    <t>LUC</t>
  </si>
  <si>
    <t>2211</t>
  </si>
  <si>
    <t>Cinema TV Center</t>
  </si>
  <si>
    <t>CTC</t>
  </si>
  <si>
    <t>ALICE AND ELEONORE SCHOENFELF SYMPHONIC HALL</t>
  </si>
  <si>
    <t>AES</t>
  </si>
  <si>
    <t>2281</t>
  </si>
  <si>
    <t>King Hall  (Café 84)</t>
  </si>
  <si>
    <t>KOH1</t>
  </si>
  <si>
    <t>2280</t>
  </si>
  <si>
    <t xml:space="preserve">King Hall (Non-Aux)  </t>
  </si>
  <si>
    <t>KOH</t>
  </si>
  <si>
    <t>2300</t>
  </si>
  <si>
    <t>Cromwell Field/House</t>
  </si>
  <si>
    <t>CFH</t>
  </si>
  <si>
    <t>Exposition Blvd Parking Structure     NEW FY07</t>
  </si>
  <si>
    <t>EPS</t>
  </si>
  <si>
    <t>2340</t>
  </si>
  <si>
    <t>Severance Street House</t>
  </si>
  <si>
    <t>SSH</t>
  </si>
  <si>
    <t>GALEN ATHLETICS PAVILION (NBB 12/06)</t>
  </si>
  <si>
    <t>GAP</t>
  </si>
  <si>
    <t>2390</t>
  </si>
  <si>
    <t>Royal Street House</t>
  </si>
  <si>
    <t>ROY</t>
  </si>
  <si>
    <t>2500</t>
  </si>
  <si>
    <t>Lyon University Center</t>
  </si>
  <si>
    <t>LRC</t>
  </si>
  <si>
    <t>2510</t>
  </si>
  <si>
    <t>Kennedy Aquatics</t>
  </si>
  <si>
    <t>KAB</t>
  </si>
  <si>
    <t>2520</t>
  </si>
  <si>
    <t>Hedco Neurosciences Bldg</t>
  </si>
  <si>
    <t>HNB</t>
  </si>
  <si>
    <t>2530</t>
  </si>
  <si>
    <t>Kaprielian Hall</t>
  </si>
  <si>
    <t>KAP</t>
  </si>
  <si>
    <t>2540</t>
  </si>
  <si>
    <t xml:space="preserve">Bookstore (Non-Aux)  </t>
  </si>
  <si>
    <t>BKS</t>
  </si>
  <si>
    <t>2541</t>
  </si>
  <si>
    <t xml:space="preserve">Bookstore  </t>
  </si>
  <si>
    <t>BKS1</t>
  </si>
  <si>
    <t>Bookstore Verizon Cellular Site  NEW FEB 06</t>
  </si>
  <si>
    <t>BKS7</t>
  </si>
  <si>
    <t>Bookstore T-Mobile Cellular Site  NEW FEB 06</t>
  </si>
  <si>
    <t>BKS8</t>
  </si>
  <si>
    <t>Bookstore NEXTELCellular Site  'NEW FY 05</t>
  </si>
  <si>
    <t>BKS9</t>
  </si>
  <si>
    <t>2560</t>
  </si>
  <si>
    <t>Electrical Engineering</t>
  </si>
  <si>
    <t>EEB</t>
  </si>
  <si>
    <t>2570</t>
  </si>
  <si>
    <t>Leavey Library</t>
  </si>
  <si>
    <t>LVL</t>
  </si>
  <si>
    <t>2580</t>
  </si>
  <si>
    <t>Department of Motor Vehicles</t>
  </si>
  <si>
    <t>DMV</t>
  </si>
  <si>
    <t>Facilities Plng &amp; Mgmt Trailer</t>
  </si>
  <si>
    <t>FPM</t>
  </si>
  <si>
    <t>2610</t>
  </si>
  <si>
    <t>Egg Company II</t>
  </si>
  <si>
    <t>EGG</t>
  </si>
  <si>
    <t>2620</t>
  </si>
  <si>
    <t>Ralph &amp; Goldy Lewis Hall (BIEGLER)</t>
  </si>
  <si>
    <t>RGL(B)</t>
  </si>
  <si>
    <t>Ralph &amp; Goldy Lewis Hall (JEFF 2)</t>
  </si>
  <si>
    <t>RGL(J)</t>
  </si>
  <si>
    <t>2630</t>
  </si>
  <si>
    <t>J H &amp; J K Popovich Hall</t>
  </si>
  <si>
    <t>2631</t>
  </si>
  <si>
    <t>Popovich Café (Aux)</t>
  </si>
  <si>
    <t>2640</t>
  </si>
  <si>
    <t>Forthmann House (WAS 637)</t>
  </si>
  <si>
    <t>FMH</t>
  </si>
  <si>
    <t>2650</t>
  </si>
  <si>
    <t>Cockins House (WAS 632)</t>
  </si>
  <si>
    <t>COH</t>
  </si>
  <si>
    <t>2670</t>
  </si>
  <si>
    <t>University Gardens Bldg (WAS 638)- Electric</t>
  </si>
  <si>
    <t>UGB</t>
  </si>
  <si>
    <t>2760</t>
  </si>
  <si>
    <t>Loker Stadium</t>
  </si>
  <si>
    <t>LTS</t>
  </si>
  <si>
    <t>2770</t>
  </si>
  <si>
    <t>Internationally Themed Residenial College</t>
  </si>
  <si>
    <t>IRC</t>
  </si>
  <si>
    <t>2771</t>
  </si>
  <si>
    <t>IRC - Dining</t>
  </si>
  <si>
    <t>IRC1</t>
  </si>
  <si>
    <t>2772</t>
  </si>
  <si>
    <t>IRC - Temporary Chiller Plant</t>
  </si>
  <si>
    <t>IRC2</t>
  </si>
  <si>
    <t>2810</t>
  </si>
  <si>
    <t>Carol Little Building</t>
  </si>
  <si>
    <t>CAL</t>
  </si>
  <si>
    <t>2811</t>
  </si>
  <si>
    <t>CAL URBAN MARKET  OPENED 9/09</t>
  </si>
  <si>
    <t>CAL1</t>
  </si>
  <si>
    <t>Social Work Center (New 02/04)</t>
  </si>
  <si>
    <t>Galen Event Center   .NEW 04/06</t>
  </si>
  <si>
    <t>GEC</t>
  </si>
  <si>
    <t>Tutor Building Engineering</t>
  </si>
  <si>
    <t>RTH</t>
  </si>
  <si>
    <t>RAY R. IRANI HALL (was Molecular &amp; Computational Biology Bldg 3/19/07)</t>
  </si>
  <si>
    <t>RRI</t>
  </si>
  <si>
    <t>Dornsife Neuroscience Imaging Center</t>
  </si>
  <si>
    <t>DNI</t>
  </si>
  <si>
    <t>Brain Cognitive Institute</t>
  </si>
  <si>
    <t>BCI</t>
  </si>
  <si>
    <t>SCHOOL of CINEMATIC ARTS  STARTED 7/07</t>
  </si>
  <si>
    <t>SCA</t>
  </si>
  <si>
    <t>Technical Theatre Laboratory          STARTED 8/07</t>
  </si>
  <si>
    <t>TTL</t>
  </si>
  <si>
    <t>Topping Campus Center</t>
  </si>
  <si>
    <t>TCC</t>
  </si>
  <si>
    <t>Topping Campus Center - CHILLER PLANT</t>
  </si>
  <si>
    <t>TCC1</t>
  </si>
  <si>
    <t>Topping Campus Center MECH EQMT</t>
  </si>
  <si>
    <t>TCC2</t>
  </si>
  <si>
    <t>School of Cinematic Arts Phase II</t>
  </si>
  <si>
    <t>SCB</t>
  </si>
  <si>
    <t>School of Cinematic Arts, Building C</t>
  </si>
  <si>
    <t>SCC</t>
  </si>
  <si>
    <t>School of Cinematic Arts, Building D  OCCUPIED IN 4/10</t>
  </si>
  <si>
    <t>SCX</t>
  </si>
  <si>
    <t>School of Cinematic Arts, Building E  OCCUPIED IN 4/10</t>
  </si>
  <si>
    <t>SCE</t>
  </si>
  <si>
    <t>Campus Develpmt &amp; Facilities</t>
  </si>
  <si>
    <t>CDF</t>
  </si>
  <si>
    <t>John McKay Center (was  All Sports Building)</t>
  </si>
  <si>
    <t>JMC</t>
  </si>
  <si>
    <t>Engeman Student Health Center</t>
  </si>
  <si>
    <t>ESH</t>
  </si>
  <si>
    <t>Wallis Annenberg Hall Construction</t>
  </si>
  <si>
    <t>ANN</t>
  </si>
  <si>
    <t>School of Cinematic Arts - Building I</t>
  </si>
  <si>
    <t>SCI</t>
  </si>
  <si>
    <t>Temporary Research Facility</t>
  </si>
  <si>
    <t>TRF</t>
  </si>
  <si>
    <t xml:space="preserve">TRF - Bank of America </t>
  </si>
  <si>
    <t>TRF1</t>
  </si>
  <si>
    <t>TRF - International Studies</t>
  </si>
  <si>
    <t>TRF2</t>
  </si>
  <si>
    <t>Verna and Peter Dauterive Hall Construction</t>
  </si>
  <si>
    <t>VPD</t>
  </si>
  <si>
    <t>Uytengsu Aquatics Center</t>
  </si>
  <si>
    <t>UAC</t>
  </si>
  <si>
    <t>Merle Norman Stadium</t>
  </si>
  <si>
    <t>MNS</t>
  </si>
  <si>
    <t>Jill &amp; Frank  Fretitta Hall</t>
  </si>
  <si>
    <t>JFF</t>
  </si>
  <si>
    <t>Michelson Center For Convergent Bioscience Construction</t>
  </si>
  <si>
    <t>MCB</t>
  </si>
  <si>
    <t>Glorya Kaufman Intl Dance Center</t>
  </si>
  <si>
    <t>KDC</t>
  </si>
  <si>
    <t>Shrine Parking Structure</t>
  </si>
  <si>
    <t>SHP</t>
  </si>
  <si>
    <t>Iovine and Young Hall</t>
  </si>
  <si>
    <t>IYH</t>
  </si>
  <si>
    <t>4010</t>
  </si>
  <si>
    <t>UPV Telephone Vault</t>
  </si>
  <si>
    <t>UPV</t>
  </si>
  <si>
    <t>4070</t>
  </si>
  <si>
    <t>TES Pump Room   NEW FY 05</t>
  </si>
  <si>
    <t>TES</t>
  </si>
  <si>
    <t>5010</t>
  </si>
  <si>
    <t>Brian Kennedy Field</t>
  </si>
  <si>
    <t>BKF</t>
  </si>
  <si>
    <t>5020</t>
  </si>
  <si>
    <t>Dedeaux Field-Score Board</t>
  </si>
  <si>
    <t>BDX</t>
  </si>
  <si>
    <t>5060</t>
  </si>
  <si>
    <t>Brittingham Intramural Field</t>
  </si>
  <si>
    <t>IMF</t>
  </si>
  <si>
    <t>5070</t>
  </si>
  <si>
    <t>Dean Bartlett Cromwell Field</t>
  </si>
  <si>
    <t>CFX</t>
  </si>
  <si>
    <t>5090</t>
  </si>
  <si>
    <t xml:space="preserve">McAlister Soccer Field </t>
  </si>
  <si>
    <t>SMF</t>
  </si>
  <si>
    <t>Golf Practice Field</t>
  </si>
  <si>
    <t>GPC</t>
  </si>
  <si>
    <t>United University Church</t>
  </si>
  <si>
    <t>UUC</t>
  </si>
  <si>
    <t>Temporary Dining Facility (The Lot)</t>
  </si>
  <si>
    <t>TDF</t>
  </si>
  <si>
    <t>University Village One</t>
  </si>
  <si>
    <t>UVO</t>
  </si>
  <si>
    <t>TOTAL</t>
  </si>
  <si>
    <t>1. Some Buildings may have multiple usages, but they are under same building, for example ADM, we have separate usages for ADM Auditorium, the building and the cell sites.</t>
  </si>
  <si>
    <t>2. Some buildings may have negative values and you may have to normalize usages</t>
  </si>
  <si>
    <t>UTILITY UPLOAD FY 15/16</t>
  </si>
  <si>
    <t>UPC ELECTRIC</t>
  </si>
  <si>
    <t>Bldg.</t>
  </si>
  <si>
    <t>FY 00/01</t>
  </si>
  <si>
    <t>FY 01/02</t>
  </si>
  <si>
    <t>FY 02/03</t>
  </si>
  <si>
    <t>FY 03/04</t>
  </si>
  <si>
    <t>FY 04/05</t>
  </si>
  <si>
    <t>FY 05/06</t>
  </si>
  <si>
    <t>FY 06/07</t>
  </si>
  <si>
    <t>FY 07/08</t>
  </si>
  <si>
    <t>FY 08/09</t>
  </si>
  <si>
    <t>FY 09/10</t>
  </si>
  <si>
    <t>FY 10/11</t>
  </si>
  <si>
    <t>FY 11/12</t>
  </si>
  <si>
    <t>FY 12/13</t>
  </si>
  <si>
    <t>FY 13/14</t>
  </si>
  <si>
    <t>FY 14/15</t>
  </si>
  <si>
    <t>FY 15/16</t>
  </si>
  <si>
    <t>FY 04</t>
  </si>
  <si>
    <t>FY 05</t>
  </si>
  <si>
    <t>FY 06</t>
  </si>
  <si>
    <t>FY 07</t>
  </si>
  <si>
    <t>FY 08</t>
  </si>
  <si>
    <t>FY 0809</t>
  </si>
  <si>
    <t>FY 0910</t>
  </si>
  <si>
    <t>FY 1011</t>
  </si>
  <si>
    <t>FY 1112</t>
  </si>
  <si>
    <t>FY 1213</t>
  </si>
  <si>
    <t>FY 1314</t>
  </si>
  <si>
    <t>FY 1415</t>
  </si>
  <si>
    <t>UPLOAD MO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</si>
  <si>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</si>
  <si>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</si>
  <si>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</si>
  <si>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</si>
  <si>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</si>
  <si>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</si>
  <si>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</si>
  <si>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</si>
  <si>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</si>
  <si>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</si>
  <si>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</si>
  <si>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</si>
  <si>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Thru  June</t>
  </si>
  <si>
    <t>JUN14 UT</t>
  </si>
  <si>
    <t>Straight Line</t>
  </si>
  <si>
    <t>Weighted</t>
  </si>
  <si>
    <t>PYTD %</t>
  </si>
  <si>
    <t>Loc</t>
  </si>
  <si>
    <t>DESCRIPTION</t>
  </si>
  <si>
    <t>Type</t>
  </si>
  <si>
    <t>SWO #</t>
  </si>
  <si>
    <t>CBB Actuals</t>
  </si>
  <si>
    <t>CONSMP MO</t>
  </si>
  <si>
    <t>Jun</t>
  </si>
  <si>
    <t>ADJMENTS</t>
  </si>
  <si>
    <t>BILLING CORRECTIONS</t>
  </si>
  <si>
    <t>FY16 YTD</t>
  </si>
  <si>
    <t>FY 15 PYTD</t>
  </si>
  <si>
    <t>SWO's</t>
  </si>
  <si>
    <t>Projection</t>
  </si>
  <si>
    <t>Forecast-KN</t>
  </si>
  <si>
    <t>Incr/(Decr)</t>
  </si>
  <si>
    <t>% Incr/(Decr)</t>
  </si>
  <si>
    <t xml:space="preserve">                                    FY16 COMMENTS</t>
  </si>
  <si>
    <t>FY12 COMMENTS</t>
  </si>
  <si>
    <t>FY11 COMMENTS</t>
  </si>
  <si>
    <t>FY10 COMMENTS</t>
  </si>
  <si>
    <t>FY09 COMMENTS</t>
  </si>
  <si>
    <t>FY08 COMMENTS</t>
  </si>
  <si>
    <t>FY07 COMMENTS</t>
  </si>
  <si>
    <t>FY06 COMMENTS</t>
  </si>
  <si>
    <t>FY05 COMMENTS</t>
  </si>
  <si>
    <t>COMMENTS  FY 2004</t>
  </si>
  <si>
    <t>COMMENTS  FY 2003</t>
  </si>
  <si>
    <t>COMMENTS  FY 2002</t>
  </si>
  <si>
    <t>COMMENTS  FY 2001</t>
  </si>
  <si>
    <t>COMMENTS FY 9900</t>
  </si>
  <si>
    <t>U</t>
  </si>
  <si>
    <t>ADM: UTILITIES FY15 - GAS/WATER/ELECTRIC</t>
  </si>
  <si>
    <t>SWO000811</t>
  </si>
  <si>
    <t>SWO003092</t>
  </si>
  <si>
    <t>ADM-EGW-05</t>
  </si>
  <si>
    <t>ADM-EGW-06</t>
  </si>
  <si>
    <t>ADM-EGW-07</t>
  </si>
  <si>
    <t>ADM-EGW-08</t>
  </si>
  <si>
    <t>ADM-EGW-09</t>
  </si>
  <si>
    <t>ADM-EGW-10</t>
  </si>
  <si>
    <t>ADM-EGW-11</t>
  </si>
  <si>
    <t>ADM-EGW-12</t>
  </si>
  <si>
    <t>ADM-EGW-13</t>
  </si>
  <si>
    <t>ADM-EGW-14</t>
  </si>
  <si>
    <t>ADM-EGW</t>
  </si>
  <si>
    <t>30% increase-OK Nora to fund next yr.</t>
  </si>
  <si>
    <t>New A/C equipment</t>
  </si>
  <si>
    <t>Admin - Bovard Auditorium</t>
  </si>
  <si>
    <t>ADM1: UTILITIES FY15 - ELECTRIC ONLY</t>
  </si>
  <si>
    <t>SWO003093</t>
  </si>
  <si>
    <t>ADM1-EL-05</t>
  </si>
  <si>
    <t>ADM1-EL-06</t>
  </si>
  <si>
    <t>ADM1-EL-07</t>
  </si>
  <si>
    <t>ADM1-EL-08</t>
  </si>
  <si>
    <t>ADM1-EL-09</t>
  </si>
  <si>
    <t>ADM1-EL-10</t>
  </si>
  <si>
    <t>ADM1-EL-11</t>
  </si>
  <si>
    <t>ADM1-EL-12</t>
  </si>
  <si>
    <t>ADM1-EL-13</t>
  </si>
  <si>
    <t>ADM1-EL-14</t>
  </si>
  <si>
    <t>ADM1-EL</t>
  </si>
  <si>
    <t>NEW FY04</t>
  </si>
  <si>
    <t>Included with #001</t>
  </si>
  <si>
    <t>ADM9: UTILITIES FY15 - ELECTRIC ONLY, CELL SITE</t>
  </si>
  <si>
    <t>PSA9-EL-05</t>
  </si>
  <si>
    <t>ADM9-EL-06</t>
  </si>
  <si>
    <t>ADM9-EL-07</t>
  </si>
  <si>
    <t>ADM9-EL-08</t>
  </si>
  <si>
    <t>ADM9-EL-09</t>
  </si>
  <si>
    <t>ADM9-EL-10</t>
  </si>
  <si>
    <t>ADM9-EL-11</t>
  </si>
  <si>
    <t>ADM9-EL-12</t>
  </si>
  <si>
    <t>ADM9-EL-13</t>
  </si>
  <si>
    <t>ADM9-EL-14</t>
  </si>
  <si>
    <t>ADM9-EL</t>
  </si>
  <si>
    <t>D</t>
  </si>
  <si>
    <t>Music Practice &amp;Instructional Ctr (was SSM)</t>
  </si>
  <si>
    <t>PIC: UTILITIES FY15 - GAS/WATER/ELECTRIC</t>
  </si>
  <si>
    <t>SWO000812</t>
  </si>
  <si>
    <t>SWO003217</t>
  </si>
  <si>
    <t>PIC-EGW-05</t>
  </si>
  <si>
    <t>PIC-EGW-06</t>
  </si>
  <si>
    <t>PIC-EGW-07</t>
  </si>
  <si>
    <t>PIC-EGW-08</t>
  </si>
  <si>
    <t>PIC-EGW-09</t>
  </si>
  <si>
    <t>PIC-EGW-10</t>
  </si>
  <si>
    <t>PIC-EGW-11</t>
  </si>
  <si>
    <t>PIC-EGW-12</t>
  </si>
  <si>
    <t>DEMOLISHED 12/10</t>
  </si>
  <si>
    <t>Music added classes; more students</t>
  </si>
  <si>
    <t>Increase due to Computer Lab</t>
  </si>
  <si>
    <t>Remodel for Music - completed in 12/99</t>
  </si>
  <si>
    <t>Waite Phillips Hall  *</t>
  </si>
  <si>
    <t>WPH: UTILITIES FY15 - GAS/WATER/ELECTRIC</t>
  </si>
  <si>
    <t>R</t>
  </si>
  <si>
    <t>SWO000813</t>
  </si>
  <si>
    <t>SWO003278</t>
  </si>
  <si>
    <t>WPH-EGW-05</t>
  </si>
  <si>
    <t>WPH-EGW-06</t>
  </si>
  <si>
    <t>WPH-EGW-07</t>
  </si>
  <si>
    <t>WPH-EGW-08</t>
  </si>
  <si>
    <t>WPH-EGW-09</t>
  </si>
  <si>
    <t>WPH-EGW-10</t>
  </si>
  <si>
    <t>WPH-EGW-11</t>
  </si>
  <si>
    <t>WPH-EGW-12</t>
  </si>
  <si>
    <t>WPH-EGW-13</t>
  </si>
  <si>
    <t>WPH-EGW-14</t>
  </si>
  <si>
    <t>WPH-EGW</t>
  </si>
  <si>
    <t>Added computer labs</t>
  </si>
  <si>
    <t>Social Sciences   *</t>
  </si>
  <si>
    <t>SOS: UTILITIES FY15 - GAS/WATER/ELECTRIC</t>
  </si>
  <si>
    <t>SWO000814</t>
  </si>
  <si>
    <t>SWO003252</t>
  </si>
  <si>
    <t>SOS-EGW-05</t>
  </si>
  <si>
    <t>SOS-EGW-06</t>
  </si>
  <si>
    <t>SOS-EGW-07</t>
  </si>
  <si>
    <t>SOS-EGW-08</t>
  </si>
  <si>
    <t>SOS-EGW-09</t>
  </si>
  <si>
    <t>SOS-EGW-10</t>
  </si>
  <si>
    <t>SOS-EGW-11</t>
  </si>
  <si>
    <t>SOS-EGW-12</t>
  </si>
  <si>
    <t>SOS-EGW-13</t>
  </si>
  <si>
    <t>SOS-EGW-14</t>
  </si>
  <si>
    <t>SOS-EGW</t>
  </si>
  <si>
    <t>VKC: UTILITIES FY15 - GAS/WATER/ELECTRIC</t>
  </si>
  <si>
    <t>SWO000815</t>
  </si>
  <si>
    <t>SWO003276</t>
  </si>
  <si>
    <t>VKC-EGW-05</t>
  </si>
  <si>
    <t>VKC-EGW-06</t>
  </si>
  <si>
    <t>VKC-EGW-07</t>
  </si>
  <si>
    <t>VKC-EGW-08</t>
  </si>
  <si>
    <t>VKC-EGW-09</t>
  </si>
  <si>
    <t>VKC-EGW-10</t>
  </si>
  <si>
    <t>VKC-EGW-11</t>
  </si>
  <si>
    <t>VKC-EGW-12</t>
  </si>
  <si>
    <t>VKC-EGW-13</t>
  </si>
  <si>
    <t>VKC-EGW-14</t>
  </si>
  <si>
    <t>VKC-EGW</t>
  </si>
  <si>
    <t>YWC: UTILITIES FY15 - GAS/WATER/ELECTRIC</t>
  </si>
  <si>
    <t>SWO000816</t>
  </si>
  <si>
    <t>SWO003280</t>
  </si>
  <si>
    <t>YWC-EGW-05</t>
  </si>
  <si>
    <t>YWC-EGW-06</t>
  </si>
  <si>
    <t>YWC-EGW-07</t>
  </si>
  <si>
    <t>YWC-EGW-08</t>
  </si>
  <si>
    <t>YWC-EGW-09</t>
  </si>
  <si>
    <t>YWC-EGW-10</t>
  </si>
  <si>
    <t>YWC-EGW-11</t>
  </si>
  <si>
    <t>YWC-EGW-12</t>
  </si>
  <si>
    <t>YWC-EGW-13</t>
  </si>
  <si>
    <t>YWC-EGW-14</t>
  </si>
  <si>
    <t>YWC-EGW</t>
  </si>
  <si>
    <t>Increased usage -  Remodeled</t>
  </si>
  <si>
    <t>SWO000817</t>
  </si>
  <si>
    <t>SWO003169</t>
  </si>
  <si>
    <t>HSS-EGW-05</t>
  </si>
  <si>
    <t>HSS-EGW-06</t>
  </si>
  <si>
    <t>HSS-EGW-07</t>
  </si>
  <si>
    <t>HSS-EGW-08</t>
  </si>
  <si>
    <t>HSS-EGW-09</t>
  </si>
  <si>
    <t>HSS-EGW-10</t>
  </si>
  <si>
    <t>HSS-EGW-11</t>
  </si>
  <si>
    <t>BUILDING DEMOLISHED 12/09</t>
  </si>
  <si>
    <t>DEMOLISHED NOV 2008</t>
  </si>
  <si>
    <t>Under construction</t>
  </si>
  <si>
    <t>LAW: UTILITIES FY15 - GAS/WATER/ELECTRIC</t>
  </si>
  <si>
    <t>SWO000818</t>
  </si>
  <si>
    <t>SWO003184</t>
  </si>
  <si>
    <t>LAW-EGW-05</t>
  </si>
  <si>
    <t>LAW-EGW-06</t>
  </si>
  <si>
    <t>LAW-EGW-07</t>
  </si>
  <si>
    <t>LAW-EGW-08</t>
  </si>
  <si>
    <t>LAW-EGW-09</t>
  </si>
  <si>
    <t>LAW-EGW-10</t>
  </si>
  <si>
    <t>LAW-EGW-11</t>
  </si>
  <si>
    <t>LAW-EGW-12</t>
  </si>
  <si>
    <t>LAW-EGW-13</t>
  </si>
  <si>
    <t>LAW-EGW-14</t>
  </si>
  <si>
    <t>LAW-EGW</t>
  </si>
  <si>
    <t>CHECK C-H DATA</t>
  </si>
  <si>
    <t>ADDED MORE BLDGS TO LOOP</t>
  </si>
  <si>
    <t>11/14 Vicki Brown X04907 called regarding the Pardee Way Lighting incl in LAW - Greg said NO - separate meter</t>
  </si>
  <si>
    <t>6/01 Pardee Way Lights removed from 4/00-costs reallocated</t>
  </si>
  <si>
    <t>9/00 REDUCTION DUE TO LIGHT SAVINGS</t>
  </si>
  <si>
    <t>LAW1: UTILITIES FY15 - ELECTRIC ONLY</t>
  </si>
  <si>
    <t>SWO001030</t>
  </si>
  <si>
    <t>SWO003185</t>
  </si>
  <si>
    <t>LAW1-EL-05</t>
  </si>
  <si>
    <t>LAW1-EL-06</t>
  </si>
  <si>
    <t>LAW1-EL-07</t>
  </si>
  <si>
    <t>LAW1-EL-08</t>
  </si>
  <si>
    <t>LAW1-EL-09</t>
  </si>
  <si>
    <t>LAW1-EL-10</t>
  </si>
  <si>
    <t>LAW1-EL-11</t>
  </si>
  <si>
    <t>LAW1-EL-12</t>
  </si>
  <si>
    <t>LAW1-EL-13</t>
  </si>
  <si>
    <t>LAW1-EL-14</t>
  </si>
  <si>
    <t>LAW1-EL</t>
  </si>
  <si>
    <t>More buildings added to chiller plant</t>
  </si>
  <si>
    <t>NOT COOL ENOUGH - RUN PLANT MORE</t>
  </si>
  <si>
    <t>See PED Chiller; Low Usage FY03</t>
  </si>
  <si>
    <t>BRI: UTILITIES FY15 - GAS/WATER/ELECTRIC</t>
  </si>
  <si>
    <t>SWO000819</t>
  </si>
  <si>
    <t>SWO003106</t>
  </si>
  <si>
    <t>BRI-EGW-05</t>
  </si>
  <si>
    <t>BRI-EGW-06</t>
  </si>
  <si>
    <t>BRI-EGW-07</t>
  </si>
  <si>
    <t>BRI-EGW-08</t>
  </si>
  <si>
    <t>BRI-EGW-09</t>
  </si>
  <si>
    <t>BRI-EGW-10</t>
  </si>
  <si>
    <t>BRI-EGW-11</t>
  </si>
  <si>
    <t>BRI-EGW-12</t>
  </si>
  <si>
    <t>BRI-EGW-13</t>
  </si>
  <si>
    <t>BRI-EGW-14</t>
  </si>
  <si>
    <t>BRI-EGW</t>
  </si>
  <si>
    <t>CEM: UTILITIES FY15 - GAS/WATER/ELECTRIC</t>
  </si>
  <si>
    <t>SWO000821</t>
  </si>
  <si>
    <t>SWO003111</t>
  </si>
  <si>
    <t>CEM-EGW-05</t>
  </si>
  <si>
    <t>CEM-EGW-06</t>
  </si>
  <si>
    <t>CEM-EGW-07</t>
  </si>
  <si>
    <t>CEM-EGW-08</t>
  </si>
  <si>
    <t>CEM-EGW-09</t>
  </si>
  <si>
    <t>CEM-EGW-10</t>
  </si>
  <si>
    <t>CEM-EGW-11</t>
  </si>
  <si>
    <t>CEM-EGW-12</t>
  </si>
  <si>
    <t>CEM-EGW-13</t>
  </si>
  <si>
    <t>CEM-EGW-14</t>
  </si>
  <si>
    <t>CEM-EGW</t>
  </si>
  <si>
    <t>Commons  *</t>
  </si>
  <si>
    <t>SWO001277</t>
  </si>
  <si>
    <t>SWO000828</t>
  </si>
  <si>
    <t>SWO002528</t>
  </si>
  <si>
    <t>SWO003398</t>
  </si>
  <si>
    <t>SWO006037</t>
  </si>
  <si>
    <t>SWO008975</t>
  </si>
  <si>
    <t>COM1-ELC07</t>
  </si>
  <si>
    <t>COM1-ELC08</t>
  </si>
  <si>
    <t>COM1-ELC09</t>
  </si>
  <si>
    <t>COM1-ELC10</t>
  </si>
  <si>
    <t>COM1-ELC11</t>
  </si>
  <si>
    <t>Commons Non-Aux  *</t>
  </si>
  <si>
    <t>SWO000825</t>
  </si>
  <si>
    <t>SWO003117</t>
  </si>
  <si>
    <t>COM-ELC-05</t>
  </si>
  <si>
    <t>COM-ELC-06</t>
  </si>
  <si>
    <t>COM-ELC-07</t>
  </si>
  <si>
    <t>COM-ELC-08</t>
  </si>
  <si>
    <t>COM-ELC-09</t>
  </si>
  <si>
    <t>COM-ELC-10</t>
  </si>
  <si>
    <t>COM-ELC-11</t>
  </si>
  <si>
    <t>AHN: UTILITIES FY15 - ELECTRIC</t>
  </si>
  <si>
    <t>SWO000826</t>
  </si>
  <si>
    <t>SWO003089</t>
  </si>
  <si>
    <t>ABT-EGW-05</t>
  </si>
  <si>
    <t>AHN-ELC-06</t>
  </si>
  <si>
    <t>AHN-ELC-07</t>
  </si>
  <si>
    <t>AHN-ELC-08</t>
  </si>
  <si>
    <t>AHN-ELC-09</t>
  </si>
  <si>
    <t>AHN-ELC-10</t>
  </si>
  <si>
    <t>AHN-ELC-11</t>
  </si>
  <si>
    <t>AHN-ELC-12</t>
  </si>
  <si>
    <t>AHN-ELC-13</t>
  </si>
  <si>
    <t>AHN-ELC-14</t>
  </si>
  <si>
    <t>AHN-ELC</t>
  </si>
  <si>
    <t>FY05 RENOVATED - MOVED IN APR 05</t>
  </si>
  <si>
    <t>FY05 RENOVATED APR 05</t>
  </si>
  <si>
    <t>CAS: UTILITIES FY15 - GAS/WATER/ELECTRIC</t>
  </si>
  <si>
    <t>SWO000827</t>
  </si>
  <si>
    <t>SWO003109</t>
  </si>
  <si>
    <t>CAS-EGW-05</t>
  </si>
  <si>
    <t>CAS-EGW-06</t>
  </si>
  <si>
    <t>CAS-EGW-07</t>
  </si>
  <si>
    <t>CAS-EGW-08</t>
  </si>
  <si>
    <t>CAS-EGW-09</t>
  </si>
  <si>
    <t>CAS-EGW-10</t>
  </si>
  <si>
    <t>CAS-EGW-11</t>
  </si>
  <si>
    <t>CAS-EGW-12</t>
  </si>
  <si>
    <t>CAS-EGW-13</t>
  </si>
  <si>
    <t>CAS-EGW-14</t>
  </si>
  <si>
    <t>CAS-EGW</t>
  </si>
  <si>
    <t>NEW COPPER FOUNTAIN - HOOVER CORRIDOR</t>
  </si>
  <si>
    <t>HER: UTILITIES FY15 - GAS/WATER/ELECTRIC</t>
  </si>
  <si>
    <t>SWO003160</t>
  </si>
  <si>
    <t>HER-EGW-05</t>
  </si>
  <si>
    <t>HER-EGW-06</t>
  </si>
  <si>
    <t>HER-EGW-07</t>
  </si>
  <si>
    <t>HER-EGW-08</t>
  </si>
  <si>
    <t>HER-EGW-09</t>
  </si>
  <si>
    <t>HER-EGW-10</t>
  </si>
  <si>
    <t>HER-EGW-11</t>
  </si>
  <si>
    <t>HER-EGW-12</t>
  </si>
  <si>
    <t>HER-EGW-13</t>
  </si>
  <si>
    <t>HER-EGW-14</t>
  </si>
  <si>
    <t>HER-EGW</t>
  </si>
  <si>
    <t>?</t>
  </si>
  <si>
    <t>HEX: UTILITIES FY15 - GAS/WATER/ELECTRIC</t>
  </si>
  <si>
    <t>SWO001026</t>
  </si>
  <si>
    <t>SWO003161</t>
  </si>
  <si>
    <t>HEX-EGW-05</t>
  </si>
  <si>
    <t>HEX-EGW-06</t>
  </si>
  <si>
    <t>HEX-EGW-07</t>
  </si>
  <si>
    <t>HEX-EGW-08</t>
  </si>
  <si>
    <t>HEX-EGW-09</t>
  </si>
  <si>
    <t>HEX-EGW-10</t>
  </si>
  <si>
    <t>HEX-EGW-11</t>
  </si>
  <si>
    <t>HEX-EGW-12</t>
  </si>
  <si>
    <t>HEX-EGW-13</t>
  </si>
  <si>
    <t>HEX-EGW-14</t>
  </si>
  <si>
    <t>HEX-EGW</t>
  </si>
  <si>
    <t>DML: UTILITIES FY15 - GAS/WATER/ELECTRIC</t>
  </si>
  <si>
    <t>SWO000830</t>
  </si>
  <si>
    <t>SWO003129</t>
  </si>
  <si>
    <t>DML-EGW-05</t>
  </si>
  <si>
    <t>DML-EGW-06</t>
  </si>
  <si>
    <t>DML-EGW-07</t>
  </si>
  <si>
    <t>DML-EGW-08</t>
  </si>
  <si>
    <t>DML-EGW-09</t>
  </si>
  <si>
    <t>DML-EGW-10</t>
  </si>
  <si>
    <t>DML-EGW-11</t>
  </si>
  <si>
    <t>DML-EGW-12</t>
  </si>
  <si>
    <t>DML-EGW-13</t>
  </si>
  <si>
    <t>DML-EGW-14</t>
  </si>
  <si>
    <t>DML-EGW</t>
  </si>
  <si>
    <t>INCR OWN CHILLER - OFF CHILLER LOOP</t>
  </si>
  <si>
    <t>GER: UTILITIES FY15 - GAS/WATER/ELECTRIC</t>
  </si>
  <si>
    <t>SWO000831</t>
  </si>
  <si>
    <t>SWO003154</t>
  </si>
  <si>
    <t>GER-EGW-05</t>
  </si>
  <si>
    <t>GER-EGW-06</t>
  </si>
  <si>
    <t>GER-EGW-07</t>
  </si>
  <si>
    <t>GER-EGW-08</t>
  </si>
  <si>
    <t>GER-EGW-09</t>
  </si>
  <si>
    <t>GER-EGW-10</t>
  </si>
  <si>
    <t>GER-EGW-11</t>
  </si>
  <si>
    <t>GER-EGW-12</t>
  </si>
  <si>
    <t>GER-EGW-13</t>
  </si>
  <si>
    <t>GER-EGW-14</t>
  </si>
  <si>
    <t>GER-EGW</t>
  </si>
  <si>
    <t>SCD: UTILITIES FY15 - GAS/WATER/ELECTRIC</t>
  </si>
  <si>
    <t>SWO000832</t>
  </si>
  <si>
    <t>SWO003244</t>
  </si>
  <si>
    <t>SCD-EGW-05</t>
  </si>
  <si>
    <t>SCD-EGW-06</t>
  </si>
  <si>
    <t>SCD-EGW-07</t>
  </si>
  <si>
    <t>SCD-EGW-08</t>
  </si>
  <si>
    <t>SCD-EGW-09</t>
  </si>
  <si>
    <t>SCD-EGW-10</t>
  </si>
  <si>
    <t>SCD-EGW-11</t>
  </si>
  <si>
    <t>SCD-EGW-12</t>
  </si>
  <si>
    <t>SCD-EGW-13</t>
  </si>
  <si>
    <t>SCD-EGW-14</t>
  </si>
  <si>
    <t>SCD-EGW</t>
  </si>
  <si>
    <t>Change in use; new equipment, construction</t>
  </si>
  <si>
    <t>BHE: UTILITIES FY15 - GAS/WATER/ELECTRIC</t>
  </si>
  <si>
    <t>SWO000918</t>
  </si>
  <si>
    <t>SWO003100</t>
  </si>
  <si>
    <t>BHE-EGW-05</t>
  </si>
  <si>
    <t>BHE-EGW-06</t>
  </si>
  <si>
    <t>BHE-EGW-07</t>
  </si>
  <si>
    <t>BHE-EGW-08</t>
  </si>
  <si>
    <t>BHE-EGW-09</t>
  </si>
  <si>
    <t>BHE-EGW-10</t>
  </si>
  <si>
    <t>BHE-EGW-11</t>
  </si>
  <si>
    <t>BHE-EGW-12</t>
  </si>
  <si>
    <t>BHE-EGW-13</t>
  </si>
  <si>
    <t>BHE-EGW-14</t>
  </si>
  <si>
    <t>BHE-EGW</t>
  </si>
  <si>
    <t>VHE: UTILITIES FY15 - GAS/WATER/ELECTRIC</t>
  </si>
  <si>
    <t>SWO000919</t>
  </si>
  <si>
    <t>SWO003275</t>
  </si>
  <si>
    <t>VHE-EGW-05</t>
  </si>
  <si>
    <t>VHE-EGW-06</t>
  </si>
  <si>
    <t>VHE-EGW-07</t>
  </si>
  <si>
    <t>VHE-EGW-08</t>
  </si>
  <si>
    <t>VHE-EGW-09</t>
  </si>
  <si>
    <t>VHE-EGW-10</t>
  </si>
  <si>
    <t>VHE-EGW-11</t>
  </si>
  <si>
    <t>VHE-EGW-12</t>
  </si>
  <si>
    <t>VHE-EGW-13</t>
  </si>
  <si>
    <t>VHE-EGW-14</t>
  </si>
  <si>
    <t>VHE-EGW</t>
  </si>
  <si>
    <t>CONSUMPTION +8%</t>
  </si>
  <si>
    <t>VHE2: UTILITIES FY15 - GAS/WATER/ELECTRIC</t>
  </si>
  <si>
    <t>VHE2-EGW09</t>
  </si>
  <si>
    <t>VHE2-EGW10</t>
  </si>
  <si>
    <t>VHE2-EGW11</t>
  </si>
  <si>
    <t>VHE2-EGW12</t>
  </si>
  <si>
    <t>VHE2-EGW13</t>
  </si>
  <si>
    <t>VHE2-EGW14</t>
  </si>
  <si>
    <t>VHE2-EGW</t>
  </si>
  <si>
    <t>McClintock Building (was University Computing Center)</t>
  </si>
  <si>
    <t>MCC: UTILITIES FY15 - GAS/WATER/ELECTRIC</t>
  </si>
  <si>
    <t>SWO000833</t>
  </si>
  <si>
    <t>SWO003266</t>
  </si>
  <si>
    <t>UCC-EGW-05</t>
  </si>
  <si>
    <t>UCC-EGW-06</t>
  </si>
  <si>
    <t>UCC-EGW-07</t>
  </si>
  <si>
    <t>UCC-EGW-08</t>
  </si>
  <si>
    <t>MCC-EGW-09</t>
  </si>
  <si>
    <t>MCC-EGW-10</t>
  </si>
  <si>
    <t>MCC-EGW-11</t>
  </si>
  <si>
    <t>MCC-EGW-12</t>
  </si>
  <si>
    <t>MCC-EGW-13</t>
  </si>
  <si>
    <t>MCC-EGW-14</t>
  </si>
  <si>
    <t>MCC-EGW</t>
  </si>
  <si>
    <t xml:space="preserve">CHANGE OF USE - THEATRE ARTS </t>
  </si>
  <si>
    <t>ISD moved in Feb. 07</t>
  </si>
  <si>
    <t>Increased costs more eqmt</t>
  </si>
  <si>
    <t>PHE: UTILITIES FY15 - GAS/WATER/ELECTRIC</t>
  </si>
  <si>
    <t>SWO000920</t>
  </si>
  <si>
    <t>SWO003216</t>
  </si>
  <si>
    <t>PHE-EGW-05</t>
  </si>
  <si>
    <t>PHE-EGW-06</t>
  </si>
  <si>
    <t>PHE-EGW-07</t>
  </si>
  <si>
    <t>PHE-EGW-08</t>
  </si>
  <si>
    <t>PHE-EGW-09</t>
  </si>
  <si>
    <t>PHE-EGW-10</t>
  </si>
  <si>
    <t>PHE-EGW-11</t>
  </si>
  <si>
    <t>PHE-EGW-12</t>
  </si>
  <si>
    <t>PHE-EGW-13</t>
  </si>
  <si>
    <t>PHE-EGW-14</t>
  </si>
  <si>
    <t>PHE-EGW</t>
  </si>
  <si>
    <t>WAH: UTILITIES FY15 - GAS/WATER/ELECTRIC</t>
  </si>
  <si>
    <t>SWO000921</t>
  </si>
  <si>
    <t>SWO003277</t>
  </si>
  <si>
    <t>WAH-EGW-05</t>
  </si>
  <si>
    <t>WAH-EGW-06</t>
  </si>
  <si>
    <t>WAH-EGW-07</t>
  </si>
  <si>
    <t>WAH-EGW-08</t>
  </si>
  <si>
    <t>WAH-EGW-09</t>
  </si>
  <si>
    <t>WAH-EGW-10</t>
  </si>
  <si>
    <t>WAH-EGW-11</t>
  </si>
  <si>
    <t>WAH-EGW-12</t>
  </si>
  <si>
    <t>WAH-EGW-13</t>
  </si>
  <si>
    <t>WAH-EGW-14</t>
  </si>
  <si>
    <t>WAH-EGW</t>
  </si>
  <si>
    <t>Added extra floor</t>
  </si>
  <si>
    <t>SHC: UTILITIES FY15 - GAS/WATER/ELECTRIC</t>
  </si>
  <si>
    <t>SWO000922</t>
  </si>
  <si>
    <t>SWO003247</t>
  </si>
  <si>
    <t>SHC-EGW-05</t>
  </si>
  <si>
    <t>SHC-EGW-06</t>
  </si>
  <si>
    <t>SHC-EGW-07</t>
  </si>
  <si>
    <t>SHC-EGW-08</t>
  </si>
  <si>
    <t>SHC-EGW-09</t>
  </si>
  <si>
    <t>SHC-EGW-10</t>
  </si>
  <si>
    <t>SHC-EGW-11</t>
  </si>
  <si>
    <t>SHC-EGW-12</t>
  </si>
  <si>
    <t>SHC-EGW-13</t>
  </si>
  <si>
    <t>SHC-EGW-14</t>
  </si>
  <si>
    <t>SHC-EGW</t>
  </si>
  <si>
    <t>ASC: UTILITIES FY15 - GAS/WATER/ELECTRIC</t>
  </si>
  <si>
    <t>SWO000834</t>
  </si>
  <si>
    <t>SWO003096</t>
  </si>
  <si>
    <t>ASC-EGW-05</t>
  </si>
  <si>
    <t>ASC-EGW-06</t>
  </si>
  <si>
    <t>ASC-EGW-07</t>
  </si>
  <si>
    <t>ASC-EGW-08</t>
  </si>
  <si>
    <t>ASC-EGW-09</t>
  </si>
  <si>
    <t>ASC-EGW-10</t>
  </si>
  <si>
    <t>ASC-EGW-11</t>
  </si>
  <si>
    <t>ASC-EGW-12</t>
  </si>
  <si>
    <t>ASC-EGW-13</t>
  </si>
  <si>
    <t>ASC-EGW-14</t>
  </si>
  <si>
    <t>ASC-EGW</t>
  </si>
  <si>
    <t>THH: UTILITIES FY15 - GAS/WATER/ELECTRIC</t>
  </si>
  <si>
    <t>SWO000925</t>
  </si>
  <si>
    <t>SWO003260</t>
  </si>
  <si>
    <t>THH-EGW-05</t>
  </si>
  <si>
    <t>THH-EGW-06</t>
  </si>
  <si>
    <t>THH-EGW-07</t>
  </si>
  <si>
    <t>THH-EGW-08</t>
  </si>
  <si>
    <t>THH-EGW-09</t>
  </si>
  <si>
    <t>THH-EGW-10</t>
  </si>
  <si>
    <t>THH-EGW-11</t>
  </si>
  <si>
    <t>THH-EGW-12</t>
  </si>
  <si>
    <t>THH-EGW-13</t>
  </si>
  <si>
    <t>THH-EGW-14</t>
  </si>
  <si>
    <t>THH-EGW</t>
  </si>
  <si>
    <t>AHF: UTILITIES FY15 - GAS/WATER/ELECTRIC</t>
  </si>
  <si>
    <t>SWO000926</t>
  </si>
  <si>
    <t>SWO003094</t>
  </si>
  <si>
    <t>AHF-EGW-05</t>
  </si>
  <si>
    <t>AHF-EGW-06</t>
  </si>
  <si>
    <t>AHF-EGW-07</t>
  </si>
  <si>
    <t>AHF-EGW-08</t>
  </si>
  <si>
    <t>AHF-EGW-09</t>
  </si>
  <si>
    <t>AHF-EGW-10</t>
  </si>
  <si>
    <t>AHF-EGW-11</t>
  </si>
  <si>
    <t>AHF-EGW-12</t>
  </si>
  <si>
    <t>AHF-EGW-13</t>
  </si>
  <si>
    <t>AHF-EGW-14</t>
  </si>
  <si>
    <t>AHF-EGW</t>
  </si>
  <si>
    <t>ADDED EQMT - FREEZER FARM</t>
  </si>
  <si>
    <t>Increase activity - Remodel classes to labs</t>
  </si>
  <si>
    <t>Newman Concert Hall</t>
  </si>
  <si>
    <t>HAR: UTILITIES FY15 - GAS/WATER/ELECTRIC</t>
  </si>
  <si>
    <t>SWO000927</t>
  </si>
  <si>
    <t>SWO003158</t>
  </si>
  <si>
    <t>HAR-EGW-05</t>
  </si>
  <si>
    <t>HAR-EGW-06</t>
  </si>
  <si>
    <t>HAR-EGW-07</t>
  </si>
  <si>
    <t>HAR-EGW-08</t>
  </si>
  <si>
    <t>HAR-EGW-09</t>
  </si>
  <si>
    <t>HAR-EGW-10</t>
  </si>
  <si>
    <t>HAR-EGW-11</t>
  </si>
  <si>
    <t>HAR-EGW-12</t>
  </si>
  <si>
    <t>HAR-EGW-13</t>
  </si>
  <si>
    <t>HAR-EGW-14</t>
  </si>
  <si>
    <t>HAR-EGW</t>
  </si>
  <si>
    <t>TEMP CHILLER USED IN SUMMER MONTHS</t>
  </si>
  <si>
    <t>More computers-Design &amp; Architecture</t>
  </si>
  <si>
    <t>OCW: UTILITIES FY15 - GAS/WATER/ELECTRIC</t>
  </si>
  <si>
    <t>SWO000928</t>
  </si>
  <si>
    <t>SWO003208</t>
  </si>
  <si>
    <t>OCW-EGW-05</t>
  </si>
  <si>
    <t>OCW-EGW-06</t>
  </si>
  <si>
    <t>OCW-EGW-07</t>
  </si>
  <si>
    <t>OCW-EGW-08</t>
  </si>
  <si>
    <t>OCW-EGW-09</t>
  </si>
  <si>
    <t>OCW-EGW-10</t>
  </si>
  <si>
    <t>OCW-EGW-11</t>
  </si>
  <si>
    <t>OCW-EGW-12</t>
  </si>
  <si>
    <t>OCW-EGW-13</t>
  </si>
  <si>
    <t>OCW-EGW-14</t>
  </si>
  <si>
    <t>OCW-EGW</t>
  </si>
  <si>
    <t>New electromagnetic machines; Check Nov. 98 data; New high-load lab renovation added</t>
  </si>
  <si>
    <t>LJS: UTILITIES FY15 - GAS/WATER/ELECTRIC</t>
  </si>
  <si>
    <t>SWO000929</t>
  </si>
  <si>
    <t>SWO003187</t>
  </si>
  <si>
    <t>LJS-EGW-05</t>
  </si>
  <si>
    <t>LJS-EGW-06</t>
  </si>
  <si>
    <t>LJS-EGW-07</t>
  </si>
  <si>
    <t>LJS-EGW-08</t>
  </si>
  <si>
    <t>LJS-EGW-09</t>
  </si>
  <si>
    <t>LJS-EGW-10</t>
  </si>
  <si>
    <t>LJS-EGW-11</t>
  </si>
  <si>
    <t>LJS-EGW-12</t>
  </si>
  <si>
    <t>LJS-EGW-13</t>
  </si>
  <si>
    <t>LJS-EGW-14</t>
  </si>
  <si>
    <t>LJS-EGW</t>
  </si>
  <si>
    <t>MORE RESEARCH AREA</t>
  </si>
  <si>
    <t>MRF: UTILITIES FY15 - GAS/WATER/ELECTRIC</t>
  </si>
  <si>
    <t>SWO000836</t>
  </si>
  <si>
    <t>SWO003200</t>
  </si>
  <si>
    <t>MRF-EGW-05</t>
  </si>
  <si>
    <t>MRF-EGW-06</t>
  </si>
  <si>
    <t>MRF-EGW-07</t>
  </si>
  <si>
    <t>MRF-EGW-08</t>
  </si>
  <si>
    <t>MRF-EGW-09</t>
  </si>
  <si>
    <t>MRF-EGW-10</t>
  </si>
  <si>
    <t>MRF-EGW-11</t>
  </si>
  <si>
    <t>MRF-EGW-12</t>
  </si>
  <si>
    <t>MRF-EGW-13</t>
  </si>
  <si>
    <t>MRF-EGW-14</t>
  </si>
  <si>
    <t>MRF-EGW</t>
  </si>
  <si>
    <t>6/03-METER MALFUNCTION-GREG ESTIMATED BILL</t>
  </si>
  <si>
    <t>O</t>
  </si>
  <si>
    <t>KER: UTILITIES FY15 - GAS/WATER/ELECTRIC</t>
  </si>
  <si>
    <t>SWO000930</t>
  </si>
  <si>
    <t>SWO003182</t>
  </si>
  <si>
    <t>KER-EGW-05</t>
  </si>
  <si>
    <t>KER-EGW-06</t>
  </si>
  <si>
    <t>KER-EGW-07</t>
  </si>
  <si>
    <t>KER-EGW-08</t>
  </si>
  <si>
    <t>KER-EGW-09</t>
  </si>
  <si>
    <t>KER-EGW-10</t>
  </si>
  <si>
    <t>KER-EGW-11</t>
  </si>
  <si>
    <t>KER-EGW-12</t>
  </si>
  <si>
    <t>KER-EGW-13</t>
  </si>
  <si>
    <t>KER-EGW-14</t>
  </si>
  <si>
    <t>KER-EGW</t>
  </si>
  <si>
    <t>STAFF &amp; EQMT INCR FROM 4 TO 21</t>
  </si>
  <si>
    <t>More occupants</t>
  </si>
  <si>
    <t>1/01 3 MOS CONSUMPTION; 05/01 STARTED SUBMETERING #42 KER &amp; #52 ECT</t>
  </si>
  <si>
    <t>ACC: UTILITIES FY15 - GAS/WATER/ELECTRIC</t>
  </si>
  <si>
    <t>SWO000931</t>
  </si>
  <si>
    <t>SWO003091</t>
  </si>
  <si>
    <t>ACC-EGW-05</t>
  </si>
  <si>
    <t>ACC-EGW-06</t>
  </si>
  <si>
    <t>ACC-EGW-07</t>
  </si>
  <si>
    <t>ACC-EGW-08</t>
  </si>
  <si>
    <t>ACC-EGW-09</t>
  </si>
  <si>
    <t>ACC-EGW-10</t>
  </si>
  <si>
    <t>ACC-EGW-11</t>
  </si>
  <si>
    <t>ACC-EGW-12</t>
  </si>
  <si>
    <t>ACC-EGW-13</t>
  </si>
  <si>
    <t>ACC-EGW-14</t>
  </si>
  <si>
    <t>ACC-EGW</t>
  </si>
  <si>
    <t>MHP: UTILITIES FY15 - GAS/WATER/ELECTRIC</t>
  </si>
  <si>
    <t>SWO000932</t>
  </si>
  <si>
    <t>SWO003198</t>
  </si>
  <si>
    <t>MHP-EGW-05</t>
  </si>
  <si>
    <t>MHP-EGW-06</t>
  </si>
  <si>
    <t>MHP-EGW-07</t>
  </si>
  <si>
    <t>MHP-EGW-08</t>
  </si>
  <si>
    <t>MHP-EGW-09</t>
  </si>
  <si>
    <t>MHP-EGW-10</t>
  </si>
  <si>
    <t>MHP-EGW-11</t>
  </si>
  <si>
    <t>MHP-EGW-12</t>
  </si>
  <si>
    <t>MHP-EGW-13</t>
  </si>
  <si>
    <t>MHP-EGW-14</t>
  </si>
  <si>
    <t>MHP-EGW</t>
  </si>
  <si>
    <t>ALM: UTILITIES FY15 - GAS/WATER/ELECTRIC</t>
  </si>
  <si>
    <t>SWO000837</t>
  </si>
  <si>
    <t>SWO003095</t>
  </si>
  <si>
    <t>ALM-EGW-05</t>
  </si>
  <si>
    <t>ALM-EGW-06</t>
  </si>
  <si>
    <t>ALM-EGW-07</t>
  </si>
  <si>
    <t>ALM-EGW-08</t>
  </si>
  <si>
    <t>ALM-EGW-09</t>
  </si>
  <si>
    <t>ALM-EGW-10</t>
  </si>
  <si>
    <t>ALM-EGW-11</t>
  </si>
  <si>
    <t>ALM-EGW-12</t>
  </si>
  <si>
    <t>ALM-EGW-13</t>
  </si>
  <si>
    <t>ALM-EGW-14</t>
  </si>
  <si>
    <t>ALM-EGW</t>
  </si>
  <si>
    <t>JEP: UTILITIES FY15 - GAS/WATER/ELECTRIC</t>
  </si>
  <si>
    <t>SWO000933</t>
  </si>
  <si>
    <t>SWO003176</t>
  </si>
  <si>
    <t>JEP-EGW-05</t>
  </si>
  <si>
    <t>JEP-EGW-06</t>
  </si>
  <si>
    <t>JEP-EGW-07</t>
  </si>
  <si>
    <t>JEP-EGW-08</t>
  </si>
  <si>
    <t>JEP-EGW-09</t>
  </si>
  <si>
    <t>JEP-EGW-10</t>
  </si>
  <si>
    <t>JEP-EGW-11</t>
  </si>
  <si>
    <t>JEP-EGW-12</t>
  </si>
  <si>
    <t>JEP-EGW-13</t>
  </si>
  <si>
    <t>JEP-EGW-14</t>
  </si>
  <si>
    <t>JEP-EGW</t>
  </si>
  <si>
    <t>Ask customer about possible changes</t>
  </si>
  <si>
    <t>SSC: UTILITIES FY15 - GAS/WATER/ELECTRIC</t>
  </si>
  <si>
    <t>SWO000934</t>
  </si>
  <si>
    <t>SWO003254</t>
  </si>
  <si>
    <t>SSC-EGW-05</t>
  </si>
  <si>
    <t>SSC-EGW-06</t>
  </si>
  <si>
    <t>SSC-EGW-07</t>
  </si>
  <si>
    <t>SSC-EGW-08</t>
  </si>
  <si>
    <t>SSC-EGW-09</t>
  </si>
  <si>
    <t>SSC-EGW-10</t>
  </si>
  <si>
    <t>SSC-EGW-11</t>
  </si>
  <si>
    <t>SSC-EGW-12</t>
  </si>
  <si>
    <t>SSC-EGW-13</t>
  </si>
  <si>
    <t>SSC-EGW-14</t>
  </si>
  <si>
    <t>SSC-EGW</t>
  </si>
  <si>
    <t>ADDES SMALLER CHILLER &amp; 2 AIR HANDLERS</t>
  </si>
  <si>
    <t xml:space="preserve">Chilled water </t>
  </si>
  <si>
    <t>SSC1: UTILITIES FY15 - GAS/WATER/ELECTRIC</t>
  </si>
  <si>
    <t>SWO003695</t>
  </si>
  <si>
    <t>SSC1-EG-05</t>
  </si>
  <si>
    <t>SSC1-EG-06</t>
  </si>
  <si>
    <t>SSC1-EG-07</t>
  </si>
  <si>
    <t>SSC1-EG-08</t>
  </si>
  <si>
    <t>SSC1-EG-09</t>
  </si>
  <si>
    <t>SSC1-EG-10</t>
  </si>
  <si>
    <t>SSC1-EG-11</t>
  </si>
  <si>
    <t>SSC1-EG-12</t>
  </si>
  <si>
    <t>SSC1-EG-13</t>
  </si>
  <si>
    <t>SSC1-EG-14</t>
  </si>
  <si>
    <t>SSC1-EG</t>
  </si>
  <si>
    <t>INCREASED USAGE</t>
  </si>
  <si>
    <t>More buildings tied to loop</t>
  </si>
  <si>
    <t>STARTED IN 4/04</t>
  </si>
  <si>
    <t>SSL: UTILITIES FY15 - GAS/WATER/ELECTRIC</t>
  </si>
  <si>
    <t>SWO000935</t>
  </si>
  <si>
    <t>SWO003256</t>
  </si>
  <si>
    <t>SSL-EGW-05</t>
  </si>
  <si>
    <t>SSL-EGW-06</t>
  </si>
  <si>
    <t>SSL-EGW-07</t>
  </si>
  <si>
    <t>SSL-EGW-08</t>
  </si>
  <si>
    <t>SSL-EGW-09</t>
  </si>
  <si>
    <t>SSL-EGW-10</t>
  </si>
  <si>
    <t>SSL-EGW-11</t>
  </si>
  <si>
    <t>SSL-EGW-12</t>
  </si>
  <si>
    <t>SSL-EGW-13</t>
  </si>
  <si>
    <t>SSL-EGW-14</t>
  </si>
  <si>
    <t>SSL-EGW</t>
  </si>
  <si>
    <t>ECT: UTILITIES FY15 - GAS/WATER/ELECTRIC</t>
  </si>
  <si>
    <t>SWO000838</t>
  </si>
  <si>
    <t>SWO003138</t>
  </si>
  <si>
    <t>ECT-EGW-05</t>
  </si>
  <si>
    <t>ECT-EGW-06</t>
  </si>
  <si>
    <t>ECT-EGW-07</t>
  </si>
  <si>
    <t>ECT-EGW-08</t>
  </si>
  <si>
    <t>ECT-EGW-09</t>
  </si>
  <si>
    <t>ECT-EGW-10</t>
  </si>
  <si>
    <t>ECT-EGW-11</t>
  </si>
  <si>
    <t>ECT-EGW-12</t>
  </si>
  <si>
    <t>ECT-EGW-13</t>
  </si>
  <si>
    <t>ECT-EGW-14</t>
  </si>
  <si>
    <t>ECT-EGW</t>
  </si>
  <si>
    <t>ADDED 4 STAFF &amp; 6 COMPUTER STATIONS</t>
  </si>
  <si>
    <t xml:space="preserve">John Welsh is looking into sub-metering </t>
  </si>
  <si>
    <t>A</t>
  </si>
  <si>
    <t>WTO: UTILITIES FY15 - ELECTRIC</t>
  </si>
  <si>
    <t>SWO001280</t>
  </si>
  <si>
    <t>SWO000944</t>
  </si>
  <si>
    <t>SWO002525</t>
  </si>
  <si>
    <t>SWO003279</t>
  </si>
  <si>
    <t>SWO005988</t>
  </si>
  <si>
    <t>SWO009003</t>
  </si>
  <si>
    <t>WTO-ELC-07</t>
  </si>
  <si>
    <t>WTO-ELC-08</t>
  </si>
  <si>
    <t>WTO-ELC-09</t>
  </si>
  <si>
    <t>WTO-ELC-10</t>
  </si>
  <si>
    <t>WTO-ELC-11</t>
  </si>
  <si>
    <t>WTO-ELC-12</t>
  </si>
  <si>
    <t>WTO-ELC-13</t>
  </si>
  <si>
    <t>WTO-ELC-14</t>
  </si>
  <si>
    <t>WTO-ELC</t>
  </si>
  <si>
    <t>FY 06 Earthquake Retrofit - In use FY 2007</t>
  </si>
  <si>
    <t>FY06 EARTHQUAKE RETROFIT</t>
  </si>
  <si>
    <t>Closed 1/2 down for summer 2000 per JeffU?</t>
  </si>
  <si>
    <t>FLT: UTILITIES FY15 - ELECTRIC</t>
  </si>
  <si>
    <t>SWO001282</t>
  </si>
  <si>
    <t>SWO000841</t>
  </si>
  <si>
    <t>SWO002519</t>
  </si>
  <si>
    <t>SWO003150</t>
  </si>
  <si>
    <t>SWO005990</t>
  </si>
  <si>
    <t>SWO009005</t>
  </si>
  <si>
    <t>FLT-ELC-07</t>
  </si>
  <si>
    <t>FLT-ELC-08</t>
  </si>
  <si>
    <t>FLT-ELC-09</t>
  </si>
  <si>
    <t>FLT-ELC-10</t>
  </si>
  <si>
    <t>FLT-ELC-11</t>
  </si>
  <si>
    <t>FLT-ELC-12</t>
  </si>
  <si>
    <t>FLT-ELC-13</t>
  </si>
  <si>
    <t>FLT-ELC-14</t>
  </si>
  <si>
    <t>FLT-ELC</t>
  </si>
  <si>
    <t>CWT: UTILITIES FY15 - GAS/WATER/ELECTRIC</t>
  </si>
  <si>
    <t>SWO000839</t>
  </si>
  <si>
    <t>SWO003126</t>
  </si>
  <si>
    <t>CWT-EGW-05</t>
  </si>
  <si>
    <t>CWT-EGW-06</t>
  </si>
  <si>
    <t>CWT-EGW-07</t>
  </si>
  <si>
    <t>CWT-EGW-08</t>
  </si>
  <si>
    <t>CWT-EGW-09</t>
  </si>
  <si>
    <t>CWT-EGW-10</t>
  </si>
  <si>
    <t>CWT-EGW-11</t>
  </si>
  <si>
    <t>CWT-EGW-12</t>
  </si>
  <si>
    <t>CWT-EGW-13</t>
  </si>
  <si>
    <t>CWT-EGW-14</t>
  </si>
  <si>
    <t>CWT-EGW</t>
  </si>
  <si>
    <t>CONSTRUCTION MOVED 7/25 per GD</t>
  </si>
  <si>
    <t>SWO000940</t>
  </si>
  <si>
    <t>SWO003223</t>
  </si>
  <si>
    <t>PPU-EGW-05</t>
  </si>
  <si>
    <t>PPU-EGW-06</t>
  </si>
  <si>
    <t>PPU-EGW-07</t>
  </si>
  <si>
    <t>PPU-EGW-08</t>
  </si>
  <si>
    <t>Review % allocation; Included in Bldg. 90 for FY0001</t>
  </si>
  <si>
    <t>SWO000941</t>
  </si>
  <si>
    <t>SWO003222</t>
  </si>
  <si>
    <t>PPG-EGW-05</t>
  </si>
  <si>
    <t>PPG-EGW-06</t>
  </si>
  <si>
    <t>PPG-EGW-07</t>
  </si>
  <si>
    <t>PPG-EGW-08</t>
  </si>
  <si>
    <t>PPG-EGW-09</t>
  </si>
  <si>
    <t>FAM: UTILITIES FY15 - GAS/WATER/ELECTRIC</t>
  </si>
  <si>
    <t>SWO000942</t>
  </si>
  <si>
    <t>SWO003147</t>
  </si>
  <si>
    <t>FAM-EGW-05</t>
  </si>
  <si>
    <t>FAM-EGW-06</t>
  </si>
  <si>
    <t>FAM-EGW-07</t>
  </si>
  <si>
    <t>FAM-EGW-08</t>
  </si>
  <si>
    <t>FAM-EGW-09</t>
  </si>
  <si>
    <t>FAM-EGW-10</t>
  </si>
  <si>
    <t>FAM-EGW-11</t>
  </si>
  <si>
    <t>FAM-EGW-12</t>
  </si>
  <si>
    <t>FAM-EGW-14</t>
  </si>
  <si>
    <t>FAM-EGW</t>
  </si>
  <si>
    <t>DEN: UTILITIES FY15 - GAS/WATER/ELECTRIC</t>
  </si>
  <si>
    <t>SWO000840</t>
  </si>
  <si>
    <t>SWO003128</t>
  </si>
  <si>
    <t>DEN-EGW-05</t>
  </si>
  <si>
    <t>DEN-EGW-06</t>
  </si>
  <si>
    <t>DEN-EGW-07</t>
  </si>
  <si>
    <t>DEN-EGW-08</t>
  </si>
  <si>
    <t>DEN-EGW-09</t>
  </si>
  <si>
    <t>DEN-EGW-10</t>
  </si>
  <si>
    <t>DEN-EGW-11</t>
  </si>
  <si>
    <t>DEN-EGW-12</t>
  </si>
  <si>
    <t>DEN-EGW-13</t>
  </si>
  <si>
    <t>DEN-EGW-14</t>
  </si>
  <si>
    <t>DEN-EGW</t>
  </si>
  <si>
    <t>DEN9: UTILITIES FY15 - ELECTRIC, CELL SITE</t>
  </si>
  <si>
    <t>PED: UTILITIES FY15 - GAS/WATER/ELECTRIC</t>
  </si>
  <si>
    <t>SWO000943</t>
  </si>
  <si>
    <t>SWO003214</t>
  </si>
  <si>
    <t>PED-EGW-05</t>
  </si>
  <si>
    <t>PED-EGW-06</t>
  </si>
  <si>
    <t>PED-EGW-07</t>
  </si>
  <si>
    <t>PED-EGW-08</t>
  </si>
  <si>
    <t>PED-EGW-09</t>
  </si>
  <si>
    <t>PED-EGW-10</t>
  </si>
  <si>
    <t>PED-EGW-11</t>
  </si>
  <si>
    <t>PED-EGW-12</t>
  </si>
  <si>
    <t>PED-EGW-13</t>
  </si>
  <si>
    <t>PED-EGW-14</t>
  </si>
  <si>
    <t>PED-EGW</t>
  </si>
  <si>
    <t>MORE CLASSES &amp; OFFICE SPACE</t>
  </si>
  <si>
    <t>PED1: UTILITIES FY15 - ELECTRIC ONLY</t>
  </si>
  <si>
    <t>SWO003215</t>
  </si>
  <si>
    <t>PED1-EL-05</t>
  </si>
  <si>
    <t>PED1-EL-06</t>
  </si>
  <si>
    <t>PED1-EL-07</t>
  </si>
  <si>
    <t>PED1-EL-08</t>
  </si>
  <si>
    <t>PED1-EL-09</t>
  </si>
  <si>
    <t>PED1-EL-10</t>
  </si>
  <si>
    <t>PED1-EL-11</t>
  </si>
  <si>
    <t>PED1-EL-12</t>
  </si>
  <si>
    <t>PED1-EL-13</t>
  </si>
  <si>
    <t>PED1-EL-14</t>
  </si>
  <si>
    <t>PED1-EL</t>
  </si>
  <si>
    <t>Dec cost higher to include some Nov costs</t>
  </si>
  <si>
    <t>HED: UTILITIES FY15 - GAS/WATER/ELECTRIC</t>
  </si>
  <si>
    <t>SWO000948</t>
  </si>
  <si>
    <t>SWO003159</t>
  </si>
  <si>
    <t>HED-EGW-05</t>
  </si>
  <si>
    <t>HED-EGW-06</t>
  </si>
  <si>
    <t>HED-EGW-07</t>
  </si>
  <si>
    <t>HED-EGW-08</t>
  </si>
  <si>
    <t>HED-EGW-09</t>
  </si>
  <si>
    <t>HED-EGW-10</t>
  </si>
  <si>
    <t>HED-EGW-11</t>
  </si>
  <si>
    <t>HED-EGW-12</t>
  </si>
  <si>
    <t>HED-EGW-13</t>
  </si>
  <si>
    <t>HED-EGW-14</t>
  </si>
  <si>
    <t>HED-EGW</t>
  </si>
  <si>
    <t>MORE OCCUPANTS</t>
  </si>
  <si>
    <t>BDF: UTILITIES FY15 - GAS/WATER/ELECTRIC</t>
  </si>
  <si>
    <t>SWO000949</t>
  </si>
  <si>
    <t>SWO003098</t>
  </si>
  <si>
    <t>BDF-EGW-05</t>
  </si>
  <si>
    <t>BDF-EGW-06</t>
  </si>
  <si>
    <t>BDF-EGW-07</t>
  </si>
  <si>
    <t>BDF-EGW-08</t>
  </si>
  <si>
    <t>BDF-EGW-09</t>
  </si>
  <si>
    <t>BDF-EGW-10</t>
  </si>
  <si>
    <t>BDF-EGW-11</t>
  </si>
  <si>
    <t>BDF-EGW-12</t>
  </si>
  <si>
    <t>BDF-EGW-13</t>
  </si>
  <si>
    <t>BDF-EGW-14</t>
  </si>
  <si>
    <t>BDF-EGW</t>
  </si>
  <si>
    <t>ADDED BATTING CAGE &amp; LIGHTS USAGE</t>
  </si>
  <si>
    <t>More occupants - FMS trailer gone</t>
  </si>
  <si>
    <t>Fluctuates monthly by usage</t>
  </si>
  <si>
    <t>ZHS: UTILITIES FY15 - GAS/WATER/ELECTRIC</t>
  </si>
  <si>
    <t>SWO000842</t>
  </si>
  <si>
    <t>SWO003245</t>
  </si>
  <si>
    <t>ZHS-EGW-05</t>
  </si>
  <si>
    <t>ZHS-EGW-06</t>
  </si>
  <si>
    <t>ZHS-EGW-07</t>
  </si>
  <si>
    <t>ZHS-EGW-08</t>
  </si>
  <si>
    <t>ZHS-EGW-09</t>
  </si>
  <si>
    <t>ZHS-EGW-10</t>
  </si>
  <si>
    <t>ZHS-EGW-11</t>
  </si>
  <si>
    <t>ZHS-EGW-12</t>
  </si>
  <si>
    <t>ZHS-EGW-13</t>
  </si>
  <si>
    <t>ZHS-EGW-14</t>
  </si>
  <si>
    <t>ZHS-EGW</t>
  </si>
  <si>
    <t>URC: UTILITIES FY15 - GAS/WATER/ELECTRIC</t>
  </si>
  <si>
    <t>SWO000950</t>
  </si>
  <si>
    <t>SWO003272</t>
  </si>
  <si>
    <t>URC-EGW-05</t>
  </si>
  <si>
    <t>URC-EGW-06</t>
  </si>
  <si>
    <t>URC-EGW-07</t>
  </si>
  <si>
    <t>URC-EGW-08</t>
  </si>
  <si>
    <t>URC-EGW-09</t>
  </si>
  <si>
    <t>URC-EGW-10</t>
  </si>
  <si>
    <t>URC-EGW-11</t>
  </si>
  <si>
    <t>URC-EGW-12</t>
  </si>
  <si>
    <t>URC-EGW-13</t>
  </si>
  <si>
    <t>URC-EGW-14</t>
  </si>
  <si>
    <t>URC-EGW</t>
  </si>
  <si>
    <t>NCT: UTILITIES FY15 - GAS/WATER/ELECTRIC</t>
  </si>
  <si>
    <t>SWO000951</t>
  </si>
  <si>
    <t>SWO003204</t>
  </si>
  <si>
    <t>NCT-EGW-05</t>
  </si>
  <si>
    <t>NCT-EGW-06</t>
  </si>
  <si>
    <t>NCT-EGW-07</t>
  </si>
  <si>
    <t>NCT-EGW-08</t>
  </si>
  <si>
    <t>NCT-EGW-09</t>
  </si>
  <si>
    <t>NCT-EGW-10</t>
  </si>
  <si>
    <t>NCT-EGW-11</t>
  </si>
  <si>
    <t>NCT-EGW-12</t>
  </si>
  <si>
    <t>NCT-EGW-13</t>
  </si>
  <si>
    <t>NCT-EGW-14</t>
  </si>
  <si>
    <t>NCT-EGW</t>
  </si>
  <si>
    <t>REMODEL IN FY05</t>
  </si>
  <si>
    <t>SAL: UTILITIES FY15 - GAS/WATER/ELECTRIC</t>
  </si>
  <si>
    <t>SWO000952</t>
  </si>
  <si>
    <t>SWO003241</t>
  </si>
  <si>
    <t>SAL-EGW-05</t>
  </si>
  <si>
    <t>SAL-EGW-06</t>
  </si>
  <si>
    <t>SAL-EGW-07</t>
  </si>
  <si>
    <t>SAL-EGW-08</t>
  </si>
  <si>
    <t>SAL-EGW-09</t>
  </si>
  <si>
    <t>SAL-EGW-10</t>
  </si>
  <si>
    <t>SAL-EGW-11</t>
  </si>
  <si>
    <t>SAL-EGW-12</t>
  </si>
  <si>
    <t>SAL-EGW-13</t>
  </si>
  <si>
    <t>SAL-EGW-14</t>
  </si>
  <si>
    <t>SAL-EGW</t>
  </si>
  <si>
    <t>DRC: UTILITIES FY15 - GAS/WATER/ELECTRIC</t>
  </si>
  <si>
    <t>SWO000843</t>
  </si>
  <si>
    <t>SWO003133</t>
  </si>
  <si>
    <t>DRC-EGW-05</t>
  </si>
  <si>
    <t>DRC-EGW-06</t>
  </si>
  <si>
    <t>DRC-EGW-07</t>
  </si>
  <si>
    <t>DRC-EGW-08</t>
  </si>
  <si>
    <t>DRC-EGW-09</t>
  </si>
  <si>
    <t>DRC-EGW-10</t>
  </si>
  <si>
    <t>DRC-EGW-11</t>
  </si>
  <si>
    <t>DRC-EGW-12</t>
  </si>
  <si>
    <t>DRC-EGW-13</t>
  </si>
  <si>
    <t>DRC-EGW-14</t>
  </si>
  <si>
    <t>DRC-EGW</t>
  </si>
  <si>
    <t>Added 3 trailers from #59</t>
  </si>
  <si>
    <t>TYL: UTILITIES FY15 - GAS/WATER/ELECTRIC</t>
  </si>
  <si>
    <t>SWO000953</t>
  </si>
  <si>
    <t>SWO003265</t>
  </si>
  <si>
    <t>TYL-EGW-05</t>
  </si>
  <si>
    <t>TYL-EGW-06</t>
  </si>
  <si>
    <t>TYL-EGW-07</t>
  </si>
  <si>
    <t>TYL-EGW-08</t>
  </si>
  <si>
    <t>TYL-EGW-09</t>
  </si>
  <si>
    <t>TYL-EGW-10</t>
  </si>
  <si>
    <t>TYL-EGW-11</t>
  </si>
  <si>
    <t>TYL-EGW-12</t>
  </si>
  <si>
    <t>TYL-EGW-13</t>
  </si>
  <si>
    <t>TYL-EGW-14</t>
  </si>
  <si>
    <t>TYL-EGW</t>
  </si>
  <si>
    <t>RHM: UTILITIES FY15 - GAS/WATER/ELECTRIC</t>
  </si>
  <si>
    <t>SWO000955</t>
  </si>
  <si>
    <t>SWO003236</t>
  </si>
  <si>
    <t>RHM-EGW-05</t>
  </si>
  <si>
    <t>RHM-EGW-06</t>
  </si>
  <si>
    <t>RHM-EGW-07</t>
  </si>
  <si>
    <t>RHM-EGW-08</t>
  </si>
  <si>
    <t>RHM-EGW-09</t>
  </si>
  <si>
    <t>RHM-EGW-10</t>
  </si>
  <si>
    <t>RHM-EGW-11</t>
  </si>
  <si>
    <t>RHM-EGW-12</t>
  </si>
  <si>
    <t>RHM-EGW-13</t>
  </si>
  <si>
    <t>RHM-EGW-14</t>
  </si>
  <si>
    <t>RHM-EGW</t>
  </si>
  <si>
    <t>BIT: UTILITIES FY15 - GAS/WATER/ELECTRIC</t>
  </si>
  <si>
    <t>SWO000844</t>
  </si>
  <si>
    <t>SWO003101</t>
  </si>
  <si>
    <t>BIT-EGW-05</t>
  </si>
  <si>
    <t>BIT-EGW-06</t>
  </si>
  <si>
    <t>BIT-EGW-07</t>
  </si>
  <si>
    <t>BIT-EGW-08</t>
  </si>
  <si>
    <t>BIT-EGW-09</t>
  </si>
  <si>
    <t>BIT-EGW-10</t>
  </si>
  <si>
    <t>BIT-EGW-11</t>
  </si>
  <si>
    <t>BIT-EGW-12</t>
  </si>
  <si>
    <t>BIT-EGW-13</t>
  </si>
  <si>
    <t>BIT-EGW-14</t>
  </si>
  <si>
    <t>BIT-EGW</t>
  </si>
  <si>
    <t>MORE PROGRMS</t>
  </si>
  <si>
    <t>MUS: UTILITIES FY15 - GAS/WATER/ELECTRIC</t>
  </si>
  <si>
    <t>SWO000956</t>
  </si>
  <si>
    <t>SWO003202</t>
  </si>
  <si>
    <t>MUS-EGW-05</t>
  </si>
  <si>
    <t>MUS-EGW-06</t>
  </si>
  <si>
    <t>MUS-EGW-07</t>
  </si>
  <si>
    <t>MUS-EGW-08</t>
  </si>
  <si>
    <t>MUS-EGW-09</t>
  </si>
  <si>
    <t>MUS-EGW-10</t>
  </si>
  <si>
    <t>MUS-EGW-11</t>
  </si>
  <si>
    <t>MUS-EGW-12</t>
  </si>
  <si>
    <t>MUS-EGW-13</t>
  </si>
  <si>
    <t>MUS-EGW-14</t>
  </si>
  <si>
    <t>MUS-EGW</t>
  </si>
  <si>
    <t>Davidson Conference Center Non-Aux*</t>
  </si>
  <si>
    <t>DCC: UTILITIES FY15 - GAS/WATER/ELECTRIC</t>
  </si>
  <si>
    <t>SWO000845</t>
  </si>
  <si>
    <t>SWO003127</t>
  </si>
  <si>
    <t>DCC-EGW-05</t>
  </si>
  <si>
    <t>DCC-EGW-06</t>
  </si>
  <si>
    <t>DCC-EGW-07</t>
  </si>
  <si>
    <t>DCC-EGW-08</t>
  </si>
  <si>
    <t>DCC-EGW-09</t>
  </si>
  <si>
    <t>DCC-EGW-10</t>
  </si>
  <si>
    <t>DCC-EGW-11</t>
  </si>
  <si>
    <t>DCC-EGW-12</t>
  </si>
  <si>
    <t>DCC-EGW-13</t>
  </si>
  <si>
    <t>DCC-EGW-14</t>
  </si>
  <si>
    <t>DCC-EGW</t>
  </si>
  <si>
    <t>DCC1: UTILITIES FY15 - ELECTRIC</t>
  </si>
  <si>
    <t>SWO001284</t>
  </si>
  <si>
    <t>SWO000979</t>
  </si>
  <si>
    <t>SWO002535</t>
  </si>
  <si>
    <t>SWO003401</t>
  </si>
  <si>
    <t>SWO006041</t>
  </si>
  <si>
    <t>SWO008965</t>
  </si>
  <si>
    <t>DCC1-ELC07</t>
  </si>
  <si>
    <t>DCC1-ELC08</t>
  </si>
  <si>
    <t>DCC1-ELC09</t>
  </si>
  <si>
    <t>DCC1-ELC10</t>
  </si>
  <si>
    <t>DCC1-ELC11</t>
  </si>
  <si>
    <t>DCC1-ELC12</t>
  </si>
  <si>
    <t>DCC1-ELC13</t>
  </si>
  <si>
    <t>DCC1-ELC14</t>
  </si>
  <si>
    <t>DCC1-ELC</t>
  </si>
  <si>
    <t>Mid 1/03 Catering Office complained; lower temp for this area per F. Del Rio</t>
  </si>
  <si>
    <t>BSR: UTILITIES FY15 - ELECTRIC</t>
  </si>
  <si>
    <t>SWO001287</t>
  </si>
  <si>
    <t>SWO000982</t>
  </si>
  <si>
    <t>SWO002515</t>
  </si>
  <si>
    <t>SWO003107</t>
  </si>
  <si>
    <t>SWO006031</t>
  </si>
  <si>
    <t>SWO008999</t>
  </si>
  <si>
    <t>BSR-ELC-07</t>
  </si>
  <si>
    <t>BSR-ELC-08</t>
  </si>
  <si>
    <t>BSR-ELC-09</t>
  </si>
  <si>
    <t>BSR-ELC-10</t>
  </si>
  <si>
    <t>BSR-ELC-11</t>
  </si>
  <si>
    <t>BSR-ELC-12</t>
  </si>
  <si>
    <t>BSR-ELC-13</t>
  </si>
  <si>
    <t>BSR-ELC-14</t>
  </si>
  <si>
    <t>BSR-ELC</t>
  </si>
  <si>
    <t>STU: UTILITIES FY15 - GAS/WATER/ELECTRIC</t>
  </si>
  <si>
    <t>SWO000846</t>
  </si>
  <si>
    <t>SWO003258</t>
  </si>
  <si>
    <t>STU-EGW-05</t>
  </si>
  <si>
    <t>STU-EGW-06</t>
  </si>
  <si>
    <t>STU-EGW-07</t>
  </si>
  <si>
    <t>STU-EGW-08</t>
  </si>
  <si>
    <t>STU-EGW-09</t>
  </si>
  <si>
    <t>STU-EGW-10</t>
  </si>
  <si>
    <t>STU-EGW-11</t>
  </si>
  <si>
    <t>STU-EGW-12</t>
  </si>
  <si>
    <t>STU-EGW-13</t>
  </si>
  <si>
    <t>STU-EGW-14</t>
  </si>
  <si>
    <t>STU-EGW</t>
  </si>
  <si>
    <t>SWO000963</t>
  </si>
  <si>
    <t>SWO003220</t>
  </si>
  <si>
    <t>POA-EGW-05</t>
  </si>
  <si>
    <t>POA-EGW-06</t>
  </si>
  <si>
    <t>POA-EGW-07</t>
  </si>
  <si>
    <t>POA-EGW-08</t>
  </si>
  <si>
    <t>POA-EGW-09</t>
  </si>
  <si>
    <t>Includes 90.1 &amp; 90.2; Addl AC for CSS Mgrs</t>
  </si>
  <si>
    <t>Combined PHP</t>
  </si>
  <si>
    <t>SWO000964</t>
  </si>
  <si>
    <t>SWO003210</t>
  </si>
  <si>
    <t>OMP-EGW-05</t>
  </si>
  <si>
    <t>OMP-EGW-06</t>
  </si>
  <si>
    <t>OMP-EGW-07</t>
  </si>
  <si>
    <t>OMP-EGW-08</t>
  </si>
  <si>
    <t>OMP-EGW-09</t>
  </si>
  <si>
    <t>Included in Bldg. 90 for FY0001</t>
  </si>
  <si>
    <t>JHH: UTILITIES FY15 - GAS/WATER/ELECTRIC</t>
  </si>
  <si>
    <t>SWO000847</t>
  </si>
  <si>
    <t>SWO003242</t>
  </si>
  <si>
    <t>JHH-EGW-05</t>
  </si>
  <si>
    <t>JHH-EGW-06</t>
  </si>
  <si>
    <t>JHH-EGW-07</t>
  </si>
  <si>
    <t>JHH-EGW-08</t>
  </si>
  <si>
    <t>JHH-EGW-09</t>
  </si>
  <si>
    <t>JHH-EGW-10</t>
  </si>
  <si>
    <t>JHH-EGW-11</t>
  </si>
  <si>
    <t>JHH-EGW-12</t>
  </si>
  <si>
    <t>JHH-EGW-13</t>
  </si>
  <si>
    <t>JHH-EGW-14</t>
  </si>
  <si>
    <t>JHH-EGW</t>
  </si>
  <si>
    <t>Needs audit</t>
  </si>
  <si>
    <t>Transformer</t>
  </si>
  <si>
    <t>New transformer in Nov 98</t>
  </si>
  <si>
    <t>SWO000966</t>
  </si>
  <si>
    <t>SWO003262</t>
  </si>
  <si>
    <t>TSC-EGW-05</t>
  </si>
  <si>
    <t>TSC-EGW-06</t>
  </si>
  <si>
    <t>TSC-EGW-07</t>
  </si>
  <si>
    <t>TSC-EGW-08</t>
  </si>
  <si>
    <t>TSC-EGW-09</t>
  </si>
  <si>
    <t>MTS: UTILITIES FY15 - GAS/WATER/ELECTRIC</t>
  </si>
  <si>
    <t>SWO000967</t>
  </si>
  <si>
    <t>SWO003201</t>
  </si>
  <si>
    <t>MTS-EGW-05</t>
  </si>
  <si>
    <t>MTS-EGW-06</t>
  </si>
  <si>
    <t>MTS-EGW-07</t>
  </si>
  <si>
    <t>MTS-EGW-08</t>
  </si>
  <si>
    <t>MTS-EGW-09</t>
  </si>
  <si>
    <t>MTS-EGW-10</t>
  </si>
  <si>
    <t>MTS-EGW-11</t>
  </si>
  <si>
    <t>MTS-EGW-12</t>
  </si>
  <si>
    <t>MTS-EGW-13</t>
  </si>
  <si>
    <t>MTS-EGW-14</t>
  </si>
  <si>
    <t>MTS-EGW</t>
  </si>
  <si>
    <t>DXM: UTILITIES FY15 - ELECTRIC</t>
  </si>
  <si>
    <t>SWO001290</t>
  </si>
  <si>
    <t>SWO000993</t>
  </si>
  <si>
    <t>SWO002520</t>
  </si>
  <si>
    <t>SWO003134</t>
  </si>
  <si>
    <t>SWO006045</t>
  </si>
  <si>
    <t>SWO008979</t>
  </si>
  <si>
    <t>DXM-ELC-07</t>
  </si>
  <si>
    <t>DXM-ELC-08</t>
  </si>
  <si>
    <t>DXM-ELC-09</t>
  </si>
  <si>
    <t>DXM-ELC-10</t>
  </si>
  <si>
    <t>DXM-ELC-11</t>
  </si>
  <si>
    <t>DXM-ELC-12</t>
  </si>
  <si>
    <t>DXM-ELC-13</t>
  </si>
  <si>
    <t>DXM-ELC-14</t>
  </si>
  <si>
    <t>DXM-ELC</t>
  </si>
  <si>
    <t>Check on allocation</t>
  </si>
  <si>
    <t>KCH: UTILITIES FY15 - GAS/WATER/ELECTRIC</t>
  </si>
  <si>
    <t>SWO000971</t>
  </si>
  <si>
    <t>SWO003181</t>
  </si>
  <si>
    <t>KCH-EGW-05</t>
  </si>
  <si>
    <t>KCH-EGW-06</t>
  </si>
  <si>
    <t>KCH-EGW-07</t>
  </si>
  <si>
    <t>KCH-EGW-08</t>
  </si>
  <si>
    <t>KCH-EGW-09</t>
  </si>
  <si>
    <t>KCH-EGW-10</t>
  </si>
  <si>
    <t>KCH-EGW-11</t>
  </si>
  <si>
    <t>KCH-EGW-12</t>
  </si>
  <si>
    <t>KCH-EGW-13</t>
  </si>
  <si>
    <t>KCH-EGW-14</t>
  </si>
  <si>
    <t>KCH-EGW</t>
  </si>
  <si>
    <t>EVK: UTILITIES FY15 - ELECTRIC</t>
  </si>
  <si>
    <t>SWO001293</t>
  </si>
  <si>
    <t>SWO000861</t>
  </si>
  <si>
    <t>SWO002534</t>
  </si>
  <si>
    <t>SWO003145</t>
  </si>
  <si>
    <t>SWO006049</t>
  </si>
  <si>
    <t>SWO008985</t>
  </si>
  <si>
    <t>EVK-ELC-07</t>
  </si>
  <si>
    <t>EVK-ELC-08</t>
  </si>
  <si>
    <t>EVK-ELC-09</t>
  </si>
  <si>
    <t>EVK-ELC-10</t>
  </si>
  <si>
    <t>EVK-ELC-11</t>
  </si>
  <si>
    <t>EVK-ELC-12</t>
  </si>
  <si>
    <t>EVK-ELC-13</t>
  </si>
  <si>
    <t>EVK-ELC-14</t>
  </si>
  <si>
    <t>EVK-ELC</t>
  </si>
  <si>
    <t>HRH: UTILITIES FY15 - ELECTRIC</t>
  </si>
  <si>
    <t>SWO001296</t>
  </si>
  <si>
    <t>SWO000915</t>
  </si>
  <si>
    <t>SWO002518</t>
  </si>
  <si>
    <t>SWO003166</t>
  </si>
  <si>
    <t>SWO005993</t>
  </si>
  <si>
    <t>SWO009002</t>
  </si>
  <si>
    <t>HRH-ELC-07</t>
  </si>
  <si>
    <t>HRH-ELC-08</t>
  </si>
  <si>
    <t>HRH-ELC-09</t>
  </si>
  <si>
    <t>HRH-ELC-10</t>
  </si>
  <si>
    <t>HRH-ELC-11</t>
  </si>
  <si>
    <t>HRH-ELC-12</t>
  </si>
  <si>
    <t>HRH-ELC-13</t>
  </si>
  <si>
    <t>HRH-ELC-14</t>
  </si>
  <si>
    <t>HRH-ELC</t>
  </si>
  <si>
    <t>COL: UTILITIES FY15 - ELECTRIC</t>
  </si>
  <si>
    <t>SWO001299</t>
  </si>
  <si>
    <t>SWO000867</t>
  </si>
  <si>
    <t>SWO002516</t>
  </si>
  <si>
    <t>SWO003116</t>
  </si>
  <si>
    <t>SWO006035</t>
  </si>
  <si>
    <t>SWO008993</t>
  </si>
  <si>
    <t>COL-ELC-07</t>
  </si>
  <si>
    <t>COL-ELC-08</t>
  </si>
  <si>
    <t>COL-ELC-09</t>
  </si>
  <si>
    <t>COL-ELC-10</t>
  </si>
  <si>
    <t>COL-ELC-11</t>
  </si>
  <si>
    <t>COL-ELC-12</t>
  </si>
  <si>
    <t>COL-ELC-13</t>
  </si>
  <si>
    <t>COL-ELC-14</t>
  </si>
  <si>
    <t>COL-ELC</t>
  </si>
  <si>
    <t>CWO: UTILITIES FY15 - GAS/WATER/ELECTRIC</t>
  </si>
  <si>
    <t>SWO003125</t>
  </si>
  <si>
    <t>CWO-EGW-05</t>
  </si>
  <si>
    <t>CWO-EGW-06</t>
  </si>
  <si>
    <t>CWO-EGW-07</t>
  </si>
  <si>
    <t>CWO-EGW-08</t>
  </si>
  <si>
    <t>CWO-EGW-09</t>
  </si>
  <si>
    <t>CWO-EGW-10</t>
  </si>
  <si>
    <t>CWO-EGW-11</t>
  </si>
  <si>
    <t>CWO-EGW-12</t>
  </si>
  <si>
    <t>CWO-EGW-13</t>
  </si>
  <si>
    <t>CWO-EGW-14</t>
  </si>
  <si>
    <t>CWO-EGW</t>
  </si>
  <si>
    <t>SWO000851</t>
  </si>
  <si>
    <t>SWO003232</t>
  </si>
  <si>
    <t>PUS-EGW-05</t>
  </si>
  <si>
    <t>PUS-EGW-06</t>
  </si>
  <si>
    <t>PUS-EGW-07</t>
  </si>
  <si>
    <t>PUS-EGW-08</t>
  </si>
  <si>
    <t>PUS-EGW-09</t>
  </si>
  <si>
    <t>HSH: UTILITIES FY15 - GAS/WATER/ELECTRIC</t>
  </si>
  <si>
    <t>SWO000980</t>
  </si>
  <si>
    <t>SWO003167</t>
  </si>
  <si>
    <t>HSH-EGW-05</t>
  </si>
  <si>
    <t>HSH-EGW-06</t>
  </si>
  <si>
    <t>HSH-EGW-07</t>
  </si>
  <si>
    <t>HSH-EGW-08</t>
  </si>
  <si>
    <t>HSH-EGW-09</t>
  </si>
  <si>
    <t>HSH-EGW-10</t>
  </si>
  <si>
    <t>HSH-EGW-11</t>
  </si>
  <si>
    <t>HSH-EGW-12</t>
  </si>
  <si>
    <t>HSH-EGW-13</t>
  </si>
  <si>
    <t>HSH-EGW-14</t>
  </si>
  <si>
    <t>HSH-EGW</t>
  </si>
  <si>
    <t>Remodeled in FY06</t>
  </si>
  <si>
    <t>SGM: UTILITIES FY15 - GAS/WATER/ELECTRIC</t>
  </si>
  <si>
    <t>SWO000981</t>
  </si>
  <si>
    <t>SWO003246</t>
  </si>
  <si>
    <t>SGM-EGW-05</t>
  </si>
  <si>
    <t>SGM-EGW-06</t>
  </si>
  <si>
    <t>SGM-EGW-07</t>
  </si>
  <si>
    <t>SGM-EGW-08</t>
  </si>
  <si>
    <t>SGM-EGW-09</t>
  </si>
  <si>
    <t>SGM-EGW-10</t>
  </si>
  <si>
    <t>SGM-EGW-11</t>
  </si>
  <si>
    <t>SGM-EGW-12</t>
  </si>
  <si>
    <t>SGM-EGW-13</t>
  </si>
  <si>
    <t>SGM-EGW-14</t>
  </si>
  <si>
    <t>SGM-EGW</t>
  </si>
  <si>
    <t>LAST CHILLER RENOVATION - 2-6 FLOORS; NEW EFFICIENT SWITCH GEAR</t>
  </si>
  <si>
    <t>Cognitive Imaging meter in Fall 2004.</t>
  </si>
  <si>
    <t>SWO000984</t>
  </si>
  <si>
    <t>SWO003097</t>
  </si>
  <si>
    <t>ASI-EGW-05</t>
  </si>
  <si>
    <t>ASI-EGW-06</t>
  </si>
  <si>
    <t>ASI-EGW-07</t>
  </si>
  <si>
    <t>ASI-EGW-08</t>
  </si>
  <si>
    <t>ASI-EGW-09</t>
  </si>
  <si>
    <t>ASI-EGW-10</t>
  </si>
  <si>
    <t>ASI-EGW-11</t>
  </si>
  <si>
    <t>DEMOLISHED</t>
  </si>
  <si>
    <t>DRB: UTILITIES FY15 - GAS/WATER/ELECTRIC</t>
  </si>
  <si>
    <t>SWO000985</t>
  </si>
  <si>
    <t>SWO003132</t>
  </si>
  <si>
    <t>DRB-EGW-05</t>
  </si>
  <si>
    <t>DRB-EGW-06</t>
  </si>
  <si>
    <t>DRB-EGW-07</t>
  </si>
  <si>
    <t>DRB-EGW-08</t>
  </si>
  <si>
    <t>DRB-EGW-09</t>
  </si>
  <si>
    <t>DRB-EGW-10</t>
  </si>
  <si>
    <t>DRB-EGW-11</t>
  </si>
  <si>
    <t>DRB-EGW-12</t>
  </si>
  <si>
    <t>DRB-EGW-13</t>
  </si>
  <si>
    <t>DRB-EGW-14</t>
  </si>
  <si>
    <t>DRB-EGW</t>
  </si>
  <si>
    <t xml:space="preserve">Town &amp; Gown Foyer (Non-Aux)   </t>
  </si>
  <si>
    <t>TGF: UTILITIES FY15 - GAS/WATER/ELECTRIC</t>
  </si>
  <si>
    <t>SWO000988</t>
  </si>
  <si>
    <t>SWO003259</t>
  </si>
  <si>
    <t>TGF-EGW-05</t>
  </si>
  <si>
    <t>TGF-EGW-06</t>
  </si>
  <si>
    <t>TGF-EGW-07</t>
  </si>
  <si>
    <t>TGF-EGW-08</t>
  </si>
  <si>
    <t>TGF-EGW-09</t>
  </si>
  <si>
    <t>TGF-EGW-10</t>
  </si>
  <si>
    <t>TGF-EGW-11</t>
  </si>
  <si>
    <t>TGF-EGW-12</t>
  </si>
  <si>
    <t>TGF-EGW-13</t>
  </si>
  <si>
    <t>TGF-EGW-14</t>
  </si>
  <si>
    <t>TGF-EGW</t>
  </si>
  <si>
    <t>More efficient chandiliers</t>
  </si>
  <si>
    <t xml:space="preserve">Town &amp; Gown Foyer  </t>
  </si>
  <si>
    <t>TGF: UTILITIES FY15 - ELECTRIC</t>
  </si>
  <si>
    <t>SWO001302</t>
  </si>
  <si>
    <t>SWO001028</t>
  </si>
  <si>
    <t>SWO002531</t>
  </si>
  <si>
    <t>SWO003446</t>
  </si>
  <si>
    <t>SWO005982</t>
  </si>
  <si>
    <t>SWO008982</t>
  </si>
  <si>
    <t>TGF-ELC-07</t>
  </si>
  <si>
    <t>TGF-ELC-08</t>
  </si>
  <si>
    <t>TGF-ELC-09</t>
  </si>
  <si>
    <t>TGF-ELC-10</t>
  </si>
  <si>
    <t>TGF-ELC-11</t>
  </si>
  <si>
    <t>TGF-ELC-12</t>
  </si>
  <si>
    <t>TGF-ELC-13</t>
  </si>
  <si>
    <t>TGF-ELC-14</t>
  </si>
  <si>
    <t>TGF-ELC</t>
  </si>
  <si>
    <t>ABA: UTILITIES FY15 - GAS/WATER/ELECTRIC</t>
  </si>
  <si>
    <t>SWO000989</t>
  </si>
  <si>
    <t>SWO003088</t>
  </si>
  <si>
    <t>ABA-EGW-05</t>
  </si>
  <si>
    <t>ABA-EGW-06</t>
  </si>
  <si>
    <t>ABA-EGW-07</t>
  </si>
  <si>
    <t>ABA-EGW-08</t>
  </si>
  <si>
    <t>ABA-EGW-09</t>
  </si>
  <si>
    <t>ABA-EGW-10</t>
  </si>
  <si>
    <t>ABA-EGW-11</t>
  </si>
  <si>
    <t>ABA-EGW-12</t>
  </si>
  <si>
    <t>ABA-EGW-13</t>
  </si>
  <si>
    <t>ABA-EGW-14</t>
  </si>
  <si>
    <t>ABA-EGW</t>
  </si>
  <si>
    <t>Uses Electric directed heating</t>
  </si>
  <si>
    <t>STO: UTILITIES FY15 - GAS/WATER/ELECTRIC</t>
  </si>
  <si>
    <t>SWO000854</t>
  </si>
  <si>
    <t>SWO003257</t>
  </si>
  <si>
    <t>STO-EGW-05</t>
  </si>
  <si>
    <t>STO-EGW-06</t>
  </si>
  <si>
    <t>STO-EGW-07</t>
  </si>
  <si>
    <t>STO-EGW-08</t>
  </si>
  <si>
    <t>STO-EGW-09</t>
  </si>
  <si>
    <t>STO-EGW-10</t>
  </si>
  <si>
    <t>STO-EGW-11</t>
  </si>
  <si>
    <t>STO-EGW-12</t>
  </si>
  <si>
    <t>STO-EGW-13</t>
  </si>
  <si>
    <t>STO-EGW-14</t>
  </si>
  <si>
    <t>STO-EGW</t>
  </si>
  <si>
    <t>FAC: UTILITIES FY15 - GAS/WATER/ELECTRIC</t>
  </si>
  <si>
    <t>SWO001036</t>
  </si>
  <si>
    <t>SWO003146</t>
  </si>
  <si>
    <t>FAC-EGW-05</t>
  </si>
  <si>
    <t>FAC-EGW-06</t>
  </si>
  <si>
    <t>FAC-EGW-07</t>
  </si>
  <si>
    <t>FAC-EGW-08</t>
  </si>
  <si>
    <t>FAC-EGW-09</t>
  </si>
  <si>
    <t>FAC-EGW-10</t>
  </si>
  <si>
    <t>FAC-EGW-11</t>
  </si>
  <si>
    <t>FAC-EGW-12</t>
  </si>
  <si>
    <t>FAC-EGW-13</t>
  </si>
  <si>
    <t>FAC-EGW-14</t>
  </si>
  <si>
    <t>FAC-EGW</t>
  </si>
  <si>
    <t xml:space="preserve">Parkside Apartments I  </t>
  </si>
  <si>
    <t>PKS: UTILITIES FY15 - ELECTRIC</t>
  </si>
  <si>
    <t>SWO001305</t>
  </si>
  <si>
    <t>SWO001029</t>
  </si>
  <si>
    <t>SWO002544</t>
  </si>
  <si>
    <t>SWO003424</t>
  </si>
  <si>
    <t>SWO006004</t>
  </si>
  <si>
    <t>SWO009020</t>
  </si>
  <si>
    <t>PKS-ELC-07</t>
  </si>
  <si>
    <t>PKS-ELC-08</t>
  </si>
  <si>
    <t>PKS-ELC-09</t>
  </si>
  <si>
    <t>PKS-ELC-10</t>
  </si>
  <si>
    <t>PKS-ELC-11</t>
  </si>
  <si>
    <t>PKS-ELC-12</t>
  </si>
  <si>
    <t>PKS-ELC-13</t>
  </si>
  <si>
    <t>PKS-ELC-14</t>
  </si>
  <si>
    <t>PKS-ELC</t>
  </si>
  <si>
    <t>Remodeled in FY2000</t>
  </si>
  <si>
    <t>Closed all for summer 2000 per JeffU?</t>
  </si>
  <si>
    <t>Remodeling - Int Student College</t>
  </si>
  <si>
    <t>RRB: UTILITIES FY15 - GAS/WATER/ELECTRIC</t>
  </si>
  <si>
    <t>SWO003239</t>
  </si>
  <si>
    <t>RRB-EGW-05</t>
  </si>
  <si>
    <t>RRB-EGW-06</t>
  </si>
  <si>
    <t>RRB-EGW-07</t>
  </si>
  <si>
    <t>RRB-EGW-08</t>
  </si>
  <si>
    <t>RRB-EGW-09</t>
  </si>
  <si>
    <t>RRB-EGW-10</t>
  </si>
  <si>
    <t>RRB-EGW-11</t>
  </si>
  <si>
    <t>RRB-EGW-12</t>
  </si>
  <si>
    <t>RRB-EGW-13</t>
  </si>
  <si>
    <t>RRB-EGW-14</t>
  </si>
  <si>
    <t>RRB-EGW</t>
  </si>
  <si>
    <t>TRO: UTILITIES FY15 - GAS/WATER/ELECTRIC</t>
  </si>
  <si>
    <t>SWO000858</t>
  </si>
  <si>
    <t>SWO003261</t>
  </si>
  <si>
    <t>TRO-EGW-05</t>
  </si>
  <si>
    <t>TRO-EGW-06</t>
  </si>
  <si>
    <t>TRO-EGW-07</t>
  </si>
  <si>
    <t>TRO-EGW-08</t>
  </si>
  <si>
    <t>TRO-EGW-09</t>
  </si>
  <si>
    <t>TRO-EGW-10</t>
  </si>
  <si>
    <t>TRO-EGW-11</t>
  </si>
  <si>
    <t>TRO-EGW-12</t>
  </si>
  <si>
    <t>TRO-EGW-13</t>
  </si>
  <si>
    <t>TRO-EGW-14</t>
  </si>
  <si>
    <t>TRO-EGW</t>
  </si>
  <si>
    <t>2/01 Clerical error in distribution %age Adjmt</t>
  </si>
  <si>
    <t>Trojan Hall</t>
  </si>
  <si>
    <t>TRO: UTILITIES FY15 - ELECTRIC</t>
  </si>
  <si>
    <t>SWO001308</t>
  </si>
  <si>
    <t>SWO000997</t>
  </si>
  <si>
    <t>SWO002524</t>
  </si>
  <si>
    <t>SWO003449</t>
  </si>
  <si>
    <t>SWO005984</t>
  </si>
  <si>
    <t>SWO009037</t>
  </si>
  <si>
    <t>TRO-ELC-07</t>
  </si>
  <si>
    <t>TRO-ELC-08</t>
  </si>
  <si>
    <t>TRO-ELC-09</t>
  </si>
  <si>
    <t>TRO-ELC-10</t>
  </si>
  <si>
    <t>TRO-ELC-11</t>
  </si>
  <si>
    <t>TRO-ELC-12</t>
  </si>
  <si>
    <t>TRO-ELC-13</t>
  </si>
  <si>
    <t>TRO-ELC-14</t>
  </si>
  <si>
    <t>TRO-ELC</t>
  </si>
  <si>
    <t>Missing readings?  Feb &amp; Mar'99 Low</t>
  </si>
  <si>
    <t>PCE: UTILITIES FY15 - GAS/WATER/ELECTRIC</t>
  </si>
  <si>
    <t>SWO000859</t>
  </si>
  <si>
    <t>SWO003213</t>
  </si>
  <si>
    <t>PCE-EGW-05</t>
  </si>
  <si>
    <t>PCE-EGW-06</t>
  </si>
  <si>
    <t>PCE-EGW-07</t>
  </si>
  <si>
    <t>PCE-EGW-08</t>
  </si>
  <si>
    <t>PCE-EGW-09</t>
  </si>
  <si>
    <t>PCE-EGW-10</t>
  </si>
  <si>
    <t>PCE-EGW-11</t>
  </si>
  <si>
    <t>PCE-EGW-12</t>
  </si>
  <si>
    <t>PCE-EGW-13</t>
  </si>
  <si>
    <t>PCE-EGW-14</t>
  </si>
  <si>
    <t>PCE-EGW</t>
  </si>
  <si>
    <t>Fully occupied?</t>
  </si>
  <si>
    <t>FIG: UTILITIES FY15 - GAS/WATER/ELECTRIC</t>
  </si>
  <si>
    <t>SWO000860</t>
  </si>
  <si>
    <t>SWO003149</t>
  </si>
  <si>
    <t>FIG-EGW-05</t>
  </si>
  <si>
    <t>FIG-EGW-06</t>
  </si>
  <si>
    <t>FIG-EGW-07</t>
  </si>
  <si>
    <t>FIG-EGW-08</t>
  </si>
  <si>
    <t>FIG-EGW-09</t>
  </si>
  <si>
    <t>FIG-EGW-10</t>
  </si>
  <si>
    <t>FIG-EGW-11</t>
  </si>
  <si>
    <t>FIG-EGW-12</t>
  </si>
  <si>
    <t>FIG-EGW-13</t>
  </si>
  <si>
    <t>FIG-EGW-14</t>
  </si>
  <si>
    <t>FIG-EGW</t>
  </si>
  <si>
    <t>College House (was Freshman Writing House)</t>
  </si>
  <si>
    <t>CLH: UTILITIES FY15 - GAS/WATER/ELECTRIC</t>
  </si>
  <si>
    <t>CLH</t>
  </si>
  <si>
    <t>SWO003152</t>
  </si>
  <si>
    <t>FWH-EGW-05</t>
  </si>
  <si>
    <t>FWH-EGW-06</t>
  </si>
  <si>
    <t>FWH-EGW-07</t>
  </si>
  <si>
    <t>FWH-EGW-08</t>
  </si>
  <si>
    <t>FWH-EGW-09</t>
  </si>
  <si>
    <t>CLH-EGW-10</t>
  </si>
  <si>
    <t>CLH-EGW-11</t>
  </si>
  <si>
    <t>CLH-EGW-12</t>
  </si>
  <si>
    <t>CLH-EGW-13</t>
  </si>
  <si>
    <t>CLH-EGW-14</t>
  </si>
  <si>
    <t>CLH-EGW</t>
  </si>
  <si>
    <t>MAC: UTILITIES FY15 - GAS/WATER/ELECTRIC</t>
  </si>
  <si>
    <t>SWO000862</t>
  </si>
  <si>
    <t>SWO003193</t>
  </si>
  <si>
    <t>MAC-EGW-05</t>
  </si>
  <si>
    <t>MAC-EGW-06</t>
  </si>
  <si>
    <t>MAC-EGW-07</t>
  </si>
  <si>
    <t>MAC-EGW-08</t>
  </si>
  <si>
    <t>MAC-EGW-09</t>
  </si>
  <si>
    <t>MAC-EGW-10</t>
  </si>
  <si>
    <t>MAC-EGW-11</t>
  </si>
  <si>
    <t>MAC-EGW-12</t>
  </si>
  <si>
    <t>MAC-EGW-13</t>
  </si>
  <si>
    <t>MAC-EGW-14</t>
  </si>
  <si>
    <t>MAC-EGW</t>
  </si>
  <si>
    <t>INCLUDED WITH #332 UYTENGSU AQUATICS CENTER</t>
  </si>
  <si>
    <t>?  ASK RICK TURNER</t>
  </si>
  <si>
    <t>Review arrangements</t>
  </si>
  <si>
    <t>JEF: UTILITIES FY15 - GAS/WATER/ELECTRIC</t>
  </si>
  <si>
    <t>SWO000863</t>
  </si>
  <si>
    <t>SWO003175</t>
  </si>
  <si>
    <t>JEF-EGW-05</t>
  </si>
  <si>
    <t>JEF-EGW-06</t>
  </si>
  <si>
    <t>JEF-EGW-07</t>
  </si>
  <si>
    <t>JEF-EGW-08</t>
  </si>
  <si>
    <t>JEF-EGW-09</t>
  </si>
  <si>
    <t>JEF-EGW-10</t>
  </si>
  <si>
    <t>JEF-EGW-11</t>
  </si>
  <si>
    <t>JEF-EGW-12</t>
  </si>
  <si>
    <t>JEF-EGW-13</t>
  </si>
  <si>
    <t>JEF-EGW-14</t>
  </si>
  <si>
    <t>JEF-EGW</t>
  </si>
  <si>
    <t>PSX: UTILITIES FY15 - NON-AUXILIARY</t>
  </si>
  <si>
    <t>SWO003230</t>
  </si>
  <si>
    <t>PSX-EGW-05</t>
  </si>
  <si>
    <t>PSX-EGW-06</t>
  </si>
  <si>
    <t>PSX-EGW-07</t>
  </si>
  <si>
    <t>PSX-EGW-08</t>
  </si>
  <si>
    <t>PSX-EGW-09</t>
  </si>
  <si>
    <t>PSX-EGW-10</t>
  </si>
  <si>
    <t>PSX-EGW-11</t>
  </si>
  <si>
    <t>PSX-EGW-12</t>
  </si>
  <si>
    <t>PSX-EGW-13</t>
  </si>
  <si>
    <t>PSX-EGW-14</t>
  </si>
  <si>
    <t>PSX-EGW</t>
  </si>
  <si>
    <t>HSG MOVED IN; 15 ELECTRIC PARKING SPACES</t>
  </si>
  <si>
    <t>PSX: UTILITIES FY15 - ELECTRIC, AUXILIARY</t>
  </si>
  <si>
    <t>SWO001365</t>
  </si>
  <si>
    <t>SWO001006</t>
  </si>
  <si>
    <t>SWO002552</t>
  </si>
  <si>
    <t>SWO003430</t>
  </si>
  <si>
    <t>SWO006009</t>
  </si>
  <si>
    <t>SWO009007</t>
  </si>
  <si>
    <t>PSX-ELC-07</t>
  </si>
  <si>
    <t>PSX-ELC-08</t>
  </si>
  <si>
    <t>PSX-ELC-09</t>
  </si>
  <si>
    <t>PSX-ELC-10</t>
  </si>
  <si>
    <t>PSX-ELC-11</t>
  </si>
  <si>
    <t>PSX-ELC-12</t>
  </si>
  <si>
    <t>PSX-ELC-13</t>
  </si>
  <si>
    <t>PSX-ELC-14</t>
  </si>
  <si>
    <t>PSX-ELC</t>
  </si>
  <si>
    <t>3/15 Acctg changed SWO# from SWO001311</t>
  </si>
  <si>
    <t>SHS: UTILITIES FY15 - GAS/WATER/ELECTRIC</t>
  </si>
  <si>
    <t>SWO000865</t>
  </si>
  <si>
    <t>SWO003248</t>
  </si>
  <si>
    <t>SHS-EGW-05</t>
  </si>
  <si>
    <t>SHS-EGW-06</t>
  </si>
  <si>
    <t>SHS-EGW-07</t>
  </si>
  <si>
    <t>SHS-EGW-08</t>
  </si>
  <si>
    <t>SHS-EGW-09</t>
  </si>
  <si>
    <t>SHS-EGW-10</t>
  </si>
  <si>
    <t>SHS-EGW-11</t>
  </si>
  <si>
    <t>SHS-EGW-12</t>
  </si>
  <si>
    <t>SHS-EGW-13</t>
  </si>
  <si>
    <t>SHS-EGW-14</t>
  </si>
  <si>
    <t>SHS-EGW</t>
  </si>
  <si>
    <t>MORE CLASSES SCHEDULED</t>
  </si>
  <si>
    <t>SLH: UTILITIES FY15 - GAS/WATER/ELECTRIC</t>
  </si>
  <si>
    <t>SWO000866</t>
  </si>
  <si>
    <t>SWO003249</t>
  </si>
  <si>
    <t>SLH-EGW-05</t>
  </si>
  <si>
    <t>SLH-EGW-06</t>
  </si>
  <si>
    <t>SLH-EGW-07</t>
  </si>
  <si>
    <t>SLH-EGW-08</t>
  </si>
  <si>
    <t>SLH-EGW-09</t>
  </si>
  <si>
    <t>SLH-EGW-10</t>
  </si>
  <si>
    <t>SLH-EGW-11</t>
  </si>
  <si>
    <t>SLH-EGW-12</t>
  </si>
  <si>
    <t>SLH-EGW-13</t>
  </si>
  <si>
    <t>SLH-EGW-14</t>
  </si>
  <si>
    <t>SLH-EGW</t>
  </si>
  <si>
    <t>Parkside II Residence Building   NEW IN FY08</t>
  </si>
  <si>
    <t>PRB: UTILITIES FY15 - ELECTRIC</t>
  </si>
  <si>
    <t>PRB-NELC08</t>
  </si>
  <si>
    <t>PRB-NELC09</t>
  </si>
  <si>
    <t>PRB-NELC10</t>
  </si>
  <si>
    <t>PRB-NELC11</t>
  </si>
  <si>
    <t>PRB-NELC12</t>
  </si>
  <si>
    <t>PRB-NELC13</t>
  </si>
  <si>
    <t>PRB-NELC14</t>
  </si>
  <si>
    <t>PRB-NELC</t>
  </si>
  <si>
    <t xml:space="preserve">      </t>
  </si>
  <si>
    <t>REG: UTILITIES FY15 - GAS/WATER/ELECTRIC</t>
  </si>
  <si>
    <t>SWO000869</t>
  </si>
  <si>
    <t>SWO003234</t>
  </si>
  <si>
    <t>REG-EGW-05</t>
  </si>
  <si>
    <t>REG-EGW-06</t>
  </si>
  <si>
    <t>REG-EGW-07</t>
  </si>
  <si>
    <t>REG-EGW-08</t>
  </si>
  <si>
    <t>REG-EGW-09</t>
  </si>
  <si>
    <t>REG-EGW-10</t>
  </si>
  <si>
    <t>REG-EGW-11</t>
  </si>
  <si>
    <t>REG-EGW-12</t>
  </si>
  <si>
    <t>REG-EGW-13</t>
  </si>
  <si>
    <t>REG-EGW-14</t>
  </si>
  <si>
    <t>REG-EGW</t>
  </si>
  <si>
    <t>DEMOLISHED 5/2014; REPLACE BY #344 JFF</t>
  </si>
  <si>
    <t>HOH: UTILITIES FY15 - GAS/WATER/ELECTRIC</t>
  </si>
  <si>
    <t>SWO000870</t>
  </si>
  <si>
    <t>SWO003164</t>
  </si>
  <si>
    <t>HOH-EGW-05</t>
  </si>
  <si>
    <t>HOH-EGW-06</t>
  </si>
  <si>
    <t>HOH-EGW-07</t>
  </si>
  <si>
    <t>HOH-EGW-08</t>
  </si>
  <si>
    <t>HOH-EGW-09</t>
  </si>
  <si>
    <t>HOH-EGW-10</t>
  </si>
  <si>
    <t>HOH-EGW-11</t>
  </si>
  <si>
    <t>HOH-EGW-12</t>
  </si>
  <si>
    <t>HOH-EGW-13</t>
  </si>
  <si>
    <t>HOH-EGW-14</t>
  </si>
  <si>
    <t>HOH-EGW</t>
  </si>
  <si>
    <t>EXTENDING CLASSES TIME; FY08 CLOSED FOR RENOVATIONS</t>
  </si>
  <si>
    <t>OK - RENOVATION IN JUL08</t>
  </si>
  <si>
    <t>HOH Cell Site - Electric   NEW FEB 06</t>
  </si>
  <si>
    <t>HOH9: UTILITIES FY15 - ELECTRIC ONLY, CELL SITE</t>
  </si>
  <si>
    <t>HOH9-EL-06</t>
  </si>
  <si>
    <t>HOH9-EL-07</t>
  </si>
  <si>
    <t>HOH9-EL-08</t>
  </si>
  <si>
    <t>HOH9-EL-09</t>
  </si>
  <si>
    <t>HOH9-EL-10</t>
  </si>
  <si>
    <t>HOH9-EL-11</t>
  </si>
  <si>
    <t>HOH9-EL-12</t>
  </si>
  <si>
    <t>HOH9-EL-13</t>
  </si>
  <si>
    <t>HOH9-EL-14</t>
  </si>
  <si>
    <t>HOH9-EL</t>
  </si>
  <si>
    <t>BMH: UTILITIES FY15 - GAS/WATER/ELECTRIC</t>
  </si>
  <si>
    <t>SWO000871</t>
  </si>
  <si>
    <t>SWO003104</t>
  </si>
  <si>
    <t>BMH-EGW-05</t>
  </si>
  <si>
    <t>BMH-EGW-06</t>
  </si>
  <si>
    <t>BMH-EGW-07</t>
  </si>
  <si>
    <t>BMH-EGW-08</t>
  </si>
  <si>
    <t>BMH-EGW-09</t>
  </si>
  <si>
    <t>BMH-EGW-10</t>
  </si>
  <si>
    <t>BMH-EGW-11</t>
  </si>
  <si>
    <t>BMH-EGW-12</t>
  </si>
  <si>
    <t>BMH-EGW-13</t>
  </si>
  <si>
    <t>BMH-EGW-14</t>
  </si>
  <si>
    <t>BMH-EGW</t>
  </si>
  <si>
    <t>Extra classes; more students</t>
  </si>
  <si>
    <t>OHE: UTILITIES FY15 - GAS/WATER/ELECTRIC</t>
  </si>
  <si>
    <t>SWO000872</t>
  </si>
  <si>
    <t>SWO003209</t>
  </si>
  <si>
    <t>OHE-EGW-05</t>
  </si>
  <si>
    <t>OHE-EGW-06</t>
  </si>
  <si>
    <t>OHE-EGW-07</t>
  </si>
  <si>
    <t>OHE-EGW-08</t>
  </si>
  <si>
    <t>OHE-EGW-09</t>
  </si>
  <si>
    <t>OHE-EGW-10</t>
  </si>
  <si>
    <t>OHE-EGW-11</t>
  </si>
  <si>
    <t>OHE-EGW-12</t>
  </si>
  <si>
    <t>OHE-EGW-13</t>
  </si>
  <si>
    <t>OHE-EGW-14</t>
  </si>
  <si>
    <t>OHE-EGW</t>
  </si>
  <si>
    <t>Olin Hall of Engineering Chiller Plant  NEW JAN 06</t>
  </si>
  <si>
    <t>OHE1: UTILITY FY15 - ELECTRIC</t>
  </si>
  <si>
    <t>OHE Chiller Plant</t>
  </si>
  <si>
    <t>OHE1-EL-06</t>
  </si>
  <si>
    <t>OHE1-EL-07</t>
  </si>
  <si>
    <t>OHE1-EL-08</t>
  </si>
  <si>
    <t>OHE1-EL-09</t>
  </si>
  <si>
    <t>OHE1-EL-10</t>
  </si>
  <si>
    <t>OHE1-EL-11</t>
  </si>
  <si>
    <t>OHE1-EL-12</t>
  </si>
  <si>
    <t>OHE1-EL-13</t>
  </si>
  <si>
    <t>OHE1-EL-14</t>
  </si>
  <si>
    <t>OHE1-EL</t>
  </si>
  <si>
    <t xml:space="preserve">                </t>
  </si>
  <si>
    <t>More buildings tied to chiller plant</t>
  </si>
  <si>
    <t>ACB: UTILITIES FY15 - GAS/WATER/ELECTRIC</t>
  </si>
  <si>
    <t>SWO000886</t>
  </si>
  <si>
    <t>SWO003090</t>
  </si>
  <si>
    <t>ACB-EGW-05</t>
  </si>
  <si>
    <t>ACB-EGW-06</t>
  </si>
  <si>
    <t>ACB-EGW-07</t>
  </si>
  <si>
    <t>ACB-EGW-08</t>
  </si>
  <si>
    <t>ACB-EGW-09</t>
  </si>
  <si>
    <t>ACB-EGW-10</t>
  </si>
  <si>
    <t>ACB-EGW-11</t>
  </si>
  <si>
    <t>ACB-EGW-12</t>
  </si>
  <si>
    <t>ACB-EGW-13</t>
  </si>
  <si>
    <t>ACB-EGW-14</t>
  </si>
  <si>
    <t>ACB-EGW</t>
  </si>
  <si>
    <t>REMOVED LABS ON 4TH &amp; 5TH FLOORS ADDING CHILLERS</t>
  </si>
  <si>
    <t>DMT: UTILITIES FY15 - ELECTRIC</t>
  </si>
  <si>
    <t>SWO001324</t>
  </si>
  <si>
    <t>SWO002138</t>
  </si>
  <si>
    <t>SWO002521</t>
  </si>
  <si>
    <t>SWO003130</t>
  </si>
  <si>
    <t>SWO006043</t>
  </si>
  <si>
    <t>SWO009038</t>
  </si>
  <si>
    <t>DMT-ELC-07</t>
  </si>
  <si>
    <t>DMT-ELC-08</t>
  </si>
  <si>
    <t>DMT-ELC-09</t>
  </si>
  <si>
    <t>DMT-ELC-10</t>
  </si>
  <si>
    <t>DMT-ELC-11</t>
  </si>
  <si>
    <t>DMT-ELC-12</t>
  </si>
  <si>
    <t>DMT-ELC-13</t>
  </si>
  <si>
    <t>DMT-ELC-14</t>
  </si>
  <si>
    <t>DMT-ELC</t>
  </si>
  <si>
    <t>RAN: UTILITIES FY15 - GAS/WATER/ELECTRIC</t>
  </si>
  <si>
    <t>SWO000890</t>
  </si>
  <si>
    <t>SWO003233</t>
  </si>
  <si>
    <t>RAN-EGW-05</t>
  </si>
  <si>
    <t>RAN-EGW-06</t>
  </si>
  <si>
    <t>RAN-EGW-07</t>
  </si>
  <si>
    <t>RAN-EGW-08</t>
  </si>
  <si>
    <t>RAN-EGW-09</t>
  </si>
  <si>
    <t>RAN-EGW-10</t>
  </si>
  <si>
    <t>RAN-EGW-11</t>
  </si>
  <si>
    <t>RAN-EGW-12</t>
  </si>
  <si>
    <t>RAN-EGW-13</t>
  </si>
  <si>
    <t>RAN-EGW-14</t>
  </si>
  <si>
    <t>RAN-EGW</t>
  </si>
  <si>
    <t>KSH: UTILITIES FY15 - ELECTRIC ONLY</t>
  </si>
  <si>
    <t>SWO000891</t>
  </si>
  <si>
    <t>SWO003139</t>
  </si>
  <si>
    <t>EDL-EGW-05</t>
  </si>
  <si>
    <t>EDL-EGW-06</t>
  </si>
  <si>
    <t>EDL-EGW-07</t>
  </si>
  <si>
    <t>EDL-EGW-08</t>
  </si>
  <si>
    <t>EDL-EGW-09</t>
  </si>
  <si>
    <t>EDL-EGW-10</t>
  </si>
  <si>
    <t>EDL-EGW-11</t>
  </si>
  <si>
    <t>EDL-EGW-12</t>
  </si>
  <si>
    <t>KSH-NELC13</t>
  </si>
  <si>
    <t>KSH-NELC14</t>
  </si>
  <si>
    <t>KSH-NELC</t>
  </si>
  <si>
    <t>SOME ACTIVITY; NO SPACE ALLOCATION CHG per KN.</t>
  </si>
  <si>
    <t>Remodeling in 1999</t>
  </si>
  <si>
    <t>ONE: UTILITIES FY15 - GAS/WATER/ELECTRIC</t>
  </si>
  <si>
    <t>SWO000892</t>
  </si>
  <si>
    <t>SWO003211</t>
  </si>
  <si>
    <t>ONE-EGW-05</t>
  </si>
  <si>
    <t>ONE-EGW-06</t>
  </si>
  <si>
    <t>ONE-EGW-07</t>
  </si>
  <si>
    <t>ONE-EGW-08</t>
  </si>
  <si>
    <t>ONE-EGW-09</t>
  </si>
  <si>
    <t>ONE-EGW-10</t>
  </si>
  <si>
    <t>ONE-EGW-11</t>
  </si>
  <si>
    <t>ONE-EGW-12</t>
  </si>
  <si>
    <t>ONE-EGW-13</t>
  </si>
  <si>
    <t>ONE-EGW-14</t>
  </si>
  <si>
    <t>ONE-EGW</t>
  </si>
  <si>
    <t>2 MONTH BILLING MISSING</t>
  </si>
  <si>
    <t>Received credit for 9/99 mischarges</t>
  </si>
  <si>
    <t>HRC: UTILITIES FY15 - GAS/WATER/ELECTRIC</t>
  </si>
  <si>
    <t>SWO000893</t>
  </si>
  <si>
    <t>SWO003165</t>
  </si>
  <si>
    <t>HRC-EGW-05</t>
  </si>
  <si>
    <t>HRC-EGW-06</t>
  </si>
  <si>
    <t>HRC-EGW-07</t>
  </si>
  <si>
    <t>HRC-EGW-08</t>
  </si>
  <si>
    <t>HRC-EGW-09</t>
  </si>
  <si>
    <t>HRC-EGW-10</t>
  </si>
  <si>
    <t>HRC-EGW-11</t>
  </si>
  <si>
    <t>HRC-EGW-12</t>
  </si>
  <si>
    <t>HRC-EGW-13</t>
  </si>
  <si>
    <t>HRC-EGW-14</t>
  </si>
  <si>
    <t>HRC-EGW</t>
  </si>
  <si>
    <t>Parking Structure D (Non-Aux) REV</t>
  </si>
  <si>
    <t>PSD: UTILITIES FY15 - GAS/WATER ONLY, AUXILIARY</t>
  </si>
  <si>
    <t>SWO003229</t>
  </si>
  <si>
    <t>PSD-XGW-05</t>
  </si>
  <si>
    <t>PSD-XGW-06</t>
  </si>
  <si>
    <t>PSD-XGW-07</t>
  </si>
  <si>
    <t>PSD-XGW-08</t>
  </si>
  <si>
    <t>PSD-XGW-09</t>
  </si>
  <si>
    <t>PSD-XGW-10</t>
  </si>
  <si>
    <t>PSD-XGW-11</t>
  </si>
  <si>
    <t>PSD-XGW-12</t>
  </si>
  <si>
    <t>PSD-XGW-13</t>
  </si>
  <si>
    <t>PSD-XGW-14</t>
  </si>
  <si>
    <t>PSD-XGW</t>
  </si>
  <si>
    <t>Parking Structure D  REV</t>
  </si>
  <si>
    <t>PSD: UTILITIES FY15 - ELECTRIC, AUXILIARY</t>
  </si>
  <si>
    <t>SWO001327</t>
  </si>
  <si>
    <t>SWO001464</t>
  </si>
  <si>
    <t>SWO002553</t>
  </si>
  <si>
    <t>SWO003429</t>
  </si>
  <si>
    <t>SWO006008</t>
  </si>
  <si>
    <t>SWO009021</t>
  </si>
  <si>
    <t>PSD-ELC-07</t>
  </si>
  <si>
    <t>PSD-ELC-08</t>
  </si>
  <si>
    <t>PSD-ELC-09</t>
  </si>
  <si>
    <t>PSD-ELC-10</t>
  </si>
  <si>
    <t>PSD-ELC-11</t>
  </si>
  <si>
    <t>PSD-ELC-12</t>
  </si>
  <si>
    <t>PSD-ELC-13</t>
  </si>
  <si>
    <t>PSD-ELC-14</t>
  </si>
  <si>
    <t>PSD-ELC</t>
  </si>
  <si>
    <t>ELB: UTILITIES FY15 - GAS/WATER/ELECTRIC</t>
  </si>
  <si>
    <t>SWO000895</t>
  </si>
  <si>
    <t>SWO003143</t>
  </si>
  <si>
    <t>ELB-EGW-05</t>
  </si>
  <si>
    <t>ELB-EGW-06</t>
  </si>
  <si>
    <t>ELB-EGW-07</t>
  </si>
  <si>
    <t>ELB-EGW-08</t>
  </si>
  <si>
    <t>ELB-EGW-09</t>
  </si>
  <si>
    <t>ELB-EGW-10</t>
  </si>
  <si>
    <t>ELB-EGW-11</t>
  </si>
  <si>
    <t>ELB-EGW-12</t>
  </si>
  <si>
    <t>ELB-EGW-13</t>
  </si>
  <si>
    <t>ELB-EGW-14</t>
  </si>
  <si>
    <t>ELB-EGW</t>
  </si>
  <si>
    <t>Broken meter</t>
  </si>
  <si>
    <t>AS OF JUNE, 1 DELAYED BILLING</t>
  </si>
  <si>
    <t>LHI: UTILITIES FY15 - GAS/WATER/ELECTRIC</t>
  </si>
  <si>
    <t>SWO000896</t>
  </si>
  <si>
    <t>SWO003186</t>
  </si>
  <si>
    <t>LHI-EGW-05</t>
  </si>
  <si>
    <t>LHI-EGW-06</t>
  </si>
  <si>
    <t>LHI-EGW-07</t>
  </si>
  <si>
    <t>LHI-EGW-08</t>
  </si>
  <si>
    <t>LHI-EGW-09</t>
  </si>
  <si>
    <t>LHI-EGW-10</t>
  </si>
  <si>
    <t>LHI-EGW-11</t>
  </si>
  <si>
    <t>LHI-EGW-12</t>
  </si>
  <si>
    <t>LHI-EGW-13</t>
  </si>
  <si>
    <t>LHI-EGW-14</t>
  </si>
  <si>
    <t>LHI-EGW</t>
  </si>
  <si>
    <t>FY09 RENOVATIONS - 1ST FL &amp; PART OF 2ND FL</t>
  </si>
  <si>
    <t>OK - ADDED TO CHILLED WATER LOOP</t>
  </si>
  <si>
    <t>IMS: UTILITIES FY15 - GAS/WATER/ELECTRIC</t>
  </si>
  <si>
    <t>SWO000897</t>
  </si>
  <si>
    <t>SWO003172</t>
  </si>
  <si>
    <t>IMS-EGW-05</t>
  </si>
  <si>
    <t>IMS-EGW-06</t>
  </si>
  <si>
    <t>IMS-EGW-07</t>
  </si>
  <si>
    <t>IMS-EGW-08</t>
  </si>
  <si>
    <t>IMS-EGW-09</t>
  </si>
  <si>
    <t>IMS-EGW-10</t>
  </si>
  <si>
    <t>IMS-EGW-11</t>
  </si>
  <si>
    <t>IMS-EGW-12</t>
  </si>
  <si>
    <t>IMS-EGW-13</t>
  </si>
  <si>
    <t>IMS-EGW-14</t>
  </si>
  <si>
    <t>IMS-EGW</t>
  </si>
  <si>
    <t>GFS: UTILITIES FY15 - GAS/WATER/ELECTRIC</t>
  </si>
  <si>
    <t>SWO000898</t>
  </si>
  <si>
    <t>SWO003156</t>
  </si>
  <si>
    <t>GFS-EGW-05</t>
  </si>
  <si>
    <t>GFS-EGW-06</t>
  </si>
  <si>
    <t>GFS-EGW-07</t>
  </si>
  <si>
    <t>GFS-EGW-08</t>
  </si>
  <si>
    <t>GFS-EGW-09</t>
  </si>
  <si>
    <t>GFS-EGW-10</t>
  </si>
  <si>
    <t>GFS-EGW-11</t>
  </si>
  <si>
    <t>GFS-EGW-12</t>
  </si>
  <si>
    <t>GFS-EGW-13</t>
  </si>
  <si>
    <t>GFS-EGW-14</t>
  </si>
  <si>
    <t>GFS-EGW</t>
  </si>
  <si>
    <t>MORE CLASSES &amp; COMPUTRER LABS OPERATIONS</t>
  </si>
  <si>
    <t>STEAM HEATING PUMP</t>
  </si>
  <si>
    <t>'FY04 thru Jan 04 CONSUMPTION CALCULATION BASED ON BIEGLER RATE;Leave doors open more AC; 169.1 Thermal Storage add in Fall 2004</t>
  </si>
  <si>
    <t>CRT wired incorrectly</t>
  </si>
  <si>
    <t>GEH: UTILITIES FY15 - GAS/WATER/ELECTRIC</t>
  </si>
  <si>
    <t>SWO000899</t>
  </si>
  <si>
    <t>SWO003153</t>
  </si>
  <si>
    <t>GEH-EGW-05</t>
  </si>
  <si>
    <t>GEH-EGW-06</t>
  </si>
  <si>
    <t>GEH-EGW-07</t>
  </si>
  <si>
    <t>GEH-EGW-08</t>
  </si>
  <si>
    <t>GEH-EGW-09</t>
  </si>
  <si>
    <t>GEH-EGW-10</t>
  </si>
  <si>
    <t>GEH-EGW-11</t>
  </si>
  <si>
    <t>GEH-EGW-12</t>
  </si>
  <si>
    <t>GEH-EGW-13</t>
  </si>
  <si>
    <t>GEH-EGW-14</t>
  </si>
  <si>
    <t>GEH-EGW</t>
  </si>
  <si>
    <t>GEX: UTILITIES FY15 - GAS/WATER/ELECTRIC</t>
  </si>
  <si>
    <t>SWO003155</t>
  </si>
  <si>
    <t>GEX-EGW-05</t>
  </si>
  <si>
    <t>GEX-EGW-06</t>
  </si>
  <si>
    <t>GEX-EGW-07</t>
  </si>
  <si>
    <t>GEX-EGW-08</t>
  </si>
  <si>
    <t>GEX-EGW-09</t>
  </si>
  <si>
    <t>GEX-EGW-10</t>
  </si>
  <si>
    <t>GEX-EGW-11</t>
  </si>
  <si>
    <t>GEX-EGW-12</t>
  </si>
  <si>
    <t>GEX-EGW-13</t>
  </si>
  <si>
    <t>GEX-EGW-14</t>
  </si>
  <si>
    <t>GEX-EGW</t>
  </si>
  <si>
    <t>PTD: UTILITIES FY15 - ELECTRIC</t>
  </si>
  <si>
    <t>SWO001328</t>
  </si>
  <si>
    <t>SWO001772</t>
  </si>
  <si>
    <t>SWO002522</t>
  </si>
  <si>
    <t>SWO003231</t>
  </si>
  <si>
    <t>SWO006011</t>
  </si>
  <si>
    <t>SWO008988</t>
  </si>
  <si>
    <t>PTD-ELC-07</t>
  </si>
  <si>
    <t>PTD-ELC-08</t>
  </si>
  <si>
    <t>PTD-ELC-09</t>
  </si>
  <si>
    <t>PTD-ELC-10</t>
  </si>
  <si>
    <t>PTD-ELC-11</t>
  </si>
  <si>
    <t>PTD-ELC-12</t>
  </si>
  <si>
    <t>PTD-ELC-13</t>
  </si>
  <si>
    <t>PTD-ELC-14</t>
  </si>
  <si>
    <t>PTD-ELC</t>
  </si>
  <si>
    <t>MORE USAGE</t>
  </si>
  <si>
    <t>PSA1: UTILITIES FY15 - ELECTRIC, AUXILIARY</t>
  </si>
  <si>
    <t>SWO001332</t>
  </si>
  <si>
    <t>SWO001820</t>
  </si>
  <si>
    <t>SWO002554</t>
  </si>
  <si>
    <t>SWO003427</t>
  </si>
  <si>
    <t>SWO006006</t>
  </si>
  <si>
    <t>SWO008970</t>
  </si>
  <si>
    <t>PSA1-ELC07</t>
  </si>
  <si>
    <t>PSA1-ELC08</t>
  </si>
  <si>
    <t>PSA1-ELC09</t>
  </si>
  <si>
    <t>PSA1-ELC10</t>
  </si>
  <si>
    <t>PSA1-ELC11</t>
  </si>
  <si>
    <t>PSA1-ELC12</t>
  </si>
  <si>
    <t>PSA1-ELC13</t>
  </si>
  <si>
    <t>PSA1-ELC14</t>
  </si>
  <si>
    <t>PSA1-ELC</t>
  </si>
  <si>
    <t>In 5/01 Fixed broken meter-incr usage</t>
  </si>
  <si>
    <t>Change of usage</t>
  </si>
  <si>
    <t>PSa: UTILITIES FY15 - GAS/WATER ONLY, AUXILIARY</t>
  </si>
  <si>
    <t>SWO000995</t>
  </si>
  <si>
    <t>SWO003224</t>
  </si>
  <si>
    <t>PSA-XGW-05</t>
  </si>
  <si>
    <t>PSA-XGW-06</t>
  </si>
  <si>
    <t>PSA-XGW-07</t>
  </si>
  <si>
    <t>PSA-XGW-08</t>
  </si>
  <si>
    <t>PSA-XGW-09</t>
  </si>
  <si>
    <t>PSA-XGW-10</t>
  </si>
  <si>
    <t>PSA-XGW-11</t>
  </si>
  <si>
    <t>PSA-XGW-12</t>
  </si>
  <si>
    <t>PSA-XGW-13</t>
  </si>
  <si>
    <t>PSA-XGW-14</t>
  </si>
  <si>
    <t>PSA-XGW</t>
  </si>
  <si>
    <t>OK - POSSIBLE INCREASED EQUIPMENT\</t>
  </si>
  <si>
    <t>DPS remodeled &amp; added more office space in structure</t>
  </si>
  <si>
    <t>PSA2: UTILITIES FY15 - ELECTRIC, CHILLER</t>
  </si>
  <si>
    <t>PSA8: UTILITIES FY15 - ELECTRIC, CELL SITE</t>
  </si>
  <si>
    <t>Parking Structure A - Cellular Only</t>
  </si>
  <si>
    <t>PSA9: UTILITIES FY15 - ELECTRIC ONLY, CELL SITE</t>
  </si>
  <si>
    <t>PSA9-EL-06</t>
  </si>
  <si>
    <t>PSA9-EL-07</t>
  </si>
  <si>
    <t>PSA9-EL-08</t>
  </si>
  <si>
    <t>PSA9-EL-09</t>
  </si>
  <si>
    <t>PSA9-EL-10</t>
  </si>
  <si>
    <t>PSA9-EL-11</t>
  </si>
  <si>
    <t>PSA9-EL-12</t>
  </si>
  <si>
    <t>PSA9-EL-13</t>
  </si>
  <si>
    <t>PSA9-EL-14</t>
  </si>
  <si>
    <t>PSA9-EL</t>
  </si>
  <si>
    <t>Metered in Dec 04</t>
  </si>
  <si>
    <t>PSB: UTILITIES FY15 - GAS/WATER ONLY, AUXILIARY</t>
  </si>
  <si>
    <t>SWO003226</t>
  </si>
  <si>
    <t>PSB-XGW-05</t>
  </si>
  <si>
    <t>PSB-XGW-06</t>
  </si>
  <si>
    <t>PSB-XGW-07</t>
  </si>
  <si>
    <t>PSB-XGW-08</t>
  </si>
  <si>
    <t>PSB-XGW-09</t>
  </si>
  <si>
    <t>PSB-XGW-10</t>
  </si>
  <si>
    <t>PSB-XGW-11</t>
  </si>
  <si>
    <t>PSB-XGW-12</t>
  </si>
  <si>
    <t>PSB-XGW-13</t>
  </si>
  <si>
    <t>PSB-XGW-14</t>
  </si>
  <si>
    <t>PSB-XGW</t>
  </si>
  <si>
    <t>ADDED MORE OFFICE</t>
  </si>
  <si>
    <t>Added Command Center-more load</t>
  </si>
  <si>
    <t>PSB1: UTILITIES FY15 - ELECTRIC, AUXILIARY</t>
  </si>
  <si>
    <t>SWO001333</t>
  </si>
  <si>
    <t>SWO001821</t>
  </si>
  <si>
    <t>SWO002555</t>
  </si>
  <si>
    <t>SWO003428</t>
  </si>
  <si>
    <t>SWO006007</t>
  </si>
  <si>
    <t>SWO008966</t>
  </si>
  <si>
    <t>PSB1-ELC07</t>
  </si>
  <si>
    <t>PSB1-ELC08</t>
  </si>
  <si>
    <t>PSB1-ELC09</t>
  </si>
  <si>
    <t>PSB1-ELC10</t>
  </si>
  <si>
    <t>PSB1-ELC11</t>
  </si>
  <si>
    <t>PSB1-ELC12</t>
  </si>
  <si>
    <t>PSB1-ELC13</t>
  </si>
  <si>
    <t>PSB1-ELC14</t>
  </si>
  <si>
    <t>PSB1-ELC</t>
  </si>
  <si>
    <t>PSB8: UTILITIES FY15 - ELECTRIC, CELL SITE</t>
  </si>
  <si>
    <t>SWO000998</t>
  </si>
  <si>
    <t>SWO003263</t>
  </si>
  <si>
    <t>TSS-EGW-05</t>
  </si>
  <si>
    <t>TSS-EGW-06</t>
  </si>
  <si>
    <t>TSS-EGW-07</t>
  </si>
  <si>
    <t>TSS-EGW-08</t>
  </si>
  <si>
    <t>TSS-EGW-09</t>
  </si>
  <si>
    <t>TSS-EGW-10</t>
  </si>
  <si>
    <t>TSS-EGW-11</t>
  </si>
  <si>
    <t>RZC: UTILITIES FY15 - GAS/WATER/ELECTRIC</t>
  </si>
  <si>
    <t>SWO000999</t>
  </si>
  <si>
    <t>SWO003240</t>
  </si>
  <si>
    <t>RZC-EGW-05</t>
  </si>
  <si>
    <t>RZC-EGW-06</t>
  </si>
  <si>
    <t>RZC-EGW-07</t>
  </si>
  <si>
    <t>RZC-EGW-08</t>
  </si>
  <si>
    <t>RZC-EGW-09</t>
  </si>
  <si>
    <t>RZC-EGW-10</t>
  </si>
  <si>
    <t>RZC-EGW-11</t>
  </si>
  <si>
    <t>RZC-EGW-12</t>
  </si>
  <si>
    <t>RZC-EGW-13</t>
  </si>
  <si>
    <t>RZC-EGW-14</t>
  </si>
  <si>
    <t>RZC-EGW</t>
  </si>
  <si>
    <t>UPX: UTILITIES FY15 - GAS/WATER ONLY</t>
  </si>
  <si>
    <t>SWO001033</t>
  </si>
  <si>
    <t>SWO003271</t>
  </si>
  <si>
    <t>UPX-XGW-05</t>
  </si>
  <si>
    <t>UPX-XGW-06</t>
  </si>
  <si>
    <t>UPX-XGW-07</t>
  </si>
  <si>
    <t>UPX-XGW-08</t>
  </si>
  <si>
    <t>UPX-XGW-09</t>
  </si>
  <si>
    <t>UPX-XGW-10</t>
  </si>
  <si>
    <t>UPX-XGW-11</t>
  </si>
  <si>
    <t>UPX-XGW-12</t>
  </si>
  <si>
    <t>UPX-XGW-13</t>
  </si>
  <si>
    <t>UPX-XGW-14</t>
  </si>
  <si>
    <t>UPX-XGW</t>
  </si>
  <si>
    <t>FY12 LIGHTING COST SAVINGS $600K</t>
  </si>
  <si>
    <t>More Bookstore Workers</t>
  </si>
  <si>
    <t>UPX1: UTILITIES FY15 - ELECTRIC, AUXILIARY</t>
  </si>
  <si>
    <t>SWO001334</t>
  </si>
  <si>
    <t>SWO001822</t>
  </si>
  <si>
    <t>SWO002556</t>
  </si>
  <si>
    <t>SWO003469</t>
  </si>
  <si>
    <t>SWO005986</t>
  </si>
  <si>
    <t>SWO008961</t>
  </si>
  <si>
    <t>UPX1-ELC07</t>
  </si>
  <si>
    <t>UPX1-ELC08</t>
  </si>
  <si>
    <t>UPX1-ELC09</t>
  </si>
  <si>
    <t>UPX1-ELC10</t>
  </si>
  <si>
    <t>UPX1-ELC11</t>
  </si>
  <si>
    <t>UPX1-ELC12</t>
  </si>
  <si>
    <t>UPX1-ELC13</t>
  </si>
  <si>
    <t>UPX1-ELC14</t>
  </si>
  <si>
    <t>UPX1-ELC</t>
  </si>
  <si>
    <t>UPX AUX GROWTH</t>
  </si>
  <si>
    <t>FOR 3.3 YRS; INSTALLED 2/2012</t>
  </si>
  <si>
    <t>More people to Bookstore Storage. No summer time light reduction</t>
  </si>
  <si>
    <t>Apr Calculation error-JV in May</t>
  </si>
  <si>
    <t>UPX2: UTILITIES FY15 - ELECTRIC, ENGINEERING</t>
  </si>
  <si>
    <t>SWO003806</t>
  </si>
  <si>
    <t>SWO006319</t>
  </si>
  <si>
    <t xml:space="preserve">SWO009683 </t>
  </si>
  <si>
    <t>UPX2-ELC07</t>
  </si>
  <si>
    <t>UPX2-ELC08</t>
  </si>
  <si>
    <t>UPX2-ELC09</t>
  </si>
  <si>
    <t>UPX2-ELC10</t>
  </si>
  <si>
    <t>UPX2-ELC11</t>
  </si>
  <si>
    <t>UPX2-ELC12</t>
  </si>
  <si>
    <t>UPX2-ELC13</t>
  </si>
  <si>
    <t>UPX2-ELC14</t>
  </si>
  <si>
    <t>UPX2-ELC</t>
  </si>
  <si>
    <t>RATE</t>
  </si>
  <si>
    <t>ALLOCATE 2/3 TO AUX SRVCS</t>
  </si>
  <si>
    <t>TMC: UTILITIES FY15 - GAS/WATER/ELECTRIC</t>
  </si>
  <si>
    <t>SWO000907</t>
  </si>
  <si>
    <t>SWO003188</t>
  </si>
  <si>
    <t>LPB-EGW-05</t>
  </si>
  <si>
    <t>LPB-EGW-06</t>
  </si>
  <si>
    <t>LPB-EGW-07</t>
  </si>
  <si>
    <t>LPB-EGW-08</t>
  </si>
  <si>
    <t>LPB-EGW-09</t>
  </si>
  <si>
    <t>LPB-EGW-10</t>
  </si>
  <si>
    <t>LPB-EGW-11</t>
  </si>
  <si>
    <t>LPB-EGW-12</t>
  </si>
  <si>
    <t>LPB-EGW-13</t>
  </si>
  <si>
    <t>LPB-EGW-14</t>
  </si>
  <si>
    <t>LPB-EGW</t>
  </si>
  <si>
    <t>FY16 PROJ INCREASE</t>
  </si>
  <si>
    <t>LUC: UTILITIES FY15 - GAS/WATER/ELECTRIC</t>
  </si>
  <si>
    <t>SWO001001</t>
  </si>
  <si>
    <t>SWO003191</t>
  </si>
  <si>
    <t>LUC-EGW-05</t>
  </si>
  <si>
    <t>LUC-EGW-06</t>
  </si>
  <si>
    <t>LUC-EGW-07</t>
  </si>
  <si>
    <t>LUC-EGW-08</t>
  </si>
  <si>
    <t>LUC-EGW-09</t>
  </si>
  <si>
    <t>LUC-EGW-10</t>
  </si>
  <si>
    <t>LUC-EGW-11</t>
  </si>
  <si>
    <t>LUC-EGW-12</t>
  </si>
  <si>
    <t>CTC: UTILITIES FY15 - GAS/WATER/ELECTRIC</t>
  </si>
  <si>
    <t>SWO001002</t>
  </si>
  <si>
    <t>SWO003123</t>
  </si>
  <si>
    <t>CTC-EGW-05</t>
  </si>
  <si>
    <t>CTC-EGW-06</t>
  </si>
  <si>
    <t>CTC-EGW-07</t>
  </si>
  <si>
    <t>CTC-EGW-08</t>
  </si>
  <si>
    <t>CTC-EGW-09</t>
  </si>
  <si>
    <t>CTC-EGW-10</t>
  </si>
  <si>
    <t>CTC-EGW-11</t>
  </si>
  <si>
    <t>CTC-EGW-12</t>
  </si>
  <si>
    <t>CTC-EGW-13</t>
  </si>
  <si>
    <t>CTC-EGW-14</t>
  </si>
  <si>
    <t>CTC-EGW</t>
  </si>
  <si>
    <t>EXPECT DECREASE - STILL IN USE ESPECIALLY LUC EQUIPMENT</t>
  </si>
  <si>
    <t>Included with #220</t>
  </si>
  <si>
    <t xml:space="preserve">King Hall  </t>
  </si>
  <si>
    <t>KOH: UTILITIES FY15 - ELECTRIC</t>
  </si>
  <si>
    <t>SWO001335</t>
  </si>
  <si>
    <t>SWO001823</t>
  </si>
  <si>
    <t>SWO002557</t>
  </si>
  <si>
    <t>SWO003421</t>
  </si>
  <si>
    <t>SWO006002</t>
  </si>
  <si>
    <t xml:space="preserve">SWO009023 </t>
  </si>
  <si>
    <t>KOH-ELC-07</t>
  </si>
  <si>
    <t>KOH-ELC-08</t>
  </si>
  <si>
    <t>KOH-ELC-09</t>
  </si>
  <si>
    <t>KOH-ELC-10</t>
  </si>
  <si>
    <t>KOH-ELC-11</t>
  </si>
  <si>
    <t>KOH-ELC-12</t>
  </si>
  <si>
    <t>KOH-ELC-13</t>
  </si>
  <si>
    <t>KOH-ELC-14</t>
  </si>
  <si>
    <t>KOH-ELC</t>
  </si>
  <si>
    <t>Shutdown after school ends</t>
  </si>
  <si>
    <t>KOH: UTILITIES FY15 - GAS/WATER/ELECTRIC</t>
  </si>
  <si>
    <t>SWO001034</t>
  </si>
  <si>
    <t>SWO003183</t>
  </si>
  <si>
    <t>KOH-EGW-05</t>
  </si>
  <si>
    <t>KOH-EGW-06</t>
  </si>
  <si>
    <t>KOH-EGW-07</t>
  </si>
  <si>
    <t>KOH-EGW-08</t>
  </si>
  <si>
    <t>KOH-EGW-09</t>
  </si>
  <si>
    <t>KOH-EGW-10</t>
  </si>
  <si>
    <t>KOH-EGW-11</t>
  </si>
  <si>
    <t>KOH-EGW-12</t>
  </si>
  <si>
    <t>KOH-EGW-13</t>
  </si>
  <si>
    <t>KOH-EGW-14</t>
  </si>
  <si>
    <t>KOH-EGW</t>
  </si>
  <si>
    <t>CFH: UTILITIES FY15 - GAS/WATER/ELECTRIC</t>
  </si>
  <si>
    <t>SWO001005</t>
  </si>
  <si>
    <t>SWO003112</t>
  </si>
  <si>
    <t>CFH-EGW-05</t>
  </si>
  <si>
    <t>CFH-EGW-06</t>
  </si>
  <si>
    <t>CFH-EGW-07</t>
  </si>
  <si>
    <t>CFH-EGW-08</t>
  </si>
  <si>
    <t>CFH-EGW-09</t>
  </si>
  <si>
    <t>CFH-EGW-10</t>
  </si>
  <si>
    <t>CFH-EGW-11</t>
  </si>
  <si>
    <t>CFH-EGW-12</t>
  </si>
  <si>
    <t>CFH-EGW-13</t>
  </si>
  <si>
    <t>CFH-EGW-14</t>
  </si>
  <si>
    <t>CFH-EGW</t>
  </si>
  <si>
    <t>What happened to electricity?</t>
  </si>
  <si>
    <t>Exposition Blvd Parking Structure  NEW FY 2007</t>
  </si>
  <si>
    <t>EPS: UTILITIES FY15 - ELECTRIC, NEW BUILDING</t>
  </si>
  <si>
    <t>EPS-NELC07</t>
  </si>
  <si>
    <t>EPS-NELC08</t>
  </si>
  <si>
    <t>EPS-NELC09</t>
  </si>
  <si>
    <t>EPS-NELC10</t>
  </si>
  <si>
    <t>EPS-NELC11</t>
  </si>
  <si>
    <t>EPS-NELC12</t>
  </si>
  <si>
    <t>EPS-NELC13</t>
  </si>
  <si>
    <t>EPS-NELC14</t>
  </si>
  <si>
    <t>EPS-NELC</t>
  </si>
  <si>
    <t xml:space="preserve">OVER USE </t>
  </si>
  <si>
    <t>OK TO CORRECT JUL DATA</t>
  </si>
  <si>
    <t>Opened  October 2006</t>
  </si>
  <si>
    <t>SSH: UTILITIES FY15 - GAS/WATER/ELECTRIC</t>
  </si>
  <si>
    <t>SWO003255</t>
  </si>
  <si>
    <t>SSH-EGW-05</t>
  </si>
  <si>
    <t>SSH-EGW-06</t>
  </si>
  <si>
    <t>SSH-EGW-07</t>
  </si>
  <si>
    <t>SSH-EGW-08</t>
  </si>
  <si>
    <t>SSH-EGW-09</t>
  </si>
  <si>
    <t>SSH-EGW-10</t>
  </si>
  <si>
    <t>SSH-EGW-11</t>
  </si>
  <si>
    <t>SSH-EGW-12</t>
  </si>
  <si>
    <t>SSH-EGW-13</t>
  </si>
  <si>
    <t>SSH-EGW-14</t>
  </si>
  <si>
    <t>SSH-EGW</t>
  </si>
  <si>
    <t>Billed bimonthly</t>
  </si>
  <si>
    <t>GALEN Athletics Pavilion  NEW FY 2007</t>
  </si>
  <si>
    <t>GAP: UTILITIES FY15 - ELECTRIC</t>
  </si>
  <si>
    <t>GAP-NELC07</t>
  </si>
  <si>
    <t>GAP-NELC08</t>
  </si>
  <si>
    <t>GAP-NELC09</t>
  </si>
  <si>
    <t>GAP-NELC10</t>
  </si>
  <si>
    <t>GAP-NELC11</t>
  </si>
  <si>
    <t>GAP-NELC12</t>
  </si>
  <si>
    <t>GAP-NELC13</t>
  </si>
  <si>
    <t>GAP-NELC14</t>
  </si>
  <si>
    <t>GAP-NELC</t>
  </si>
  <si>
    <t>See #289 Galen Events Center</t>
  </si>
  <si>
    <t>ROY: UTILITIES FY15 - GAS/WATER/ELECTRIC</t>
  </si>
  <si>
    <t>SWO000917</t>
  </si>
  <si>
    <t>SWO003238</t>
  </si>
  <si>
    <t>ROY-EGW-05</t>
  </si>
  <si>
    <t>ROY-EGW-06</t>
  </si>
  <si>
    <t>ROY-EGW-07</t>
  </si>
  <si>
    <t>ROY-EGW-08</t>
  </si>
  <si>
    <t>ROY-EGW-09</t>
  </si>
  <si>
    <t>ROY-EGW-10</t>
  </si>
  <si>
    <t>ROY-EGW-11</t>
  </si>
  <si>
    <t>ROY-EGW-12</t>
  </si>
  <si>
    <t>ROY-EGW-13</t>
  </si>
  <si>
    <t>ROY-EGW-14</t>
  </si>
  <si>
    <t>ROY-EGW</t>
  </si>
  <si>
    <t>LRC: UTILITIES FY15 - GAS/WATER/ELECTRIC</t>
  </si>
  <si>
    <t>SWO001010</t>
  </si>
  <si>
    <t>SWO003189</t>
  </si>
  <si>
    <t>LRC-EGW-05</t>
  </si>
  <si>
    <t>LRC-EGW-06</t>
  </si>
  <si>
    <t>LRC-EGW-07</t>
  </si>
  <si>
    <t>LRC-EGW-08</t>
  </si>
  <si>
    <t>LRC-EGW-09</t>
  </si>
  <si>
    <t>LRC-EGW-10</t>
  </si>
  <si>
    <t>LRC-EGW-11</t>
  </si>
  <si>
    <t>LRC-EGW-12</t>
  </si>
  <si>
    <t>LRC-EGW-13</t>
  </si>
  <si>
    <t>LRC-EGW-14</t>
  </si>
  <si>
    <t>LRC-EGW</t>
  </si>
  <si>
    <t>ADDED EXERCISE EQMPT IN SMALL GYM - INCR PLUG LOAD &amp; A/C</t>
  </si>
  <si>
    <t>Added enclosure</t>
  </si>
  <si>
    <t xml:space="preserve">CT ratio problem </t>
  </si>
  <si>
    <t>KAB: UTILITIES FY15 - GAS/WATER/ELECTRIC</t>
  </si>
  <si>
    <t>SWO000910</t>
  </si>
  <si>
    <t>SWO003178</t>
  </si>
  <si>
    <t>KAB-EGW-05</t>
  </si>
  <si>
    <t>KAB-EGW-06</t>
  </si>
  <si>
    <t>KAB-EGW-07</t>
  </si>
  <si>
    <t>KAB-EGW-08</t>
  </si>
  <si>
    <t>KAB-EGW-09</t>
  </si>
  <si>
    <t>KAB-EGW-10</t>
  </si>
  <si>
    <t>KAB-EGW-11</t>
  </si>
  <si>
    <t>KAB-EGW-12</t>
  </si>
  <si>
    <t>KAB-EGW-13</t>
  </si>
  <si>
    <t>KAB-EGW-14</t>
  </si>
  <si>
    <t>KAB-EGW</t>
  </si>
  <si>
    <t>Nov 99 Under construction. Meter problem</t>
  </si>
  <si>
    <t>HNB: UTILITIES FY15 - GAS/WATER/ELECTRIC</t>
  </si>
  <si>
    <t>SWO001011</t>
  </si>
  <si>
    <t>SWO003163</t>
  </si>
  <si>
    <t>HNB-EGW-05</t>
  </si>
  <si>
    <t>HNB-EGW-06</t>
  </si>
  <si>
    <t>HNB-EGW-07</t>
  </si>
  <si>
    <t>HNB-EGW-08</t>
  </si>
  <si>
    <t>HNB-EGW-09</t>
  </si>
  <si>
    <t>HNB-EGW-10</t>
  </si>
  <si>
    <t>HNB-EGW-11</t>
  </si>
  <si>
    <t>HNB-EGW-12</t>
  </si>
  <si>
    <t>HNB-EGW-13</t>
  </si>
  <si>
    <t>HNB-EGW-14</t>
  </si>
  <si>
    <t>HNB-EGW</t>
  </si>
  <si>
    <t>KAP: UTILITIES FY15 - GAS/WATER/ELECTRIC</t>
  </si>
  <si>
    <t>SWO001012</t>
  </si>
  <si>
    <t>SWO003180</t>
  </si>
  <si>
    <t>KAP-EGW-05</t>
  </si>
  <si>
    <t>KAP-EGW-06</t>
  </si>
  <si>
    <t>KAP-EGW-07</t>
  </si>
  <si>
    <t>KAP-EGW-08</t>
  </si>
  <si>
    <t>KAP-EGW-09</t>
  </si>
  <si>
    <t>KAP-EGW-10</t>
  </si>
  <si>
    <t>KAP-EGW-11</t>
  </si>
  <si>
    <t>KAP-EGW-12</t>
  </si>
  <si>
    <t>KAP-EGW-13</t>
  </si>
  <si>
    <t>KAP-EGW-14</t>
  </si>
  <si>
    <t>KAP-EGW</t>
  </si>
  <si>
    <t>BKS: UTILITIES FY15 - GAS/WATER/ELECTRIC</t>
  </si>
  <si>
    <t>SWO001035</t>
  </si>
  <si>
    <t>SWO003103</t>
  </si>
  <si>
    <t>BKS-EGW-05</t>
  </si>
  <si>
    <t>BKS-EGW-06</t>
  </si>
  <si>
    <t>BKS-EGW-07</t>
  </si>
  <si>
    <t>BKS-EGW-08</t>
  </si>
  <si>
    <t>BKS-EGW-09</t>
  </si>
  <si>
    <t>BKS-EGW-10</t>
  </si>
  <si>
    <t>BKS-EGW-11</t>
  </si>
  <si>
    <t>BKS-EGW-12</t>
  </si>
  <si>
    <t>BKS-EGW-13</t>
  </si>
  <si>
    <t>BKS-EGW-14</t>
  </si>
  <si>
    <t>BKS-EGW</t>
  </si>
  <si>
    <t>Increased usage -  why?</t>
  </si>
  <si>
    <t>BKS: UTILITIES FY15 - ELECTRIC</t>
  </si>
  <si>
    <t>SWO001338</t>
  </si>
  <si>
    <t>SWO001704</t>
  </si>
  <si>
    <t>SWO002496</t>
  </si>
  <si>
    <t>SWO003389</t>
  </si>
  <si>
    <t>SWO006029</t>
  </si>
  <si>
    <t>SWO008994</t>
  </si>
  <si>
    <t>BKS-ELC-07</t>
  </si>
  <si>
    <t>BKS-ELC-08</t>
  </si>
  <si>
    <t>BKS-ELC-09</t>
  </si>
  <si>
    <t>BKS-ELC-10</t>
  </si>
  <si>
    <t>BKS-ELC-11</t>
  </si>
  <si>
    <t>BKS-ELC-12</t>
  </si>
  <si>
    <t>BKS-ELC-13</t>
  </si>
  <si>
    <t>BKS-ELC-14</t>
  </si>
  <si>
    <t>BKS-ELC</t>
  </si>
  <si>
    <t>BKS7-EL-06</t>
  </si>
  <si>
    <t>BKS7-EL-07</t>
  </si>
  <si>
    <t>BKS7-EL-08</t>
  </si>
  <si>
    <t>BKS7-EL-09</t>
  </si>
  <si>
    <t>BKS7-EL-10</t>
  </si>
  <si>
    <t>BKS7-EL-11</t>
  </si>
  <si>
    <t>BKS8: UTILITIES FY15 - ELECTRIC, CELL SITE, T-MOBILE</t>
  </si>
  <si>
    <t>BKS8-EL-06</t>
  </si>
  <si>
    <t>BKS8-EL-07</t>
  </si>
  <si>
    <t>BKS8-EL-08</t>
  </si>
  <si>
    <t>BKS8-EL-09</t>
  </si>
  <si>
    <t>BKS8-EL-10</t>
  </si>
  <si>
    <t>BKS8-EL-11</t>
  </si>
  <si>
    <t>BKS8-EL-12</t>
  </si>
  <si>
    <t>BKS8-EL-13</t>
  </si>
  <si>
    <t>BKS8-EL-14</t>
  </si>
  <si>
    <t>BKS8-EL</t>
  </si>
  <si>
    <t>Bookstore NEXTELCellular Site</t>
  </si>
  <si>
    <t>BKS9: UTILITIES FY15 - ELECTRIC ONLY, CELL SITE</t>
  </si>
  <si>
    <t>BKS Cell</t>
  </si>
  <si>
    <t>BKS9-EL-05</t>
  </si>
  <si>
    <t>BKS9-EL-06</t>
  </si>
  <si>
    <t>BKS9-EL-07</t>
  </si>
  <si>
    <t>BKS9-EL-08</t>
  </si>
  <si>
    <t>BKS9-EL-09</t>
  </si>
  <si>
    <t>BKS9-EL-10</t>
  </si>
  <si>
    <t>BKS9-EL-11</t>
  </si>
  <si>
    <t>BKS9-EL-12</t>
  </si>
  <si>
    <t>BKS9-EL-13</t>
  </si>
  <si>
    <t>BKS9-EL-14</t>
  </si>
  <si>
    <t>BKS9-EL</t>
  </si>
  <si>
    <t>Metered in Feb 05</t>
  </si>
  <si>
    <t>EEB: UTILITIES FY15 - GAS/WATER/ELECTRIC</t>
  </si>
  <si>
    <t>SWO001016</t>
  </si>
  <si>
    <t>SWO003141</t>
  </si>
  <si>
    <t>EEB-EGW-05</t>
  </si>
  <si>
    <t>EEB-EGW-06</t>
  </si>
  <si>
    <t>EEB-EGW-07</t>
  </si>
  <si>
    <t>EEB-EGW-08</t>
  </si>
  <si>
    <t>EEB-EGW-09</t>
  </si>
  <si>
    <t>EEB-EGW-10</t>
  </si>
  <si>
    <t>EEB-EGW-11</t>
  </si>
  <si>
    <t>EEB-EGW-12</t>
  </si>
  <si>
    <t>EEB-EGW-13</t>
  </si>
  <si>
    <t>EEB-EGW-14</t>
  </si>
  <si>
    <t>EEB-EGW</t>
  </si>
  <si>
    <t>LVL: UTILITIES FY15 - GAS/WATER/ELECTRIC</t>
  </si>
  <si>
    <t>SWO001017</t>
  </si>
  <si>
    <t>SWO003192</t>
  </si>
  <si>
    <t>LVL-EGW-05</t>
  </si>
  <si>
    <t>LVL-EGW-06</t>
  </si>
  <si>
    <t>LVL-EGW-07</t>
  </si>
  <si>
    <t>LVL-EGW-08</t>
  </si>
  <si>
    <t>LVL-EGW-09</t>
  </si>
  <si>
    <t>LVL-EGW-10</t>
  </si>
  <si>
    <t>LVL-EGW-11</t>
  </si>
  <si>
    <t>LVL-EGW-12</t>
  </si>
  <si>
    <t>LVL-EGW-13</t>
  </si>
  <si>
    <t>LVL-EGW-14</t>
  </si>
  <si>
    <t>LVL-EGW</t>
  </si>
  <si>
    <t>DMV: UTILITIES FY15 - GAS/WATER/ELECTRIC</t>
  </si>
  <si>
    <t>SWO000912</t>
  </si>
  <si>
    <t>SWO003131</t>
  </si>
  <si>
    <t>DMV-EGW-05</t>
  </si>
  <si>
    <t>DMV-EGW-06</t>
  </si>
  <si>
    <t>DMV-EGW-07</t>
  </si>
  <si>
    <t>DMV-EGW-08</t>
  </si>
  <si>
    <t>DMV-EGW-09</t>
  </si>
  <si>
    <t>DMV-EGW-10</t>
  </si>
  <si>
    <t>DMV-EGW-11</t>
  </si>
  <si>
    <t>DMV-EGW-12</t>
  </si>
  <si>
    <t>DMV-EGW-13</t>
  </si>
  <si>
    <t>DMV-EGW-14</t>
  </si>
  <si>
    <t>DMV-EGW</t>
  </si>
  <si>
    <t>In 4/04, corrected #267 delayed bill -$21,556.92</t>
  </si>
  <si>
    <t>Correct #267 delayed bill; Increase usage for elevators</t>
  </si>
  <si>
    <t>Facilities Planning &amp;  Management Trailer</t>
  </si>
  <si>
    <t>FPM: UTILITIES FY15 - GAS/WATER/ELECTRIC</t>
  </si>
  <si>
    <t>FPM-EGW-09</t>
  </si>
  <si>
    <t>FPM-EGW-10</t>
  </si>
  <si>
    <t>FPM-EGW-11</t>
  </si>
  <si>
    <t>FPM-EGW-12</t>
  </si>
  <si>
    <t>FPM-EGW-13</t>
  </si>
  <si>
    <t>FPM-EGW-14</t>
  </si>
  <si>
    <t>FPM-EGW</t>
  </si>
  <si>
    <t>EGG: UTILITIES FY15 - GAS/WATER/ELECTRIC</t>
  </si>
  <si>
    <t>SWO001018</t>
  </si>
  <si>
    <t>SWO003142</t>
  </si>
  <si>
    <t>EGG-EGW-05</t>
  </si>
  <si>
    <t>EGG-EGW-06</t>
  </si>
  <si>
    <t>EGG-EGW-07</t>
  </si>
  <si>
    <t>EGG-EGW-08</t>
  </si>
  <si>
    <t>EGG-EGW-09</t>
  </si>
  <si>
    <t>EGG-EGW-10</t>
  </si>
  <si>
    <t>EGG-EGW-11</t>
  </si>
  <si>
    <t>EGG-EGW-12</t>
  </si>
  <si>
    <t>EGG-EGW-13</t>
  </si>
  <si>
    <t>EGG-EGW-14</t>
  </si>
  <si>
    <t>EGG-EGW</t>
  </si>
  <si>
    <t>CHANGE OF USE; ADDED SAT. CLASSES &amp; COMPUTER EQMT</t>
  </si>
  <si>
    <t>RGL: UTILITIES FY15 - GAS/WATER/ELECTRIC</t>
  </si>
  <si>
    <t>SWO001019</t>
  </si>
  <si>
    <t>SWO003235</t>
  </si>
  <si>
    <t>RGL-EGW-05</t>
  </si>
  <si>
    <t xml:space="preserve">RGL-EGW-06 </t>
  </si>
  <si>
    <t>RGL-EGW-07</t>
  </si>
  <si>
    <t>RGL-EGW-08</t>
  </si>
  <si>
    <t>RGL-EGW-09</t>
  </si>
  <si>
    <t>RGL-EGW-10</t>
  </si>
  <si>
    <t>RGL-EGW-11</t>
  </si>
  <si>
    <t>RGL-EGW-12</t>
  </si>
  <si>
    <t>RGL-EGW-13</t>
  </si>
  <si>
    <t>RGL-EGW-14</t>
  </si>
  <si>
    <t>RGL-EGW</t>
  </si>
  <si>
    <t>Meter problem.  No automatic meter.</t>
  </si>
  <si>
    <t>RGL-EGW-06</t>
  </si>
  <si>
    <t>INCLUDED ABOVE</t>
  </si>
  <si>
    <t>JKP: UTILITIES FY15 - NON-AUXILIARY</t>
  </si>
  <si>
    <t>JKP</t>
  </si>
  <si>
    <t>SWO001020</t>
  </si>
  <si>
    <t>SWO003177</t>
  </si>
  <si>
    <t>JKP-EGW-05</t>
  </si>
  <si>
    <t>JKP-EGW-06</t>
  </si>
  <si>
    <t>JKP-EGW-07</t>
  </si>
  <si>
    <t>JKP-EGW-08</t>
  </si>
  <si>
    <t>JKP-EGW-09</t>
  </si>
  <si>
    <t>JKP-EGW-10</t>
  </si>
  <si>
    <t>JKP-EGW-11</t>
  </si>
  <si>
    <t>JKP-EGW-12</t>
  </si>
  <si>
    <t>JKP-EGW-13</t>
  </si>
  <si>
    <t>JKP-EGW-14</t>
  </si>
  <si>
    <t>JKP-EGW</t>
  </si>
  <si>
    <t>JKP1: UTILITIES FY15 - ELECTRIC</t>
  </si>
  <si>
    <t>JKP1</t>
  </si>
  <si>
    <t>SWO001799</t>
  </si>
  <si>
    <t>SWO002540</t>
  </si>
  <si>
    <t>SWO003454</t>
  </si>
  <si>
    <t>SWO005999</t>
  </si>
  <si>
    <t>SWO008967</t>
  </si>
  <si>
    <t>JKP1-ELC07</t>
  </si>
  <si>
    <t>JKP1-ELC08</t>
  </si>
  <si>
    <t>JKP1-ELC09</t>
  </si>
  <si>
    <t>JKP1-ELC10</t>
  </si>
  <si>
    <t>JKP1-ELC11</t>
  </si>
  <si>
    <t>JKP1-ELC12</t>
  </si>
  <si>
    <t>JKP1-ELC13</t>
  </si>
  <si>
    <t>JKP1-ELC14</t>
  </si>
  <si>
    <t>JKP1-ELC</t>
  </si>
  <si>
    <t>FMH: UTILITIES FY15 - GAS/WATER/ELECTRIC</t>
  </si>
  <si>
    <t>SWO000914</t>
  </si>
  <si>
    <t>SWO003151</t>
  </si>
  <si>
    <t>FMH-EGW-05</t>
  </si>
  <si>
    <t>FMH-EGW-06</t>
  </si>
  <si>
    <t>FMH-EGW-07</t>
  </si>
  <si>
    <t>FMH-EGW-08</t>
  </si>
  <si>
    <t>FMH-EGW-09</t>
  </si>
  <si>
    <t>FMH-EGW-10</t>
  </si>
  <si>
    <t>FMH-EGW-11</t>
  </si>
  <si>
    <t>FMH-EGW-12</t>
  </si>
  <si>
    <t>FMH-EGW-13</t>
  </si>
  <si>
    <t>FMH-EGW-14</t>
  </si>
  <si>
    <t>FMH-EGW</t>
  </si>
  <si>
    <t>COH: UTILITIES FY15 - GAS/WATER/ELECTRIC</t>
  </si>
  <si>
    <t>SWO001024</t>
  </si>
  <si>
    <t>SWO003115</t>
  </si>
  <si>
    <t>COH-EGW-05</t>
  </si>
  <si>
    <t>COH-EGW-06</t>
  </si>
  <si>
    <t>COH-EGW-07</t>
  </si>
  <si>
    <t>COH-EGW-08</t>
  </si>
  <si>
    <t>COH-EGW-09</t>
  </si>
  <si>
    <t>COH-EGW-10</t>
  </si>
  <si>
    <t>COH-EGW-11</t>
  </si>
  <si>
    <t>COH-EGW-12</t>
  </si>
  <si>
    <t>COH-EGW-13</t>
  </si>
  <si>
    <t>COH-EGW-14</t>
  </si>
  <si>
    <t>COH-EGW</t>
  </si>
  <si>
    <t>1 ELECTRIC BILL MISSING</t>
  </si>
  <si>
    <t>Changed from residential to commercial service</t>
  </si>
  <si>
    <t>UGB: UTILITIES FY15 - ELECTRIC ONLY</t>
  </si>
  <si>
    <t>SWO001461</t>
  </si>
  <si>
    <t>SWO003267</t>
  </si>
  <si>
    <t>UGB-ELC-05</t>
  </si>
  <si>
    <t xml:space="preserve">UGB-ELC-06 </t>
  </si>
  <si>
    <t>UGB-ELC-07</t>
  </si>
  <si>
    <t>UGB-ELC-08</t>
  </si>
  <si>
    <t>UGB-ELC-09</t>
  </si>
  <si>
    <t>UGB-ELC-10</t>
  </si>
  <si>
    <t>UGB-ELC-11</t>
  </si>
  <si>
    <t>UGB-ELC-12</t>
  </si>
  <si>
    <t>UGB-ELC-13</t>
  </si>
  <si>
    <t>UGB-ELC-14</t>
  </si>
  <si>
    <t>UGB-ELC</t>
  </si>
  <si>
    <t>INCREASE PERSONNEL</t>
  </si>
  <si>
    <t>More occupants - ISD</t>
  </si>
  <si>
    <t>3/06 Meter Changes</t>
  </si>
  <si>
    <t>INCL Delayed FY03 bill</t>
  </si>
  <si>
    <t>ADDED in FY01</t>
  </si>
  <si>
    <t>LTS: UTILITIES FY15 - GAS/WATER/ELECTRIC</t>
  </si>
  <si>
    <t>SWO001831</t>
  </si>
  <si>
    <t>SWO003190</t>
  </si>
  <si>
    <t>LTS-EGW-05</t>
  </si>
  <si>
    <t>LTS-EGW-06</t>
  </si>
  <si>
    <t>LTS-EGW-07</t>
  </si>
  <si>
    <t>LTS-EGW-08</t>
  </si>
  <si>
    <t>LTS-EGW-09</t>
  </si>
  <si>
    <t>LTS-EGW-10</t>
  </si>
  <si>
    <t>LTS-EGW-11</t>
  </si>
  <si>
    <t>LTS-EGW-12</t>
  </si>
  <si>
    <t>LTS-EGW-13</t>
  </si>
  <si>
    <t>LTS-EGW-14</t>
  </si>
  <si>
    <t>LTS-EGW</t>
  </si>
  <si>
    <t>Internationally Themed Residential College</t>
  </si>
  <si>
    <t>IRC: UTILITIES FY15 - ELECTRIC</t>
  </si>
  <si>
    <t>SWO001806</t>
  </si>
  <si>
    <t>SWO002545</t>
  </si>
  <si>
    <t>SWO003457</t>
  </si>
  <si>
    <t>SWO006051</t>
  </si>
  <si>
    <t>SWO008972</t>
  </si>
  <si>
    <t>IRC-ELC-07</t>
  </si>
  <si>
    <t>IRC-ELC-08</t>
  </si>
  <si>
    <t>IRC-ELC-09</t>
  </si>
  <si>
    <t>IRC-ELC-10</t>
  </si>
  <si>
    <t>IRC-ELC-11</t>
  </si>
  <si>
    <t>IRC-ELC-12</t>
  </si>
  <si>
    <t>IRC-ELC-13</t>
  </si>
  <si>
    <t>IRC-ELC-14</t>
  </si>
  <si>
    <t>IRC-ELC</t>
  </si>
  <si>
    <t>INCREASE RATE</t>
  </si>
  <si>
    <t>IRC - Dining  (NEW 04/02)</t>
  </si>
  <si>
    <t>IRC1: UTILITIES FY15 - ELECTRIC</t>
  </si>
  <si>
    <t>IRC-DINING</t>
  </si>
  <si>
    <t>SWO002564</t>
  </si>
  <si>
    <t>SWO005996</t>
  </si>
  <si>
    <t>SWO008964</t>
  </si>
  <si>
    <t>IRC1-ELC07</t>
  </si>
  <si>
    <t>IRC1-ELC08</t>
  </si>
  <si>
    <t>IRC1-ELC09</t>
  </si>
  <si>
    <t>IRC1-ELC10</t>
  </si>
  <si>
    <t>IRC1-ELC11</t>
  </si>
  <si>
    <t>IRC1-ELC12</t>
  </si>
  <si>
    <t>IRC1-ELC13</t>
  </si>
  <si>
    <t>IRC1-ELC14</t>
  </si>
  <si>
    <t>IRC1-ELC</t>
  </si>
  <si>
    <t>IRC2: UTILITIES FY15 - GAS/WATER/ELECTRIC</t>
  </si>
  <si>
    <t>IRC-CHILLER</t>
  </si>
  <si>
    <t>IRC2-EGW09</t>
  </si>
  <si>
    <t>IRC2-EGW10</t>
  </si>
  <si>
    <t>IRC2-EGW11</t>
  </si>
  <si>
    <t>IRC2-EGW12</t>
  </si>
  <si>
    <t>IRC2-EGW13</t>
  </si>
  <si>
    <t>IRC2-EGW14</t>
  </si>
  <si>
    <t>IRC2-EGW</t>
  </si>
  <si>
    <t>TEMPORARY CHILLER PLANT - GONE</t>
  </si>
  <si>
    <t>CAL: UTILITIES FY15 - GAS/WATER/ELECTRIC</t>
  </si>
  <si>
    <t>SWO003108</t>
  </si>
  <si>
    <t>CAL-EGW-05</t>
  </si>
  <si>
    <t>CAL-EGW-06</t>
  </si>
  <si>
    <t>CAL-EGW-07</t>
  </si>
  <si>
    <t>CAL-EGW-08</t>
  </si>
  <si>
    <t>CAL-EGW-09</t>
  </si>
  <si>
    <t>CAL-EGW-10</t>
  </si>
  <si>
    <t>CAL-EGW-11</t>
  </si>
  <si>
    <t>CAL-EGW-12</t>
  </si>
  <si>
    <t>CAL-EGW-13</t>
  </si>
  <si>
    <t>CAL-EGW-14</t>
  </si>
  <si>
    <t>CAL-EGW</t>
  </si>
  <si>
    <t>9/1/09 URBAN MKT OPENED.</t>
  </si>
  <si>
    <t>ISD moved in Feb. 2007</t>
  </si>
  <si>
    <t>ISD moving into bldg</t>
  </si>
  <si>
    <t>CAL URBAN MARKET  OPENED 9/1/09</t>
  </si>
  <si>
    <t>CAL1: UTILITIES FY15 - ELECTRIC</t>
  </si>
  <si>
    <t>CAL1NELC10</t>
  </si>
  <si>
    <t>CAL1NELC11</t>
  </si>
  <si>
    <t>CAL1NELC12</t>
  </si>
  <si>
    <t>CAL1NELC13</t>
  </si>
  <si>
    <t>CAL1NELC14</t>
  </si>
  <si>
    <t>CAL1NELC</t>
  </si>
  <si>
    <t>SWC: UTILITIES FY15 - GAS/WATER/ELECTRIC</t>
  </si>
  <si>
    <t>SWC</t>
  </si>
  <si>
    <t>SWO003680</t>
  </si>
  <si>
    <t>SWC-EGWA05</t>
  </si>
  <si>
    <t>SWC-EGW-06</t>
  </si>
  <si>
    <t>SWC-EGW-07</t>
  </si>
  <si>
    <t>SWC-EGW-08</t>
  </si>
  <si>
    <t>SWC-EGW-09</t>
  </si>
  <si>
    <t>SWC-EGW-10</t>
  </si>
  <si>
    <t>SWC-EGW-11</t>
  </si>
  <si>
    <t>SWC-EGW-12</t>
  </si>
  <si>
    <t>SWC-EGW-13</t>
  </si>
  <si>
    <t>SWC-EGW-14</t>
  </si>
  <si>
    <t>SWC-EGW</t>
  </si>
  <si>
    <t>NEW 2/04</t>
  </si>
  <si>
    <t>Galen Events Center</t>
  </si>
  <si>
    <t>GEC: UTILITIES FY15 - ELECTRIC</t>
  </si>
  <si>
    <t>UGB1-EL-05</t>
  </si>
  <si>
    <t>UGB1-EL-06</t>
  </si>
  <si>
    <t>GEC-NELC07</t>
  </si>
  <si>
    <t>GEC-NELC08</t>
  </si>
  <si>
    <t>GEC-NELC09</t>
  </si>
  <si>
    <t>GEC-NELC10</t>
  </si>
  <si>
    <t>GEC-NELC11</t>
  </si>
  <si>
    <t>GEC-NELC12</t>
  </si>
  <si>
    <t>GEC-NELC13</t>
  </si>
  <si>
    <t>GEC-NELC14</t>
  </si>
  <si>
    <t>GEC-NELC</t>
  </si>
  <si>
    <t>NEW 04/05</t>
  </si>
  <si>
    <t>STARTED IN 4/05</t>
  </si>
  <si>
    <t>RTH: UTILITIES FY15 - ELECTRICITY</t>
  </si>
  <si>
    <t>SWO003264</t>
  </si>
  <si>
    <t>RTH-EXW-05</t>
  </si>
  <si>
    <t>RTH-ELC-06</t>
  </si>
  <si>
    <t>RTH-ELC-07</t>
  </si>
  <si>
    <t>RTH-ELC-08</t>
  </si>
  <si>
    <t>RTH-ELC-09</t>
  </si>
  <si>
    <t>RTH-ELC-10</t>
  </si>
  <si>
    <t>RTH-ELC-11</t>
  </si>
  <si>
    <t>RTH-ELC-12</t>
  </si>
  <si>
    <t>RTH-ELC-13</t>
  </si>
  <si>
    <t>RTH-ELC-14</t>
  </si>
  <si>
    <t>RTH-ELC</t>
  </si>
  <si>
    <t xml:space="preserve">More occupants - Increased usage </t>
  </si>
  <si>
    <t>RRI: UTILITIES FY15 - ELECTRIC</t>
  </si>
  <si>
    <t>SWO003194</t>
  </si>
  <si>
    <t>MBB-EXW-05</t>
  </si>
  <si>
    <t>MCB-ELC-06</t>
  </si>
  <si>
    <t>MCB-ELC-07</t>
  </si>
  <si>
    <t>RIH-ELC-08</t>
  </si>
  <si>
    <t>RRI-ELC-09</t>
  </si>
  <si>
    <t>RRI-ELC-10</t>
  </si>
  <si>
    <t>RRI-ELC-11</t>
  </si>
  <si>
    <t>RRI-ELC-12</t>
  </si>
  <si>
    <t>RRI-ELC-13</t>
  </si>
  <si>
    <t>RRI-ELC-14</t>
  </si>
  <si>
    <t>RRI-ELC</t>
  </si>
  <si>
    <t>DNI: UTILITIES FY15 - ELECTRIC ONLY</t>
  </si>
  <si>
    <t>RTH-ELC-05</t>
  </si>
  <si>
    <t>DNI-ELC-06</t>
  </si>
  <si>
    <t>DNI-ELC-07</t>
  </si>
  <si>
    <t>DNI-ELC-08</t>
  </si>
  <si>
    <t>DNI-ELC-09</t>
  </si>
  <si>
    <t>DNI-ELC-10</t>
  </si>
  <si>
    <t>DNI-ELC-11</t>
  </si>
  <si>
    <t>DNI-ELC-12</t>
  </si>
  <si>
    <t>DNI-ELC-13</t>
  </si>
  <si>
    <t>DNI-ELC-14</t>
  </si>
  <si>
    <t>DNI-ELC</t>
  </si>
  <si>
    <t>New in Sep 04</t>
  </si>
  <si>
    <t>BCI: UTILITIES FY15 - ELECTRIC ONLY</t>
  </si>
  <si>
    <t>SCHOOL of CINEMATIC ARTS   STARTED 7/07</t>
  </si>
  <si>
    <t>SCA: UTILITIES FY15 - ELECTRIC</t>
  </si>
  <si>
    <t>SCA-ELC-08</t>
  </si>
  <si>
    <t>SCA-ELC-09</t>
  </si>
  <si>
    <t>SCA-ELC-10</t>
  </si>
  <si>
    <t>SCA-ELC-11</t>
  </si>
  <si>
    <t>SCA-ELC-12</t>
  </si>
  <si>
    <t>SCA-ELC-13</t>
  </si>
  <si>
    <t>SCA-ELC-14</t>
  </si>
  <si>
    <t>SCA-ELC</t>
  </si>
  <si>
    <t xml:space="preserve">       </t>
  </si>
  <si>
    <t>OCCUPANY IN DEC 08</t>
  </si>
  <si>
    <t>Technical Theater Laboratory  STARTED 8/07</t>
  </si>
  <si>
    <t>TTL: UTILITIES FY15 - ELECTRIC</t>
  </si>
  <si>
    <t>TTL-ELC-08</t>
  </si>
  <si>
    <t>TTL-ELC-09</t>
  </si>
  <si>
    <t>TTL-ELC-10</t>
  </si>
  <si>
    <t>TTL-ELC-11</t>
  </si>
  <si>
    <t>TTL-ELC-12</t>
  </si>
  <si>
    <t>TTL-ELC-13</t>
  </si>
  <si>
    <t>TTL-ELC-14</t>
  </si>
  <si>
    <t>TTL-ELC</t>
  </si>
  <si>
    <t>OCCUPANY IN MAR 08</t>
  </si>
  <si>
    <t>Topping Campus Center  STARTED 2/08</t>
  </si>
  <si>
    <t>TCC: UTILITIES FY15 - ELECTRIC</t>
  </si>
  <si>
    <t>TCC1-EGW09</t>
  </si>
  <si>
    <t>TCC1-EGW10</t>
  </si>
  <si>
    <t>TCC-NELC11</t>
  </si>
  <si>
    <t>TCC-NELC12</t>
  </si>
  <si>
    <t>TCC-NELC13</t>
  </si>
  <si>
    <t>TCC-NELC14</t>
  </si>
  <si>
    <t>TCC-NELC</t>
  </si>
  <si>
    <t>CONSTRUCTION STARTED FEB 09</t>
  </si>
  <si>
    <t>Topping Campus Center - CHILLER PLANT  NEW FY 2011</t>
  </si>
  <si>
    <t>TCC1: UTILITIES FY15 - ELECTRIC, CHILLER PLANT</t>
  </si>
  <si>
    <t>TCC Chiller Plant</t>
  </si>
  <si>
    <t>TCC2-ELC11</t>
  </si>
  <si>
    <t>TCC1NELC12</t>
  </si>
  <si>
    <t>TCC1NELC13</t>
  </si>
  <si>
    <t>TCC1NELC14</t>
  </si>
  <si>
    <t>TCC1NELC</t>
  </si>
  <si>
    <t>Topping Campus Center Chiller Plant MECH EQMT NEW FY 2011</t>
  </si>
  <si>
    <t>TCC2: UTILITIES FY15 - ELECTRIC</t>
  </si>
  <si>
    <t>TCC3NELC11</t>
  </si>
  <si>
    <t>TCC2-ELC12</t>
  </si>
  <si>
    <t>TCC2-ELC13</t>
  </si>
  <si>
    <t>TCC2-ELC14</t>
  </si>
  <si>
    <t>TCC2-ELC</t>
  </si>
  <si>
    <t>SCB: UTILITIES FY15 - ELECTRIC ONLY</t>
  </si>
  <si>
    <t>SCB-EGW-10</t>
  </si>
  <si>
    <t>SCB-EGW-11</t>
  </si>
  <si>
    <t>SCB-EGW-12</t>
  </si>
  <si>
    <t>SCB-NELC13</t>
  </si>
  <si>
    <t>SCB-NELC14</t>
  </si>
  <si>
    <t>SCB-NELC</t>
  </si>
  <si>
    <t>CONSTRUCTION STARTED JUN 09</t>
  </si>
  <si>
    <t>School of Cinematic Arts, Building C  OCCUPIED 4/10</t>
  </si>
  <si>
    <t>SCC: UTILITIES FY15 - ELECTRIC</t>
  </si>
  <si>
    <t>SCC-NELC10</t>
  </si>
  <si>
    <t>SCC-NELC11</t>
  </si>
  <si>
    <t>SCC-NELC12</t>
  </si>
  <si>
    <t>SCC-NELC13</t>
  </si>
  <si>
    <t>SCC-NELC14</t>
  </si>
  <si>
    <t>SCC-NELC</t>
  </si>
  <si>
    <t>School of Cinematic Arts, Building D  OCCUPIED 4/10</t>
  </si>
  <si>
    <t>SCX: UTILITIES FY15 - ELECTRIC</t>
  </si>
  <si>
    <t>SCX-NELC10</t>
  </si>
  <si>
    <t>SCX-NELC11</t>
  </si>
  <si>
    <t>SCX-NELC12</t>
  </si>
  <si>
    <t>SCX-NELC13</t>
  </si>
  <si>
    <t>SCX-NELC14</t>
  </si>
  <si>
    <t>SCX-NELC</t>
  </si>
  <si>
    <t>School of Cinematic Arts, Building E  OCCUPIED 6/09</t>
  </si>
  <si>
    <t>SCE: UTILITIES FY15 - ELECTRIC</t>
  </si>
  <si>
    <t>SCE-NELC10</t>
  </si>
  <si>
    <t>SCE-NELC11</t>
  </si>
  <si>
    <t>SCE-NELC12</t>
  </si>
  <si>
    <t>SCE-NELC13</t>
  </si>
  <si>
    <t>SCE-NELC14</t>
  </si>
  <si>
    <t>SCE-NELC</t>
  </si>
  <si>
    <t>CDF: UTILITIES FY15 - ELECTRIC</t>
  </si>
  <si>
    <t>CDF-ELC-10</t>
  </si>
  <si>
    <t>CDF-ELC-11</t>
  </si>
  <si>
    <t>CDF-ELC-12</t>
  </si>
  <si>
    <t>CDF-ELC-13</t>
  </si>
  <si>
    <t>CDF-ELC-14</t>
  </si>
  <si>
    <t>CDF-ELC</t>
  </si>
  <si>
    <t>All Sports Bldg/John McKay Center   (was ASB)</t>
  </si>
  <si>
    <t>JMC: UTILITIES FY15 - WATER/ELECTRIC</t>
  </si>
  <si>
    <t>ASB-EGW-12</t>
  </si>
  <si>
    <t>JMC-EGW-13</t>
  </si>
  <si>
    <t>JMC-EGW-14</t>
  </si>
  <si>
    <t>JMC-EGW</t>
  </si>
  <si>
    <t>ESH: UTILITIES FY15 - ELECTRIC</t>
  </si>
  <si>
    <t>ESH-ELC-12</t>
  </si>
  <si>
    <t>ESH-ELC-13</t>
  </si>
  <si>
    <t>ESH-ELC-14</t>
  </si>
  <si>
    <t>ESH-ELC</t>
  </si>
  <si>
    <t>ANN: UTILITIES FY15 - ELECTRIC</t>
  </si>
  <si>
    <t>SCI: UTILITIES FY15 - ELECTRIC</t>
  </si>
  <si>
    <t>SCI-NELC13</t>
  </si>
  <si>
    <t>SCI-NELC14</t>
  </si>
  <si>
    <t>SCI-NELC</t>
  </si>
  <si>
    <t>TRF: UTILITIES FY15 - ELECTRIC</t>
  </si>
  <si>
    <t>TRF-NELC14</t>
  </si>
  <si>
    <t>TRF-NELC</t>
  </si>
  <si>
    <t>NEW AUG 14</t>
  </si>
  <si>
    <t>VPD: UTILITIES FY15 - ELECTRIC</t>
  </si>
  <si>
    <t>UAC: UTILITIES FY15 - ELECTRIC</t>
  </si>
  <si>
    <t>MNS: UTILITIES FY15 - ELECTRIC</t>
  </si>
  <si>
    <t>UPV: UTILITIES FY15 - GAS/WATER/ELECTRIC</t>
  </si>
  <si>
    <t>SWO000913</t>
  </si>
  <si>
    <t>SWO003270</t>
  </si>
  <si>
    <t>UPV-EGW-05</t>
  </si>
  <si>
    <t>UPV-EGW-06</t>
  </si>
  <si>
    <t>UPV-EGW-07</t>
  </si>
  <si>
    <t>UPV-EGW-08</t>
  </si>
  <si>
    <t>UPV-EGW-09</t>
  </si>
  <si>
    <t>UPV-EGW-10</t>
  </si>
  <si>
    <t>UPV-EGW-11</t>
  </si>
  <si>
    <t>UPV-EGW-12</t>
  </si>
  <si>
    <t>UPV-EGW-13</t>
  </si>
  <si>
    <t>UPV-EGW-14</t>
  </si>
  <si>
    <t>UPV-EGW</t>
  </si>
  <si>
    <t>TES Pump Room  NEW  03/05</t>
  </si>
  <si>
    <t>TES: UTILITIES FY15 - ELECTRIC ONLY</t>
  </si>
  <si>
    <t>TES-ELC-05</t>
  </si>
  <si>
    <t xml:space="preserve">TES-ELC-06 </t>
  </si>
  <si>
    <t>TES-ELC-07</t>
  </si>
  <si>
    <t>TES-ELC-08</t>
  </si>
  <si>
    <t>TES-ELC-09</t>
  </si>
  <si>
    <t>TES-ELC-10</t>
  </si>
  <si>
    <t>TES-ELC-11</t>
  </si>
  <si>
    <t>TES-ELC-12</t>
  </si>
  <si>
    <t>TES-ELC-13</t>
  </si>
  <si>
    <t>TES-ELC-14</t>
  </si>
  <si>
    <t>TES-ELC</t>
  </si>
  <si>
    <t>BKF: UTILITIES FY15 - WATER/ELECTRIC ONLY</t>
  </si>
  <si>
    <t>SWO002571</t>
  </si>
  <si>
    <t>SWO003102</t>
  </si>
  <si>
    <t>BKF-EXW-05</t>
  </si>
  <si>
    <t>BKF-EXW-06</t>
  </si>
  <si>
    <t>BKF-EXW-07</t>
  </si>
  <si>
    <t>BKF-EXW-08</t>
  </si>
  <si>
    <t>BKF-EXW-09</t>
  </si>
  <si>
    <t>BKF-EXW-10</t>
  </si>
  <si>
    <t>BKF-EXW-11</t>
  </si>
  <si>
    <t>BKF-EXW-12</t>
  </si>
  <si>
    <t>BKF-EXW-13</t>
  </si>
  <si>
    <t>BKF-EXW-14</t>
  </si>
  <si>
    <t>BKF-EXW</t>
  </si>
  <si>
    <t>BDX: UTILITIES FY15 - WATER/ELECTRIC ONLY</t>
  </si>
  <si>
    <t>SWO001023</t>
  </si>
  <si>
    <t>SWO003099</t>
  </si>
  <si>
    <t>BDX-EXW-05</t>
  </si>
  <si>
    <t>BDX-EXW-06</t>
  </si>
  <si>
    <t>BDX-EXW-07</t>
  </si>
  <si>
    <t>BDX-EXW-08</t>
  </si>
  <si>
    <t>BDX-EXW-09</t>
  </si>
  <si>
    <t>BDX-EXW-10</t>
  </si>
  <si>
    <t>BDX-EXW-11</t>
  </si>
  <si>
    <t>BDX-EXW-12</t>
  </si>
  <si>
    <t>BDX-EXW-13</t>
  </si>
  <si>
    <t>BDX-EXW-14</t>
  </si>
  <si>
    <t>BDX-EXW</t>
  </si>
  <si>
    <t>BIM: UTILITIES FY15 - WATER/ELECTRIC ONLY</t>
  </si>
  <si>
    <t>SWO001021</t>
  </si>
  <si>
    <t>SWO003171</t>
  </si>
  <si>
    <t>IMF-EXW-05</t>
  </si>
  <si>
    <t>IMF-EXW-06</t>
  </si>
  <si>
    <t>IMF-EXW-07</t>
  </si>
  <si>
    <t>IMF-EXW-08</t>
  </si>
  <si>
    <t>IMF-EXW-09</t>
  </si>
  <si>
    <t>IMF-EXW-10</t>
  </si>
  <si>
    <t>IMF-EXW-11</t>
  </si>
  <si>
    <t>IMF-EXW-12</t>
  </si>
  <si>
    <t>IMF-EXW-13</t>
  </si>
  <si>
    <t>IMF-EXW-14</t>
  </si>
  <si>
    <t>IMF-EXW</t>
  </si>
  <si>
    <t>CFX: UTILITIES FY15 - WATER/ELECTRIC ONLY</t>
  </si>
  <si>
    <t>SWO002572</t>
  </si>
  <si>
    <t>SWO003113</t>
  </si>
  <si>
    <t>CFX-EXW-05</t>
  </si>
  <si>
    <t>CFX-EXW-06</t>
  </si>
  <si>
    <t>CFX-EXW-07</t>
  </si>
  <si>
    <t>CFX-EXW-08</t>
  </si>
  <si>
    <t>CFX-EXW-09</t>
  </si>
  <si>
    <t>CFX-EXW-10</t>
  </si>
  <si>
    <t>CFX-EXW-11</t>
  </si>
  <si>
    <t>CFX-EXW-12</t>
  </si>
  <si>
    <t>CFX-EXW-13</t>
  </si>
  <si>
    <t>CFX-EXW-14</t>
  </si>
  <si>
    <t>CFX-EXW</t>
  </si>
  <si>
    <t>SMF: UTILITIES FY15 - ELECTRIC ONLY</t>
  </si>
  <si>
    <t>SWO001175</t>
  </si>
  <si>
    <t>SWO003250</t>
  </si>
  <si>
    <t>SMF-ELC-05</t>
  </si>
  <si>
    <t>SMF-ELC-06</t>
  </si>
  <si>
    <t>SMF-ELC-07</t>
  </si>
  <si>
    <t>SMF-ELC-08</t>
  </si>
  <si>
    <t>SMF-ELC-09</t>
  </si>
  <si>
    <t>SMF-ELC-10</t>
  </si>
  <si>
    <t>SMF-ELC-11</t>
  </si>
  <si>
    <t>SMF-ELC-12</t>
  </si>
  <si>
    <t>SMF-ELC-13</t>
  </si>
  <si>
    <t>SMF-ELC-14</t>
  </si>
  <si>
    <t>SMF-ELC</t>
  </si>
  <si>
    <t>GPC: UTILITIES FY15 - WATER/ELECTRIC ONLY</t>
  </si>
  <si>
    <t>SWO002573</t>
  </si>
  <si>
    <t>SWO003157</t>
  </si>
  <si>
    <t>GPC-EXW-05</t>
  </si>
  <si>
    <t>GPC-EXW-06</t>
  </si>
  <si>
    <t>GPC-EXW-07</t>
  </si>
  <si>
    <t>GPC-EXW-08</t>
  </si>
  <si>
    <t>GPC-EXW-09</t>
  </si>
  <si>
    <t>GPC-EXW-10</t>
  </si>
  <si>
    <t>GPC-EXW-11</t>
  </si>
  <si>
    <t>GPC-EXW-12</t>
  </si>
  <si>
    <t>GPC-EXW-13</t>
  </si>
  <si>
    <t>GPC-EXW-14</t>
  </si>
  <si>
    <t>GPC-EXW</t>
  </si>
  <si>
    <t>Temporary Dining Facility (The Lot)  OPENED 8/08</t>
  </si>
  <si>
    <t>TDF: UTILITIES FY15 - GAS/WATER/ELECTRIC</t>
  </si>
  <si>
    <t>TDF-EGW-08</t>
  </si>
  <si>
    <t>TDF-EGW-09</t>
  </si>
  <si>
    <t>TDF-EGW-10</t>
  </si>
  <si>
    <t>TDF-EGW-11</t>
  </si>
  <si>
    <t>TDF-EGW-12</t>
  </si>
  <si>
    <t>TDF-EGW-13</t>
  </si>
  <si>
    <t>TDF-EGW-14</t>
  </si>
  <si>
    <t>TDF-EGW</t>
  </si>
  <si>
    <t>Reconstruction - demo kitchen; move air handlers to ground, etc.  See Sue Lewis, AVProvost for Planning &amp; Des</t>
  </si>
  <si>
    <t>5-6 % Avg Growth for FY 2007</t>
  </si>
  <si>
    <t>FY 2015-16 ASR COSTS:</t>
  </si>
  <si>
    <t>FY 2015-16 FAMIS COSTS:</t>
  </si>
  <si>
    <t>FY 2014-15 ASR COSTS:</t>
  </si>
  <si>
    <t>FY 2014-15 FAMIS COSTS:</t>
  </si>
  <si>
    <t>FY 2013-14 ASR COSTS:</t>
  </si>
  <si>
    <t>FY 2013-14 FAMIS COSTS:</t>
  </si>
  <si>
    <t>FY 2012-13 ASR COSTS:</t>
  </si>
  <si>
    <t>FY 2012-13 FAMIS COSTS:</t>
  </si>
  <si>
    <t>FY 2011-12 ASR COSTS:</t>
  </si>
  <si>
    <t>P4P</t>
  </si>
  <si>
    <t>FY 2011-12 FAMIS COSTS:</t>
  </si>
  <si>
    <t>FY 2010-11 ASR COSTS:</t>
  </si>
  <si>
    <t>FY 2010-11 FAMIS COSTS:</t>
  </si>
  <si>
    <t>FY 09-10 ELECTRIC ASR Costs:</t>
  </si>
  <si>
    <t>FY 08-09 ELECTRIC ASR Costs:</t>
  </si>
  <si>
    <t>-</t>
  </si>
  <si>
    <t>FY 07-08 ELECTRIC ASR Costs:</t>
  </si>
  <si>
    <t>Adjustments for UPX</t>
  </si>
  <si>
    <t>FY 06-07 ELECTRIC ASR Costs:</t>
  </si>
  <si>
    <t>FY 06-07 ELECTRIC FAMIS Costs:</t>
  </si>
  <si>
    <t>FY 05-06 ELECTRIC ASR Costs:</t>
  </si>
  <si>
    <t>FY 05-06 DIRECT BILLING INCOME:</t>
  </si>
  <si>
    <t>FY 04-05 ELECTRIC ASR Costs:</t>
  </si>
  <si>
    <t>FY 04-05 DIRECT BILLING INCOME:</t>
  </si>
  <si>
    <t>Total FY05 Income:</t>
  </si>
  <si>
    <t>FY 03-04 ELECTRIC ASR Costs:</t>
  </si>
  <si>
    <t>CURRENT/PRIOR YR VARIANCE:</t>
  </si>
  <si>
    <t>FY1415</t>
  </si>
  <si>
    <t>UPC CAMPUS</t>
  </si>
  <si>
    <t>AUX</t>
  </si>
  <si>
    <t>OFF-CAMPUS</t>
  </si>
  <si>
    <t>overhead</t>
  </si>
  <si>
    <t>ADJUSTMENT</t>
  </si>
  <si>
    <t>RATE ANALYSIS</t>
  </si>
  <si>
    <t>FY13</t>
  </si>
  <si>
    <t>FY13 VS 14</t>
  </si>
  <si>
    <t>ACT RATE</t>
  </si>
  <si>
    <t>CONSUMPTION</t>
  </si>
  <si>
    <t>UPC Gas USAGE  (THERMS)</t>
  </si>
  <si>
    <t>Bldg No.</t>
  </si>
  <si>
    <t>Bldg Name</t>
  </si>
  <si>
    <t>Bldg Code</t>
  </si>
  <si>
    <t xml:space="preserve">Music Practice &amp; Instructional Ctr </t>
  </si>
  <si>
    <t>Waite Phillips Hall</t>
  </si>
  <si>
    <t>Social Sciences</t>
  </si>
  <si>
    <t xml:space="preserve">VonKleinsmid Center </t>
  </si>
  <si>
    <t>Humanities &amp; Social Science Annex</t>
  </si>
  <si>
    <t>Commons</t>
  </si>
  <si>
    <t>College Academic Services</t>
  </si>
  <si>
    <t xml:space="preserve">Heritage Hall GALEN CENTER </t>
  </si>
  <si>
    <t xml:space="preserve">Scene Dock </t>
  </si>
  <si>
    <t xml:space="preserve">University Computing Center </t>
  </si>
  <si>
    <t>UCC</t>
  </si>
  <si>
    <t xml:space="preserve">Powell Hall </t>
  </si>
  <si>
    <t xml:space="preserve">Watt Hall </t>
  </si>
  <si>
    <t xml:space="preserve">Allan Hancock Foundation </t>
  </si>
  <si>
    <t xml:space="preserve">Organic Chemistry Wing </t>
  </si>
  <si>
    <t xml:space="preserve">School of Accounting </t>
  </si>
  <si>
    <t>Widney Alumni House</t>
  </si>
  <si>
    <t xml:space="preserve">JEP House </t>
  </si>
  <si>
    <t xml:space="preserve">Seaver Science Library </t>
  </si>
  <si>
    <t xml:space="preserve">Early Childhood Training </t>
  </si>
  <si>
    <t>WEBB TOWER (RES only)</t>
  </si>
  <si>
    <t xml:space="preserve">Dental Science Center </t>
  </si>
  <si>
    <t>Brooks Memorial Pavillion</t>
  </si>
  <si>
    <t>Religious Center</t>
  </si>
  <si>
    <t xml:space="preserve">Norris Cinema Theater </t>
  </si>
  <si>
    <t xml:space="preserve">Salvatori Computer Science </t>
  </si>
  <si>
    <t xml:space="preserve">John Tyler DCI Bldg </t>
  </si>
  <si>
    <t xml:space="preserve">Bing Theater </t>
  </si>
  <si>
    <t xml:space="preserve">Music Faculty Bldg </t>
  </si>
  <si>
    <t>Davidson Conference Center (Non-Aux)</t>
  </si>
  <si>
    <t xml:space="preserve">Davidson Conference Center </t>
  </si>
  <si>
    <t xml:space="preserve">Marks Tennis Stadium </t>
  </si>
  <si>
    <t xml:space="preserve">David Marks Hall </t>
  </si>
  <si>
    <t>Elisabeth Von Kleinsmid Residence Hall</t>
  </si>
  <si>
    <t>Harris Residence Hall</t>
  </si>
  <si>
    <t>URH</t>
  </si>
  <si>
    <t xml:space="preserve">Childs Way Bldg I </t>
  </si>
  <si>
    <t xml:space="preserve">Hazel &amp; Stanley Hall </t>
  </si>
  <si>
    <t xml:space="preserve">Town &amp; Gown Foyer (Non-Aux) </t>
  </si>
  <si>
    <t>Town &amp; Gown Foyer</t>
  </si>
  <si>
    <t>Faculty Center</t>
  </si>
  <si>
    <t>Parkside Apartments Non-Aux</t>
  </si>
  <si>
    <t>PKS</t>
  </si>
  <si>
    <t xml:space="preserve">Parkside Apartments I </t>
  </si>
  <si>
    <t xml:space="preserve">Trojan Hall (Non-Aux) </t>
  </si>
  <si>
    <t>Freshman Writing House</t>
  </si>
  <si>
    <t>FWH</t>
  </si>
  <si>
    <t xml:space="preserve">McDonald's Swim Stadium </t>
  </si>
  <si>
    <t>Parking Structure C (PSX)</t>
  </si>
  <si>
    <t xml:space="preserve">Stauffer Hall of Science </t>
  </si>
  <si>
    <t xml:space="preserve">Stauffer Science Lecture </t>
  </si>
  <si>
    <t>Parkside Residential Building</t>
  </si>
  <si>
    <t xml:space="preserve">Admissions Bldg/Registration </t>
  </si>
  <si>
    <t xml:space="preserve">Hoffman Hall GSBA </t>
  </si>
  <si>
    <t xml:space="preserve">Olin Hall of Engineering </t>
  </si>
  <si>
    <t xml:space="preserve">David Marks Tower </t>
  </si>
  <si>
    <t xml:space="preserve">Hoffman Contracts Bldg </t>
  </si>
  <si>
    <t>University Club at King Stoops Hall</t>
  </si>
  <si>
    <t>One Institute (was Delta Tau Delta )</t>
  </si>
  <si>
    <t xml:space="preserve">Loker Hydrocarbon Institute </t>
  </si>
  <si>
    <t>Max Kade German Center 1</t>
  </si>
  <si>
    <t>Zemeckis Center for Digital Arts</t>
  </si>
  <si>
    <t xml:space="preserve">University Parking Center </t>
  </si>
  <si>
    <t>University Parking Center (3434 Hope St)</t>
  </si>
  <si>
    <t xml:space="preserve">Marcia Lucas Post Production </t>
  </si>
  <si>
    <t>John Williams Scoring  Stage</t>
  </si>
  <si>
    <t>CSS</t>
  </si>
  <si>
    <t>Carson Television Center</t>
  </si>
  <si>
    <t>CTV</t>
  </si>
  <si>
    <t>King Hall (Non-Aux)</t>
  </si>
  <si>
    <t xml:space="preserve">King Hall </t>
  </si>
  <si>
    <t xml:space="preserve">Cromwell Field/House </t>
  </si>
  <si>
    <t xml:space="preserve">Severance Street House </t>
  </si>
  <si>
    <t xml:space="preserve">Lyon University Center </t>
  </si>
  <si>
    <t xml:space="preserve">Kennedy Aquatics Building </t>
  </si>
  <si>
    <t xml:space="preserve">Kaprielian Hall </t>
  </si>
  <si>
    <t>Bookstore - (Non-Aux)</t>
  </si>
  <si>
    <t>Bookstore</t>
  </si>
  <si>
    <t>Ralph &amp; Goldy Lewis Hall</t>
  </si>
  <si>
    <t>RGL</t>
  </si>
  <si>
    <t>Jane Hoffman &amp; J. Kristoffer Popovich Hall</t>
  </si>
  <si>
    <t xml:space="preserve">Popovich Café </t>
  </si>
  <si>
    <t>Forthmann House (was 637)</t>
  </si>
  <si>
    <t>Cockins House (was 632)</t>
  </si>
  <si>
    <t>University Gardens Bldg (was 638)</t>
  </si>
  <si>
    <t>Loker Track Stadium</t>
  </si>
  <si>
    <t>Int'lly Themed Residential College</t>
  </si>
  <si>
    <t>Int'lly Themed Residential College - Dining</t>
  </si>
  <si>
    <t>IRC Café</t>
  </si>
  <si>
    <t>CAROL LITTLE BUILDING</t>
  </si>
  <si>
    <t>Social Work Center  (New FEB 04)</t>
  </si>
  <si>
    <t>RON TUTOR HALL RTH</t>
  </si>
  <si>
    <t>School of Cinematics Arts</t>
  </si>
  <si>
    <t>Technical Theatre Laboratory</t>
  </si>
  <si>
    <t>Tudor Campus Center</t>
  </si>
  <si>
    <t>SCA - BUILDING B</t>
  </si>
  <si>
    <t>SCA - BUILDING C</t>
  </si>
  <si>
    <t>SCA - BUILDING X</t>
  </si>
  <si>
    <t>SCA - BUILDING E</t>
  </si>
  <si>
    <t>CAMPUS DEVELOPMENT &amp; FACILITIES</t>
  </si>
  <si>
    <t>JOHN MCKAY CENTER</t>
  </si>
  <si>
    <t>Engemann Student Health Center</t>
  </si>
  <si>
    <t>WALLIS ANNENBERG HALL</t>
  </si>
  <si>
    <t>SCA - BUILDING I</t>
  </si>
  <si>
    <t>Temporary Research Facility (Dornsife)</t>
  </si>
  <si>
    <t>VERNA &amp; PETER DAUTERIVE HALL</t>
  </si>
  <si>
    <t>UYTENGSU AQUATICS CENTER</t>
  </si>
  <si>
    <t>JILL &amp; FRANK FERTITTA HALL</t>
  </si>
  <si>
    <t>The Kathleen L. Mccarthy Honors College</t>
  </si>
  <si>
    <t>MHC</t>
  </si>
  <si>
    <t>Jessie &amp; Charles Cale And Ray Irani Residential College</t>
  </si>
  <si>
    <t>CIC</t>
  </si>
  <si>
    <t>Priam Residential College (Temporay Building Name)</t>
  </si>
  <si>
    <t>MRC</t>
  </si>
  <si>
    <t>Shelly &amp; Ofer Nemirovsky And David C. Bohnett Residential College</t>
  </si>
  <si>
    <t>NBC</t>
  </si>
  <si>
    <t>A.C. Allen Cowlings And Illium Residential College</t>
  </si>
  <si>
    <t>CRC</t>
  </si>
  <si>
    <t>Michelson Center For Convergent Bioscience</t>
  </si>
  <si>
    <t>GLORYA KAUFMAN INTERNATIONAL DANCE CENTER</t>
  </si>
  <si>
    <t>Iovine &amp; Young Hall</t>
  </si>
  <si>
    <t>UPC WATER USAGE (HCF)</t>
  </si>
  <si>
    <t>Music Practice &amp; Instructional Center</t>
  </si>
  <si>
    <t>ABX</t>
  </si>
  <si>
    <t>Anna Bing Arnold Child Care Center</t>
  </si>
  <si>
    <t>Commons-Aux</t>
  </si>
  <si>
    <t>Academic Services</t>
  </si>
  <si>
    <t>Galen Center</t>
  </si>
  <si>
    <t>McClintock Bldg ( was UCC)</t>
  </si>
  <si>
    <r>
      <rPr>
        <sz val="11"/>
        <rFont val="Times New Roman"/>
        <family val="1"/>
      </rPr>
      <t>Facilities Management</t>
    </r>
    <r>
      <rPr>
        <sz val="11"/>
        <color indexed="12"/>
        <rFont val="Times New Roman"/>
        <family val="1"/>
      </rPr>
      <t xml:space="preserve"> </t>
    </r>
    <r>
      <rPr>
        <b/>
        <sz val="11"/>
        <color indexed="12"/>
        <rFont val="Times New Roman"/>
        <family val="1"/>
      </rPr>
      <t>(NOW #328)</t>
    </r>
  </si>
  <si>
    <t>Dedeaux Field</t>
  </si>
  <si>
    <t>Davidson Conference Center</t>
  </si>
  <si>
    <t>Town &amp; Gown Foyer (Non-Aux)</t>
  </si>
  <si>
    <t>Parkside Apartments I</t>
  </si>
  <si>
    <t>Parkside Residential Bldg (Parkside II)</t>
  </si>
  <si>
    <t>Hoffman Contracts Bldg-Graphic Srvcs</t>
  </si>
  <si>
    <t>EDL</t>
  </si>
  <si>
    <t>Honor House</t>
  </si>
  <si>
    <t>Parking Structure A-Not Charged</t>
  </si>
  <si>
    <t>Parking Structure B-Not Charged</t>
  </si>
  <si>
    <t>TMC</t>
  </si>
  <si>
    <t>The Music Complex (was LPB Marcia Lucas Production Bldg)</t>
  </si>
  <si>
    <t>CLN</t>
  </si>
  <si>
    <t>921 W 30TH ST.</t>
  </si>
  <si>
    <t>King Hall</t>
  </si>
  <si>
    <t>King Hall - Café 84</t>
  </si>
  <si>
    <t>Exposition Parking Structure</t>
  </si>
  <si>
    <t>R &amp; G Lewis Hall</t>
  </si>
  <si>
    <t>JH &amp; JK Popovich Hall</t>
  </si>
  <si>
    <t>Popovich Café (Manual Adjmst per EK)</t>
  </si>
  <si>
    <t>University Gardens Bldg (WAS 638)</t>
  </si>
  <si>
    <t>Loker Track Stadium (NOT UPLOADED)</t>
  </si>
  <si>
    <t>Parkside Apartments-IRC</t>
  </si>
  <si>
    <t>CAL URBAN MARKET</t>
  </si>
  <si>
    <t>Social Work Center  (NEW FEB 04)</t>
  </si>
  <si>
    <t>Galen Events Center (FY08 includes New Bldg Overhead)</t>
  </si>
  <si>
    <t>Ron Tutor Hall</t>
  </si>
  <si>
    <t>Technical Theater Laboratory</t>
  </si>
  <si>
    <t>SCA - BUILDING D</t>
  </si>
  <si>
    <t xml:space="preserve">SCA - BUILDING E </t>
  </si>
  <si>
    <t>Campus Developmnt &amp; Facilities</t>
  </si>
  <si>
    <t>Engemann Student Health</t>
  </si>
  <si>
    <t>Temp Research Fac-Dornsife</t>
  </si>
  <si>
    <t>Verna &amp; Peter Dauterive Hall (VPD)</t>
  </si>
  <si>
    <t>Uytengsu Aquatics Center (includes MAC</t>
  </si>
  <si>
    <t>The Kathleen McCarthy Honors College</t>
  </si>
  <si>
    <t>Jessie &amp; Charles Cale and Ray Irani Residential College</t>
  </si>
  <si>
    <t>Priam Residential College (Temp Name</t>
  </si>
  <si>
    <t>Shelly &amp; Ofer Nemirovsky and David C. Bohnett Residential College</t>
  </si>
  <si>
    <t>A.C. Allen Cowlings and Illium Residential College</t>
  </si>
  <si>
    <t>Michealson Cneter For Convergent Bioscience</t>
  </si>
  <si>
    <t>SPS</t>
  </si>
  <si>
    <t>Shrine Parking Structure.</t>
  </si>
  <si>
    <t>School of Cinematics Arts Station</t>
  </si>
  <si>
    <t>Iovine Young Hall</t>
  </si>
  <si>
    <t>Intramural Field</t>
  </si>
  <si>
    <t>McAlister Soccer Field</t>
  </si>
  <si>
    <t>University United Church</t>
  </si>
  <si>
    <t>Temporary Dining Facility</t>
  </si>
  <si>
    <t>3401 S Hope St</t>
  </si>
  <si>
    <t xml:space="preserve">1. There are values in red towards end of 2021 that are missing values. I would recommend using estimated usages based from previous years </t>
  </si>
  <si>
    <t>UPC Chilled Water (Ton-Hrs)</t>
  </si>
  <si>
    <t>Building Name</t>
  </si>
  <si>
    <t>BLDG Code</t>
  </si>
  <si>
    <t>Ahmanson Center for Biological Research</t>
  </si>
  <si>
    <t>Bovard Administration Building</t>
  </si>
  <si>
    <t>Allan Hancock Foundation</t>
  </si>
  <si>
    <t>Alumni House</t>
  </si>
  <si>
    <t>Wallis Annenberg Hall</t>
  </si>
  <si>
    <t>Annenberg School for Comm.</t>
  </si>
  <si>
    <t>BIEGLER HALL OF ENGINEERING</t>
  </si>
  <si>
    <t>Bing Theatre</t>
  </si>
  <si>
    <t>University Bookstore</t>
  </si>
  <si>
    <t>Booth Music Hall</t>
  </si>
  <si>
    <t>Bridge Memorial Hall</t>
  </si>
  <si>
    <t>Center for Electron Microscopy</t>
  </si>
  <si>
    <t>Doheny Memorial Library</t>
  </si>
  <si>
    <t>Electrical Engineering Building</t>
  </si>
  <si>
    <t>Gerontology</t>
  </si>
  <si>
    <t>G. F. Salvatori Hall of Records</t>
  </si>
  <si>
    <t>Harris Hall, Quinn Wing, Fisher Galllery</t>
  </si>
  <si>
    <t>Hedco Neurology</t>
  </si>
  <si>
    <t>Hoffman Hall</t>
  </si>
  <si>
    <t>International Residence College</t>
  </si>
  <si>
    <t>Int' Residence College Kitchen</t>
  </si>
  <si>
    <t>IRC-K</t>
  </si>
  <si>
    <t>Jill &amp; Frank Fertitta Hall</t>
  </si>
  <si>
    <t>John Hubbard Hall (SAS)</t>
  </si>
  <si>
    <t>Popovich Hall</t>
  </si>
  <si>
    <t>John Mckay Center</t>
  </si>
  <si>
    <t>Glorya Kaufman Intl. Dance Center</t>
  </si>
  <si>
    <t>Musick Law</t>
  </si>
  <si>
    <t>Loker Hydrocarbon</t>
  </si>
  <si>
    <t>Stabler Memorial Laboratories</t>
  </si>
  <si>
    <t>Marcia Lucas Post Production</t>
  </si>
  <si>
    <t>Music</t>
  </si>
  <si>
    <t>Moulton Organic Chemistry Wing</t>
  </si>
  <si>
    <t xml:space="preserve">Olin Hall </t>
  </si>
  <si>
    <t>Neely Petroleum &amp; Chem. Engr.</t>
  </si>
  <si>
    <t>Powell Hall of Information Sciences</t>
  </si>
  <si>
    <t>Parkside Resedential Building</t>
  </si>
  <si>
    <t>Lewis Hall</t>
  </si>
  <si>
    <t>Molecular Biology</t>
  </si>
  <si>
    <t>Tutor Engineering</t>
  </si>
  <si>
    <t>Salvatori Computer Science Center</t>
  </si>
  <si>
    <t>Cinematic Arts</t>
  </si>
  <si>
    <t>Cinematic Arts B</t>
  </si>
  <si>
    <t>Cinematic Arts C</t>
  </si>
  <si>
    <t>Cinematic Arts E</t>
  </si>
  <si>
    <t>Cinematic Arts I</t>
  </si>
  <si>
    <t>Cinematic Arts D</t>
  </si>
  <si>
    <t>John Stauffer Lecture Hall</t>
  </si>
  <si>
    <t>Seaver Science Center</t>
  </si>
  <si>
    <t>Student Union</t>
  </si>
  <si>
    <t>Tutor Campus Center</t>
  </si>
  <si>
    <t>Town and Gown</t>
  </si>
  <si>
    <t>Vivian Hall of Engineering</t>
  </si>
  <si>
    <t>Watt Hall of Architecture</t>
  </si>
  <si>
    <t>Science Hall</t>
  </si>
  <si>
    <t>Michelson Center for Convergent Bioscience</t>
  </si>
  <si>
    <t>Corwin D. Denney Research Center</t>
  </si>
  <si>
    <t>Montgomery Ross Fisher</t>
  </si>
  <si>
    <t>MTX</t>
  </si>
  <si>
    <t>Petroleum &amp; Chemical Engineering</t>
  </si>
  <si>
    <t>JWS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</si>
</sst>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000###0"/>
    <numFmt numFmtId="172" formatCode="#,##0.00;[Red]\(#,##0.00\)"/>
    <numFmt numFmtId="173" formatCode="0.0%"/>
    <numFmt numFmtId="174" formatCode="0#####0"/>
    <numFmt numFmtId="175" formatCode="_(&quot;$&quot;* #,##0_);_(&quot;$&quot;* \(#,##0\);_(&quot;$&quot;* &quot;-&quot;??_);_(@_)"/>
    <numFmt numFmtId="176" formatCode="[$$-C09]#,##0;[Red]\-[$$-C09]#,##0"/>
    <numFmt numFmtId="177" formatCode="&quot;SWO&quot;0#####"/>
    <numFmt numFmtId="178" formatCode="&quot;$&quot;#,##0.0000_);[Red]\(&quot;$&quot;#,##0.0000\)"/>
    <numFmt numFmtId="179" formatCode="000#"/>
    <numFmt numFmtId="180" formatCode="&quot;$&quot;#,##0.0000"/>
    <numFmt numFmtId="181" formatCode="[$-409]mmm\-yy;@"/>
    <numFmt numFmtId="182" formatCode="&quot;$&quot;#,##0.0_);[Red]\(&quot;$&quot;#,##0.0\)"/>
    <numFmt numFmtId="183" formatCode="&quot;$&quot;#,##0"/>
    <numFmt numFmtId="184" formatCode="0.000%"/>
    <numFmt numFmtId="185" formatCode="General_)"/>
    <numFmt numFmtId="186" formatCode="#,##0;[Red]\(#,##0\)"/>
    <numFmt numFmtId="187" formatCode="_(* #,##0_);_(* \(#,##0\);_(* &quot;-&quot;??_);_(@_)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MS Sans Serif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b/>
      <sz val="10"/>
      <name val="Times New Roman"/>
      <family val="1"/>
    </font>
    <font>
      <sz val="10.5"/>
      <name val="Arial"/>
      <family val="2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b/>
      <sz val="11"/>
      <color indexed="12"/>
      <name val="Times New Roman"/>
      <family val="1"/>
    </font>
    <font>
      <sz val="10"/>
      <name val="Times New Roman"/>
      <family val="1"/>
    </font>
    <font>
      <u val="singleAccounting"/>
      <sz val="11"/>
      <name val="Times New Roman"/>
      <family val="1"/>
    </font>
    <font>
      <b/>
      <u/>
      <sz val="11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b/>
      <u val="doubleAccounting"/>
      <sz val="12"/>
      <name val="Times New Roman"/>
      <family val="1"/>
    </font>
    <font>
      <b/>
      <sz val="11"/>
      <name val="Arial"/>
      <family val="2"/>
    </font>
    <font>
      <sz val="11"/>
      <color indexed="12"/>
      <name val="Times New Roman"/>
      <family val="1"/>
    </font>
    <font>
      <b/>
      <sz val="10.5"/>
      <name val="Arial"/>
      <family val="2"/>
    </font>
    <font>
      <b/>
      <u/>
      <sz val="10.5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name val="Times New Roman"/>
      <family val="1"/>
    </font>
    <font>
      <b/>
      <u val="doubleAccounting"/>
      <sz val="10"/>
      <name val="Times New Roman"/>
      <family val="1"/>
    </font>
    <font>
      <b/>
      <sz val="10"/>
      <color indexed="10"/>
      <name val="Times New Roman"/>
      <family val="1"/>
    </font>
    <font>
      <b/>
      <u val="singleAccounting"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Times New Roman"/>
      <family val="1"/>
    </font>
    <font>
      <b/>
      <i/>
      <u val="doubleAccounting"/>
      <sz val="11"/>
      <name val="Times New Roman"/>
      <family val="1"/>
    </font>
    <font>
      <sz val="8"/>
      <name val="Times New Roman"/>
      <family val="1"/>
    </font>
    <font>
      <sz val="8"/>
      <name val="Arial"/>
    </font>
    <font>
      <b/>
      <sz val="10"/>
      <color rgb="FFFF0000"/>
      <name val="Arial"/>
      <family val="2"/>
    </font>
    <font>
      <b/>
      <i/>
      <sz val="11"/>
      <color rgb="FF0000FF"/>
      <name val="Times New Roman"/>
      <family val="1"/>
    </font>
    <font>
      <b/>
      <sz val="18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name val="Times New Roman"/>
      <family val="1"/>
    </font>
    <font>
      <sz val="10"/>
      <color indexed="10"/>
      <name val="Times New Roman"/>
      <family val="1"/>
    </font>
    <font>
      <b/>
      <sz val="14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1" fillId="0" borderId="0"/>
    <xf numFmtId="40" fontId="3" fillId="0" borderId="0" applyFont="0" applyFill="0" applyBorder="0" applyAlignment="0" applyProtection="0"/>
    <xf numFmtId="170" fontId="11" fillId="0" borderId="0" applyFont="0" applyFill="0" applyBorder="0" applyAlignment="0" applyProtection="0"/>
  </cellStyleXfs>
  <cellXfs count="359">
    <xf numFmtId="0" fontId="0" fillId="0" borderId="0" xfId="0"/>
    <xf numFmtId="0" fontId="4" fillId="0" borderId="0" xfId="4" applyFont="1"/>
    <xf numFmtId="0" fontId="5" fillId="0" borderId="0" xfId="4" quotePrefix="1" applyFont="1" applyAlignment="1">
      <alignment horizontal="left"/>
    </xf>
    <xf numFmtId="171" fontId="4" fillId="0" borderId="0" xfId="4" applyNumberFormat="1" applyFont="1" applyAlignment="1">
      <alignment horizontal="center"/>
    </xf>
    <xf numFmtId="4" fontId="4" fillId="0" borderId="0" xfId="4" applyNumberFormat="1" applyFont="1"/>
    <xf numFmtId="4" fontId="6" fillId="0" borderId="0" xfId="4" applyNumberFormat="1" applyFont="1"/>
    <xf numFmtId="165" fontId="4" fillId="0" borderId="0" xfId="4" applyNumberFormat="1" applyFont="1"/>
    <xf numFmtId="0" fontId="7" fillId="0" borderId="0" xfId="4" applyFont="1" applyAlignment="1">
      <alignment horizontal="center"/>
    </xf>
    <xf numFmtId="171" fontId="8" fillId="0" borderId="0" xfId="4" applyNumberFormat="1" applyFont="1" applyAlignment="1">
      <alignment horizontal="center"/>
    </xf>
    <xf numFmtId="4" fontId="7" fillId="0" borderId="0" xfId="4" applyNumberFormat="1" applyFont="1"/>
    <xf numFmtId="4" fontId="7" fillId="0" borderId="0" xfId="4" applyNumberFormat="1" applyFont="1" applyAlignment="1">
      <alignment horizontal="center"/>
    </xf>
    <xf numFmtId="4" fontId="6" fillId="0" borderId="0" xfId="4" applyNumberFormat="1" applyFont="1" applyAlignment="1">
      <alignment horizontal="center"/>
    </xf>
    <xf numFmtId="4" fontId="4" fillId="0" borderId="0" xfId="4" applyNumberFormat="1" applyFont="1" applyAlignment="1">
      <alignment horizontal="center"/>
    </xf>
    <xf numFmtId="171" fontId="7" fillId="0" borderId="0" xfId="4" quotePrefix="1" applyNumberFormat="1" applyFont="1" applyAlignment="1">
      <alignment horizontal="center"/>
    </xf>
    <xf numFmtId="171" fontId="8" fillId="0" borderId="0" xfId="4" applyNumberFormat="1" applyFont="1"/>
    <xf numFmtId="4" fontId="7" fillId="0" borderId="0" xfId="4" quotePrefix="1" applyNumberFormat="1" applyFont="1" applyAlignment="1">
      <alignment horizontal="center"/>
    </xf>
    <xf numFmtId="4" fontId="7" fillId="0" borderId="1" xfId="4" applyNumberFormat="1" applyFont="1" applyBorder="1" applyAlignment="1">
      <alignment horizontal="center"/>
    </xf>
    <xf numFmtId="4" fontId="7" fillId="2" borderId="0" xfId="4" applyNumberFormat="1" applyFont="1" applyFill="1" applyAlignment="1">
      <alignment horizontal="center"/>
    </xf>
    <xf numFmtId="4" fontId="7" fillId="3" borderId="0" xfId="4" applyNumberFormat="1" applyFont="1" applyFill="1" applyAlignment="1">
      <alignment horizontal="center"/>
    </xf>
    <xf numFmtId="0" fontId="9" fillId="0" borderId="2" xfId="4" applyFont="1" applyBorder="1" applyAlignment="1">
      <alignment horizontal="center"/>
    </xf>
    <xf numFmtId="0" fontId="7" fillId="0" borderId="2" xfId="4" applyFont="1" applyBorder="1" applyAlignment="1">
      <alignment horizontal="center"/>
    </xf>
    <xf numFmtId="171" fontId="7" fillId="0" borderId="2" xfId="4" quotePrefix="1" applyNumberFormat="1" applyFont="1" applyBorder="1" applyAlignment="1">
      <alignment horizontal="center"/>
    </xf>
    <xf numFmtId="171" fontId="6" fillId="0" borderId="2" xfId="4" quotePrefix="1" applyNumberFormat="1" applyFont="1" applyBorder="1"/>
    <xf numFmtId="4" fontId="10" fillId="0" borderId="2" xfId="4" applyNumberFormat="1" applyFont="1" applyBorder="1" applyAlignment="1">
      <alignment horizontal="center"/>
    </xf>
    <xf numFmtId="4" fontId="7" fillId="0" borderId="3" xfId="4" applyNumberFormat="1" applyFont="1" applyBorder="1" applyAlignment="1">
      <alignment horizontal="center"/>
    </xf>
    <xf numFmtId="4" fontId="7" fillId="0" borderId="4" xfId="4" quotePrefix="1" applyNumberFormat="1" applyFont="1" applyBorder="1" applyAlignment="1">
      <alignment horizontal="center"/>
    </xf>
    <xf numFmtId="4" fontId="7" fillId="0" borderId="2" xfId="4" applyNumberFormat="1" applyFont="1" applyBorder="1" applyAlignment="1">
      <alignment horizontal="center"/>
    </xf>
    <xf numFmtId="4" fontId="7" fillId="2" borderId="2" xfId="4" applyNumberFormat="1" applyFont="1" applyFill="1" applyBorder="1" applyAlignment="1">
      <alignment horizontal="center"/>
    </xf>
    <xf numFmtId="4" fontId="7" fillId="3" borderId="2" xfId="4" applyNumberFormat="1" applyFont="1" applyFill="1" applyBorder="1" applyAlignment="1">
      <alignment horizontal="center"/>
    </xf>
    <xf numFmtId="4" fontId="7" fillId="2" borderId="2" xfId="4" quotePrefix="1" applyNumberFormat="1" applyFont="1" applyFill="1" applyBorder="1" applyAlignment="1">
      <alignment horizontal="center"/>
    </xf>
    <xf numFmtId="4" fontId="7" fillId="0" borderId="2" xfId="4" quotePrefix="1" applyNumberFormat="1" applyFont="1" applyBorder="1" applyAlignment="1">
      <alignment horizontal="center"/>
    </xf>
    <xf numFmtId="4" fontId="7" fillId="0" borderId="2" xfId="4" quotePrefix="1" applyNumberFormat="1" applyFont="1" applyBorder="1" applyAlignment="1">
      <alignment horizontal="left"/>
    </xf>
    <xf numFmtId="171" fontId="7" fillId="0" borderId="0" xfId="4" applyNumberFormat="1" applyFont="1" applyAlignment="1">
      <alignment horizontal="center"/>
    </xf>
    <xf numFmtId="0" fontId="11" fillId="0" borderId="0" xfId="4" applyFont="1"/>
    <xf numFmtId="4" fontId="7" fillId="0" borderId="5" xfId="4" applyNumberFormat="1" applyFont="1" applyBorder="1"/>
    <xf numFmtId="4" fontId="4" fillId="0" borderId="6" xfId="4" applyNumberFormat="1" applyFont="1" applyBorder="1"/>
    <xf numFmtId="4" fontId="4" fillId="2" borderId="0" xfId="4" applyNumberFormat="1" applyFont="1" applyFill="1"/>
    <xf numFmtId="4" fontId="4" fillId="3" borderId="0" xfId="4" applyNumberFormat="1" applyFont="1" applyFill="1"/>
    <xf numFmtId="1" fontId="11" fillId="0" borderId="0" xfId="0" applyNumberFormat="1" applyFont="1" applyAlignment="1">
      <alignment horizontal="center"/>
    </xf>
    <xf numFmtId="0" fontId="11" fillId="0" borderId="0" xfId="0" quotePrefix="1" applyFont="1" applyAlignment="1">
      <alignment horizontal="left"/>
    </xf>
    <xf numFmtId="0" fontId="4" fillId="0" borderId="0" xfId="4" applyFont="1" applyAlignment="1">
      <alignment horizontal="center"/>
    </xf>
    <xf numFmtId="168" fontId="4" fillId="0" borderId="0" xfId="4" applyNumberFormat="1" applyFont="1" applyAlignment="1">
      <alignment horizontal="center"/>
    </xf>
    <xf numFmtId="174" fontId="4" fillId="0" borderId="0" xfId="4" applyNumberFormat="1" applyFont="1" applyAlignment="1">
      <alignment horizontal="center"/>
    </xf>
    <xf numFmtId="165" fontId="7" fillId="0" borderId="0" xfId="4" applyNumberFormat="1" applyFont="1"/>
    <xf numFmtId="169" fontId="7" fillId="0" borderId="0" xfId="4" applyNumberFormat="1" applyFont="1"/>
    <xf numFmtId="165" fontId="4" fillId="0" borderId="0" xfId="2" applyNumberFormat="1" applyFont="1" applyFill="1" applyAlignment="1"/>
    <xf numFmtId="165" fontId="7" fillId="0" borderId="5" xfId="4" applyNumberFormat="1" applyFont="1" applyBorder="1"/>
    <xf numFmtId="165" fontId="7" fillId="0" borderId="6" xfId="4" applyNumberFormat="1" applyFont="1" applyBorder="1"/>
    <xf numFmtId="165" fontId="7" fillId="2" borderId="0" xfId="4" applyNumberFormat="1" applyFont="1" applyFill="1"/>
    <xf numFmtId="165" fontId="7" fillId="3" borderId="0" xfId="4" applyNumberFormat="1" applyFont="1" applyFill="1"/>
    <xf numFmtId="173" fontId="5" fillId="0" borderId="0" xfId="7" applyNumberFormat="1" applyFont="1" applyBorder="1"/>
    <xf numFmtId="173" fontId="5" fillId="2" borderId="0" xfId="7" applyNumberFormat="1" applyFont="1" applyFill="1" applyBorder="1"/>
    <xf numFmtId="173" fontId="5" fillId="0" borderId="0" xfId="7" applyNumberFormat="1" applyFont="1" applyFill="1" applyBorder="1"/>
    <xf numFmtId="173" fontId="7" fillId="0" borderId="0" xfId="7" applyNumberFormat="1" applyFont="1" applyFill="1"/>
    <xf numFmtId="10" fontId="4" fillId="0" borderId="0" xfId="7" quotePrefix="1" applyNumberFormat="1" applyFont="1" applyFill="1" applyAlignment="1">
      <alignment horizontal="left"/>
    </xf>
    <xf numFmtId="10" fontId="7" fillId="0" borderId="0" xfId="7" applyNumberFormat="1" applyFont="1" applyFill="1"/>
    <xf numFmtId="172" fontId="4" fillId="0" borderId="0" xfId="2" applyNumberFormat="1" applyFont="1" applyBorder="1"/>
    <xf numFmtId="172" fontId="4" fillId="0" borderId="7" xfId="2" applyNumberFormat="1" applyFont="1" applyBorder="1"/>
    <xf numFmtId="9" fontId="7" fillId="0" borderId="0" xfId="7" applyFont="1" applyBorder="1"/>
    <xf numFmtId="0" fontId="11" fillId="0" borderId="0" xfId="0" applyFont="1" applyAlignment="1">
      <alignment horizontal="center"/>
    </xf>
    <xf numFmtId="165" fontId="7" fillId="0" borderId="0" xfId="4" quotePrefix="1" applyNumberFormat="1" applyFont="1"/>
    <xf numFmtId="10" fontId="12" fillId="0" borderId="0" xfId="2" applyNumberFormat="1" applyFont="1" applyBorder="1"/>
    <xf numFmtId="1" fontId="11" fillId="0" borderId="0" xfId="0" quotePrefix="1" applyNumberFormat="1" applyFont="1" applyAlignment="1">
      <alignment horizontal="center"/>
    </xf>
    <xf numFmtId="0" fontId="4" fillId="0" borderId="0" xfId="4" quotePrefix="1" applyFont="1" applyAlignment="1">
      <alignment horizontal="left"/>
    </xf>
    <xf numFmtId="0" fontId="4" fillId="0" borderId="0" xfId="4" quotePrefix="1" applyFont="1" applyAlignment="1">
      <alignment horizontal="center"/>
    </xf>
    <xf numFmtId="10" fontId="4" fillId="0" borderId="0" xfId="7" applyNumberFormat="1" applyFont="1" applyFill="1"/>
    <xf numFmtId="172" fontId="4" fillId="0" borderId="0" xfId="2" applyNumberFormat="1" applyFont="1" applyFill="1" applyBorder="1"/>
    <xf numFmtId="172" fontId="4" fillId="0" borderId="0" xfId="4" applyNumberFormat="1" applyFont="1"/>
    <xf numFmtId="9" fontId="7" fillId="0" borderId="0" xfId="7" applyFont="1" applyFill="1" applyBorder="1"/>
    <xf numFmtId="172" fontId="4" fillId="0" borderId="0" xfId="4" quotePrefix="1" applyNumberFormat="1" applyFont="1" applyAlignment="1">
      <alignment horizontal="left"/>
    </xf>
    <xf numFmtId="0" fontId="4" fillId="4" borderId="0" xfId="4" applyFont="1" applyFill="1"/>
    <xf numFmtId="173" fontId="5" fillId="4" borderId="0" xfId="7" applyNumberFormat="1" applyFont="1" applyFill="1" applyBorder="1"/>
    <xf numFmtId="173" fontId="13" fillId="0" borderId="0" xfId="7" applyNumberFormat="1" applyFont="1" applyFill="1" applyBorder="1"/>
    <xf numFmtId="13" fontId="4" fillId="0" borderId="0" xfId="7" quotePrefix="1" applyNumberFormat="1" applyFont="1" applyFill="1" applyAlignment="1">
      <alignment horizontal="left" wrapText="1"/>
    </xf>
    <xf numFmtId="172" fontId="4" fillId="0" borderId="0" xfId="2" quotePrefix="1" applyNumberFormat="1" applyFont="1" applyBorder="1" applyAlignment="1">
      <alignment horizontal="left" wrapText="1"/>
    </xf>
    <xf numFmtId="173" fontId="13" fillId="0" borderId="0" xfId="7" applyNumberFormat="1" applyFont="1" applyFill="1"/>
    <xf numFmtId="0" fontId="11" fillId="0" borderId="0" xfId="4" applyFont="1" applyAlignment="1">
      <alignment horizontal="center"/>
    </xf>
    <xf numFmtId="172" fontId="4" fillId="0" borderId="7" xfId="2" quotePrefix="1" applyNumberFormat="1" applyFont="1" applyBorder="1" applyAlignment="1">
      <alignment horizontal="left" wrapText="1"/>
    </xf>
    <xf numFmtId="10" fontId="4" fillId="0" borderId="0" xfId="7" quotePrefix="1" applyNumberFormat="1" applyFont="1" applyAlignment="1">
      <alignment horizontal="left"/>
    </xf>
    <xf numFmtId="10" fontId="7" fillId="0" borderId="0" xfId="7" applyNumberFormat="1" applyFont="1" applyFill="1" applyAlignment="1">
      <alignment wrapText="1"/>
    </xf>
    <xf numFmtId="172" fontId="4" fillId="0" borderId="7" xfId="2" quotePrefix="1" applyNumberFormat="1" applyFont="1" applyBorder="1" applyAlignment="1">
      <alignment horizontal="left"/>
    </xf>
    <xf numFmtId="38" fontId="14" fillId="0" borderId="0" xfId="0" applyNumberFormat="1" applyFont="1" applyAlignment="1">
      <alignment horizontal="center"/>
    </xf>
    <xf numFmtId="10" fontId="4" fillId="0" borderId="0" xfId="7" applyNumberFormat="1" applyFont="1" applyFill="1" applyBorder="1"/>
    <xf numFmtId="10" fontId="7" fillId="0" borderId="0" xfId="7" applyNumberFormat="1" applyFont="1" applyFill="1" applyBorder="1"/>
    <xf numFmtId="172" fontId="4" fillId="0" borderId="0" xfId="2" applyNumberFormat="1" applyFont="1" applyFill="1" applyBorder="1" applyAlignment="1">
      <alignment horizontal="left" wrapText="1"/>
    </xf>
    <xf numFmtId="173" fontId="7" fillId="0" borderId="0" xfId="7" applyNumberFormat="1" applyFont="1" applyBorder="1"/>
    <xf numFmtId="173" fontId="17" fillId="0" borderId="0" xfId="2" applyNumberFormat="1" applyFont="1" applyBorder="1"/>
    <xf numFmtId="172" fontId="4" fillId="0" borderId="0" xfId="2" quotePrefix="1" applyNumberFormat="1" applyFont="1" applyBorder="1" applyAlignment="1">
      <alignment horizontal="left"/>
    </xf>
    <xf numFmtId="10" fontId="13" fillId="0" borderId="0" xfId="7" quotePrefix="1" applyNumberFormat="1" applyFont="1" applyFill="1" applyBorder="1" applyAlignment="1">
      <alignment horizontal="left"/>
    </xf>
    <xf numFmtId="10" fontId="4" fillId="0" borderId="0" xfId="7" quotePrefix="1" applyNumberFormat="1" applyFont="1" applyFill="1" applyAlignment="1">
      <alignment horizontal="left" wrapText="1"/>
    </xf>
    <xf numFmtId="166" fontId="4" fillId="0" borderId="0" xfId="4" applyNumberFormat="1" applyFont="1"/>
    <xf numFmtId="38" fontId="14" fillId="4" borderId="0" xfId="0" applyNumberFormat="1" applyFont="1" applyFill="1" applyAlignment="1">
      <alignment horizontal="center"/>
    </xf>
    <xf numFmtId="173" fontId="7" fillId="4" borderId="0" xfId="7" applyNumberFormat="1" applyFont="1" applyFill="1"/>
    <xf numFmtId="10" fontId="4" fillId="4" borderId="0" xfId="7" applyNumberFormat="1" applyFont="1" applyFill="1"/>
    <xf numFmtId="10" fontId="7" fillId="4" borderId="0" xfId="7" applyNumberFormat="1" applyFont="1" applyFill="1"/>
    <xf numFmtId="172" fontId="4" fillId="4" borderId="0" xfId="2" applyNumberFormat="1" applyFont="1" applyFill="1" applyBorder="1"/>
    <xf numFmtId="172" fontId="4" fillId="4" borderId="7" xfId="2" quotePrefix="1" applyNumberFormat="1" applyFont="1" applyFill="1" applyBorder="1" applyAlignment="1">
      <alignment horizontal="left"/>
    </xf>
    <xf numFmtId="9" fontId="7" fillId="4" borderId="0" xfId="7" applyFont="1" applyFill="1" applyBorder="1"/>
    <xf numFmtId="4" fontId="4" fillId="4" borderId="0" xfId="4" applyNumberFormat="1" applyFont="1" applyFill="1"/>
    <xf numFmtId="172" fontId="4" fillId="0" borderId="7" xfId="2" applyNumberFormat="1" applyFont="1" applyBorder="1" applyAlignment="1">
      <alignment horizontal="left"/>
    </xf>
    <xf numFmtId="0" fontId="11" fillId="0" borderId="0" xfId="0" applyFont="1"/>
    <xf numFmtId="38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0" fontId="18" fillId="0" borderId="0" xfId="0" quotePrefix="1" applyFont="1" applyAlignment="1">
      <alignment horizontal="center" vertical="center"/>
    </xf>
    <xf numFmtId="0" fontId="18" fillId="0" borderId="0" xfId="0" applyFont="1" applyAlignment="1">
      <alignment vertical="center"/>
    </xf>
    <xf numFmtId="173" fontId="13" fillId="0" borderId="0" xfId="7" applyNumberFormat="1" applyFont="1" applyFill="1" applyBorder="1" applyAlignment="1">
      <alignment wrapText="1"/>
    </xf>
    <xf numFmtId="172" fontId="4" fillId="0" borderId="7" xfId="2" applyNumberFormat="1" applyFont="1" applyFill="1" applyBorder="1"/>
    <xf numFmtId="0" fontId="4" fillId="0" borderId="0" xfId="5" quotePrefix="1" applyFont="1" applyAlignment="1">
      <alignment horizontal="left"/>
    </xf>
    <xf numFmtId="165" fontId="19" fillId="0" borderId="0" xfId="4" applyNumberFormat="1" applyFont="1"/>
    <xf numFmtId="10" fontId="20" fillId="0" borderId="0" xfId="7" quotePrefix="1" applyNumberFormat="1" applyFont="1" applyFill="1" applyAlignment="1">
      <alignment horizontal="left"/>
    </xf>
    <xf numFmtId="0" fontId="4" fillId="0" borderId="0" xfId="4" quotePrefix="1" applyFont="1"/>
    <xf numFmtId="0" fontId="15" fillId="0" borderId="0" xfId="0" applyFont="1"/>
    <xf numFmtId="0" fontId="15" fillId="0" borderId="0" xfId="0" applyFont="1" applyAlignment="1">
      <alignment vertical="center"/>
    </xf>
    <xf numFmtId="175" fontId="4" fillId="0" borderId="0" xfId="2" applyNumberFormat="1" applyFont="1" applyFill="1" applyAlignment="1"/>
    <xf numFmtId="172" fontId="4" fillId="0" borderId="7" xfId="2" applyNumberFormat="1" applyFont="1" applyBorder="1" applyAlignment="1">
      <alignment horizontal="left" wrapText="1"/>
    </xf>
    <xf numFmtId="0" fontId="11" fillId="0" borderId="0" xfId="0" quotePrefix="1" applyFont="1" applyAlignment="1">
      <alignment horizontal="center"/>
    </xf>
    <xf numFmtId="177" fontId="1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4" fillId="0" borderId="0" xfId="2" applyNumberFormat="1" applyFont="1" applyBorder="1"/>
    <xf numFmtId="165" fontId="4" fillId="0" borderId="0" xfId="2" applyNumberFormat="1" applyFont="1" applyBorder="1" applyAlignment="1"/>
    <xf numFmtId="165" fontId="7" fillId="0" borderId="0" xfId="2" applyNumberFormat="1" applyFont="1" applyBorder="1" applyAlignment="1"/>
    <xf numFmtId="173" fontId="7" fillId="0" borderId="0" xfId="4" applyNumberFormat="1" applyFont="1"/>
    <xf numFmtId="10" fontId="4" fillId="0" borderId="0" xfId="4" applyNumberFormat="1" applyFont="1"/>
    <xf numFmtId="10" fontId="7" fillId="0" borderId="0" xfId="4" applyNumberFormat="1" applyFont="1"/>
    <xf numFmtId="0" fontId="16" fillId="0" borderId="0" xfId="0" applyFont="1"/>
    <xf numFmtId="0" fontId="18" fillId="0" borderId="0" xfId="0" applyFont="1"/>
    <xf numFmtId="0" fontId="15" fillId="0" borderId="0" xfId="0" applyFont="1" applyAlignment="1">
      <alignment horizontal="center" vertical="center"/>
    </xf>
    <xf numFmtId="173" fontId="17" fillId="0" borderId="0" xfId="7" quotePrefix="1" applyNumberFormat="1" applyFont="1" applyFill="1" applyAlignment="1">
      <alignment horizontal="left"/>
    </xf>
    <xf numFmtId="172" fontId="4" fillId="0" borderId="7" xfId="2" applyNumberFormat="1" applyFont="1" applyFill="1" applyBorder="1" applyAlignment="1">
      <alignment horizontal="left" wrapText="1"/>
    </xf>
    <xf numFmtId="172" fontId="4" fillId="0" borderId="0" xfId="2" applyNumberFormat="1" applyFont="1" applyBorder="1" applyAlignment="1">
      <alignment horizontal="left" wrapText="1"/>
    </xf>
    <xf numFmtId="0" fontId="0" fillId="0" borderId="0" xfId="0" quotePrefix="1" applyAlignment="1">
      <alignment horizontal="center"/>
    </xf>
    <xf numFmtId="0" fontId="4" fillId="0" borderId="0" xfId="0" applyFont="1"/>
    <xf numFmtId="0" fontId="4" fillId="0" borderId="0" xfId="6" applyFont="1" applyAlignment="1">
      <alignment horizontal="center"/>
    </xf>
    <xf numFmtId="10" fontId="4" fillId="0" borderId="0" xfId="2" applyNumberFormat="1" applyFont="1" applyBorder="1"/>
    <xf numFmtId="0" fontId="4" fillId="0" borderId="0" xfId="0" applyFont="1" applyAlignment="1">
      <alignment horizontal="left"/>
    </xf>
    <xf numFmtId="165" fontId="7" fillId="0" borderId="0" xfId="4" quotePrefix="1" applyNumberFormat="1" applyFont="1" applyAlignment="1">
      <alignment horizontal="center"/>
    </xf>
    <xf numFmtId="4" fontId="7" fillId="0" borderId="0" xfId="4" quotePrefix="1" applyNumberFormat="1" applyFont="1" applyAlignment="1">
      <alignment horizontal="left"/>
    </xf>
    <xf numFmtId="179" fontId="11" fillId="0" borderId="0" xfId="0" quotePrefix="1" applyNumberFormat="1" applyFont="1" applyAlignment="1">
      <alignment horizontal="center"/>
    </xf>
    <xf numFmtId="0" fontId="4" fillId="0" borderId="0" xfId="6" quotePrefix="1" applyFont="1" applyAlignment="1">
      <alignment horizontal="center"/>
    </xf>
    <xf numFmtId="0" fontId="15" fillId="0" borderId="0" xfId="0" quotePrefix="1" applyFont="1" applyAlignment="1">
      <alignment horizontal="left"/>
    </xf>
    <xf numFmtId="0" fontId="15" fillId="0" borderId="0" xfId="0" applyFont="1" applyAlignment="1">
      <alignment horizontal="left"/>
    </xf>
    <xf numFmtId="165" fontId="7" fillId="0" borderId="0" xfId="4" applyNumberFormat="1" applyFont="1" applyAlignment="1">
      <alignment horizontal="center"/>
    </xf>
    <xf numFmtId="0" fontId="4" fillId="0" borderId="0" xfId="6" applyFont="1" applyAlignment="1">
      <alignment horizontal="left"/>
    </xf>
    <xf numFmtId="0" fontId="4" fillId="0" borderId="0" xfId="6" applyFont="1"/>
    <xf numFmtId="0" fontId="16" fillId="0" borderId="0" xfId="0" applyFont="1" applyAlignment="1">
      <alignment vertical="center"/>
    </xf>
    <xf numFmtId="168" fontId="22" fillId="0" borderId="0" xfId="4" applyNumberFormat="1" applyFont="1"/>
    <xf numFmtId="168" fontId="21" fillId="0" borderId="0" xfId="4" applyNumberFormat="1" applyFont="1" applyAlignment="1">
      <alignment horizontal="center"/>
    </xf>
    <xf numFmtId="168" fontId="23" fillId="0" borderId="5" xfId="4" applyNumberFormat="1" applyFont="1" applyBorder="1" applyAlignment="1">
      <alignment horizontal="center"/>
    </xf>
    <xf numFmtId="168" fontId="21" fillId="0" borderId="6" xfId="4" applyNumberFormat="1" applyFont="1" applyBorder="1" applyAlignment="1">
      <alignment horizontal="center"/>
    </xf>
    <xf numFmtId="168" fontId="21" fillId="2" borderId="0" xfId="4" applyNumberFormat="1" applyFont="1" applyFill="1" applyAlignment="1">
      <alignment horizontal="center"/>
    </xf>
    <xf numFmtId="168" fontId="21" fillId="3" borderId="0" xfId="4" applyNumberFormat="1" applyFont="1" applyFill="1" applyAlignment="1">
      <alignment horizontal="center"/>
    </xf>
    <xf numFmtId="0" fontId="7" fillId="0" borderId="0" xfId="4" applyFont="1"/>
    <xf numFmtId="165" fontId="7" fillId="0" borderId="8" xfId="4" applyNumberFormat="1" applyFont="1" applyBorder="1"/>
    <xf numFmtId="165" fontId="24" fillId="0" borderId="0" xfId="4" applyNumberFormat="1" applyFont="1"/>
    <xf numFmtId="165" fontId="24" fillId="0" borderId="0" xfId="2" applyNumberFormat="1" applyFont="1" applyBorder="1" applyAlignment="1"/>
    <xf numFmtId="165" fontId="24" fillId="0" borderId="3" xfId="2" applyNumberFormat="1" applyFont="1" applyBorder="1" applyAlignment="1"/>
    <xf numFmtId="165" fontId="24" fillId="0" borderId="4" xfId="4" applyNumberFormat="1" applyFont="1" applyBorder="1"/>
    <xf numFmtId="165" fontId="24" fillId="2" borderId="0" xfId="4" applyNumberFormat="1" applyFont="1" applyFill="1"/>
    <xf numFmtId="173" fontId="24" fillId="0" borderId="0" xfId="7" applyNumberFormat="1" applyFont="1" applyBorder="1"/>
    <xf numFmtId="173" fontId="25" fillId="2" borderId="0" xfId="7" applyNumberFormat="1" applyFont="1" applyFill="1" applyBorder="1"/>
    <xf numFmtId="173" fontId="25" fillId="0" borderId="0" xfId="7" applyNumberFormat="1" applyFont="1" applyFill="1" applyBorder="1"/>
    <xf numFmtId="173" fontId="25" fillId="0" borderId="0" xfId="7" applyNumberFormat="1" applyFont="1" applyBorder="1"/>
    <xf numFmtId="10" fontId="4" fillId="0" borderId="0" xfId="7" applyNumberFormat="1" applyFont="1" applyBorder="1"/>
    <xf numFmtId="10" fontId="7" fillId="0" borderId="0" xfId="7" applyNumberFormat="1" applyFont="1" applyBorder="1"/>
    <xf numFmtId="166" fontId="24" fillId="0" borderId="0" xfId="2" applyNumberFormat="1" applyFont="1" applyBorder="1" applyAlignment="1"/>
    <xf numFmtId="168" fontId="24" fillId="0" borderId="0" xfId="2" applyNumberFormat="1" applyFont="1" applyBorder="1" applyAlignment="1"/>
    <xf numFmtId="165" fontId="7" fillId="0" borderId="0" xfId="2" applyNumberFormat="1" applyFont="1" applyBorder="1"/>
    <xf numFmtId="165" fontId="7" fillId="0" borderId="0" xfId="2" applyNumberFormat="1" applyFont="1" applyBorder="1" applyAlignment="1">
      <alignment horizontal="center"/>
    </xf>
    <xf numFmtId="165" fontId="7" fillId="0" borderId="0" xfId="7" applyNumberFormat="1" applyFont="1" applyBorder="1"/>
    <xf numFmtId="0" fontId="7" fillId="0" borderId="0" xfId="4" quotePrefix="1" applyFont="1" applyAlignment="1">
      <alignment horizontal="right"/>
    </xf>
    <xf numFmtId="0" fontId="7" fillId="0" borderId="0" xfId="4" applyFont="1" applyAlignment="1">
      <alignment horizontal="right"/>
    </xf>
    <xf numFmtId="165" fontId="22" fillId="0" borderId="0" xfId="4" applyNumberFormat="1" applyFont="1"/>
    <xf numFmtId="164" fontId="7" fillId="0" borderId="0" xfId="2" applyNumberFormat="1" applyFont="1" applyBorder="1"/>
    <xf numFmtId="165" fontId="7" fillId="0" borderId="0" xfId="0" applyNumberFormat="1" applyFont="1"/>
    <xf numFmtId="175" fontId="7" fillId="0" borderId="0" xfId="3" applyNumberFormat="1" applyFont="1" applyFill="1"/>
    <xf numFmtId="175" fontId="7" fillId="0" borderId="0" xfId="3" applyNumberFormat="1" applyFont="1"/>
    <xf numFmtId="165" fontId="5" fillId="0" borderId="0" xfId="0" applyNumberFormat="1" applyFont="1"/>
    <xf numFmtId="165" fontId="5" fillId="0" borderId="0" xfId="2" applyNumberFormat="1" applyFont="1" applyBorder="1"/>
    <xf numFmtId="165" fontId="4" fillId="0" borderId="0" xfId="4" applyNumberFormat="1" applyFont="1" applyAlignment="1">
      <alignment horizontal="center"/>
    </xf>
    <xf numFmtId="165" fontId="7" fillId="0" borderId="0" xfId="2" applyNumberFormat="1" applyFont="1"/>
    <xf numFmtId="173" fontId="7" fillId="0" borderId="0" xfId="7" applyNumberFormat="1" applyFont="1"/>
    <xf numFmtId="165" fontId="7" fillId="0" borderId="0" xfId="1" applyNumberFormat="1" applyFont="1"/>
    <xf numFmtId="165" fontId="26" fillId="0" borderId="0" xfId="0" applyNumberFormat="1" applyFont="1"/>
    <xf numFmtId="0" fontId="19" fillId="0" borderId="0" xfId="4" quotePrefix="1" applyFont="1" applyAlignment="1">
      <alignment horizontal="left"/>
    </xf>
    <xf numFmtId="0" fontId="27" fillId="0" borderId="0" xfId="4" quotePrefix="1" applyFont="1" applyAlignment="1">
      <alignment horizontal="left"/>
    </xf>
    <xf numFmtId="38" fontId="7" fillId="0" borderId="0" xfId="2" applyNumberFormat="1" applyFont="1"/>
    <xf numFmtId="9" fontId="4" fillId="0" borderId="0" xfId="7" applyFont="1"/>
    <xf numFmtId="0" fontId="7" fillId="0" borderId="0" xfId="4" quotePrefix="1" applyFont="1" applyAlignment="1">
      <alignment horizontal="left"/>
    </xf>
    <xf numFmtId="165" fontId="7" fillId="0" borderId="0" xfId="2" applyNumberFormat="1" applyFont="1" applyFill="1"/>
    <xf numFmtId="171" fontId="9" fillId="0" borderId="9" xfId="4" applyNumberFormat="1" applyFont="1" applyBorder="1" applyAlignment="1">
      <alignment horizontal="center"/>
    </xf>
    <xf numFmtId="165" fontId="7" fillId="0" borderId="0" xfId="4" applyNumberFormat="1" applyFont="1" applyAlignment="1">
      <alignment horizontal="right"/>
    </xf>
    <xf numFmtId="10" fontId="7" fillId="0" borderId="0" xfId="7" applyNumberFormat="1" applyFont="1"/>
    <xf numFmtId="178" fontId="7" fillId="0" borderId="0" xfId="7" applyNumberFormat="1" applyFont="1"/>
    <xf numFmtId="180" fontId="7" fillId="0" borderId="0" xfId="7" applyNumberFormat="1" applyFont="1"/>
    <xf numFmtId="171" fontId="28" fillId="0" borderId="10" xfId="4" applyNumberFormat="1" applyFont="1" applyBorder="1" applyAlignment="1">
      <alignment horizontal="center"/>
    </xf>
    <xf numFmtId="165" fontId="28" fillId="0" borderId="11" xfId="4" applyNumberFormat="1" applyFont="1" applyBorder="1"/>
    <xf numFmtId="180" fontId="7" fillId="0" borderId="0" xfId="2" applyNumberFormat="1" applyFont="1" applyFill="1"/>
    <xf numFmtId="165" fontId="29" fillId="0" borderId="11" xfId="4" applyNumberFormat="1" applyFont="1" applyBorder="1"/>
    <xf numFmtId="178" fontId="7" fillId="0" borderId="0" xfId="2" applyNumberFormat="1" applyFont="1" applyFill="1"/>
    <xf numFmtId="9" fontId="7" fillId="0" borderId="0" xfId="7" applyFont="1"/>
    <xf numFmtId="165" fontId="28" fillId="0" borderId="10" xfId="4" applyNumberFormat="1" applyFont="1" applyBorder="1"/>
    <xf numFmtId="175" fontId="7" fillId="0" borderId="0" xfId="2" applyNumberFormat="1" applyFont="1"/>
    <xf numFmtId="176" fontId="4" fillId="0" borderId="0" xfId="4" applyNumberFormat="1" applyFont="1"/>
    <xf numFmtId="0" fontId="9" fillId="0" borderId="0" xfId="4" applyFont="1" applyAlignment="1">
      <alignment horizontal="center"/>
    </xf>
    <xf numFmtId="38" fontId="4" fillId="0" borderId="0" xfId="2" applyNumberFormat="1" applyFont="1"/>
    <xf numFmtId="0" fontId="4" fillId="0" borderId="0" xfId="0" applyFont="1" applyAlignment="1">
      <alignment horizontal="center"/>
    </xf>
    <xf numFmtId="38" fontId="4" fillId="0" borderId="0" xfId="2" applyNumberFormat="1" applyFont="1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38" fontId="24" fillId="0" borderId="0" xfId="2" applyNumberFormat="1" applyFont="1" applyBorder="1"/>
    <xf numFmtId="173" fontId="35" fillId="0" borderId="0" xfId="7" applyNumberFormat="1" applyFont="1" applyFill="1" applyBorder="1"/>
    <xf numFmtId="0" fontId="9" fillId="0" borderId="0" xfId="4" applyFont="1"/>
    <xf numFmtId="0" fontId="0" fillId="0" borderId="0" xfId="0" applyProtection="1">
      <protection locked="0"/>
    </xf>
    <xf numFmtId="0" fontId="0" fillId="0" borderId="0" xfId="0" quotePrefix="1" applyAlignment="1">
      <alignment horizontal="left"/>
    </xf>
    <xf numFmtId="0" fontId="4" fillId="0" borderId="0" xfId="4" quotePrefix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15" fillId="0" borderId="0" xfId="0" quotePrefix="1" applyFont="1" applyAlignment="1">
      <alignment horizontal="center" vertical="center"/>
    </xf>
    <xf numFmtId="0" fontId="15" fillId="0" borderId="0" xfId="4" quotePrefix="1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center"/>
    </xf>
    <xf numFmtId="183" fontId="7" fillId="0" borderId="0" xfId="4" applyNumberFormat="1" applyFont="1"/>
    <xf numFmtId="0" fontId="11" fillId="0" borderId="0" xfId="0" applyFont="1" applyAlignment="1">
      <alignment horizontal="left"/>
    </xf>
    <xf numFmtId="166" fontId="7" fillId="0" borderId="0" xfId="4" applyNumberFormat="1" applyFont="1"/>
    <xf numFmtId="10" fontId="7" fillId="0" borderId="0" xfId="7" applyNumberFormat="1" applyFont="1" applyFill="1" applyAlignment="1"/>
    <xf numFmtId="173" fontId="36" fillId="0" borderId="0" xfId="7" applyNumberFormat="1" applyFont="1" applyFill="1" applyBorder="1"/>
    <xf numFmtId="4" fontId="13" fillId="0" borderId="0" xfId="4" applyNumberFormat="1" applyFont="1"/>
    <xf numFmtId="168" fontId="37" fillId="0" borderId="0" xfId="4" applyNumberFormat="1" applyFont="1" applyAlignment="1">
      <alignment horizontal="center"/>
    </xf>
    <xf numFmtId="173" fontId="35" fillId="0" borderId="0" xfId="7" applyNumberFormat="1" applyFont="1" applyBorder="1"/>
    <xf numFmtId="10" fontId="13" fillId="0" borderId="0" xfId="7" applyNumberFormat="1" applyFont="1" applyBorder="1"/>
    <xf numFmtId="0" fontId="18" fillId="0" borderId="0" xfId="0" applyFont="1" applyAlignment="1">
      <alignment horizontal="center" vertical="center"/>
    </xf>
    <xf numFmtId="182" fontId="4" fillId="0" borderId="0" xfId="2" applyNumberFormat="1" applyFont="1" applyFill="1" applyAlignment="1"/>
    <xf numFmtId="165" fontId="7" fillId="0" borderId="11" xfId="4" applyNumberFormat="1" applyFont="1" applyBorder="1"/>
    <xf numFmtId="169" fontId="24" fillId="0" borderId="0" xfId="2" applyNumberFormat="1" applyFont="1" applyBorder="1" applyAlignment="1"/>
    <xf numFmtId="171" fontId="9" fillId="0" borderId="0" xfId="4" applyNumberFormat="1" applyFont="1" applyAlignment="1">
      <alignment horizontal="center"/>
    </xf>
    <xf numFmtId="165" fontId="7" fillId="0" borderId="9" xfId="4" applyNumberFormat="1" applyFont="1" applyBorder="1"/>
    <xf numFmtId="165" fontId="22" fillId="0" borderId="11" xfId="4" applyNumberFormat="1" applyFont="1" applyBorder="1"/>
    <xf numFmtId="165" fontId="7" fillId="0" borderId="10" xfId="4" applyNumberFormat="1" applyFont="1" applyBorder="1"/>
    <xf numFmtId="167" fontId="7" fillId="0" borderId="0" xfId="2" applyNumberFormat="1" applyFont="1" applyBorder="1" applyAlignment="1"/>
    <xf numFmtId="0" fontId="4" fillId="0" borderId="0" xfId="0" quotePrefix="1" applyFont="1" applyAlignment="1">
      <alignment horizontal="left" wrapText="1"/>
    </xf>
    <xf numFmtId="0" fontId="20" fillId="0" borderId="0" xfId="4" applyFont="1"/>
    <xf numFmtId="174" fontId="20" fillId="0" borderId="0" xfId="4" applyNumberFormat="1" applyFont="1"/>
    <xf numFmtId="174" fontId="4" fillId="0" borderId="0" xfId="4" applyNumberFormat="1" applyFont="1"/>
    <xf numFmtId="165" fontId="7" fillId="5" borderId="0" xfId="4" applyNumberFormat="1" applyFont="1" applyFill="1"/>
    <xf numFmtId="0" fontId="44" fillId="0" borderId="0" xfId="0" applyFont="1"/>
    <xf numFmtId="171" fontId="4" fillId="0" borderId="0" xfId="4" applyNumberFormat="1" applyFont="1"/>
    <xf numFmtId="180" fontId="4" fillId="0" borderId="0" xfId="4" applyNumberFormat="1" applyFont="1" applyAlignment="1">
      <alignment horizontal="center"/>
    </xf>
    <xf numFmtId="180" fontId="4" fillId="0" borderId="0" xfId="4" applyNumberFormat="1" applyFont="1"/>
    <xf numFmtId="183" fontId="4" fillId="0" borderId="0" xfId="4" applyNumberFormat="1" applyFont="1" applyAlignment="1">
      <alignment horizontal="center"/>
    </xf>
    <xf numFmtId="183" fontId="4" fillId="0" borderId="0" xfId="4" applyNumberFormat="1" applyFont="1"/>
    <xf numFmtId="4" fontId="10" fillId="0" borderId="0" xfId="4" quotePrefix="1" applyNumberFormat="1" applyFont="1" applyAlignment="1">
      <alignment horizontal="center"/>
    </xf>
    <xf numFmtId="183" fontId="7" fillId="0" borderId="0" xfId="2" applyNumberFormat="1" applyFont="1" applyBorder="1" applyAlignment="1"/>
    <xf numFmtId="4" fontId="7" fillId="0" borderId="0" xfId="4" applyNumberFormat="1" applyFont="1" applyAlignment="1">
      <alignment horizontal="right"/>
    </xf>
    <xf numFmtId="165" fontId="40" fillId="0" borderId="0" xfId="2" applyNumberFormat="1" applyFont="1" applyFill="1" applyAlignment="1"/>
    <xf numFmtId="165" fontId="41" fillId="0" borderId="0" xfId="2" applyNumberFormat="1" applyFont="1" applyBorder="1" applyAlignment="1"/>
    <xf numFmtId="4" fontId="6" fillId="0" borderId="2" xfId="4" applyNumberFormat="1" applyFont="1" applyBorder="1" applyAlignment="1">
      <alignment horizontal="center"/>
    </xf>
    <xf numFmtId="165" fontId="7" fillId="6" borderId="0" xfId="4" applyNumberFormat="1" applyFont="1" applyFill="1"/>
    <xf numFmtId="168" fontId="7" fillId="0" borderId="0" xfId="2" applyNumberFormat="1" applyFont="1" applyBorder="1" applyAlignment="1"/>
    <xf numFmtId="38" fontId="4" fillId="0" borderId="0" xfId="0" quotePrefix="1" applyNumberFormat="1" applyFont="1" applyAlignment="1">
      <alignment horizontal="center"/>
    </xf>
    <xf numFmtId="0" fontId="4" fillId="7" borderId="0" xfId="4" applyFont="1" applyFill="1" applyAlignment="1">
      <alignment horizontal="center"/>
    </xf>
    <xf numFmtId="168" fontId="7" fillId="0" borderId="0" xfId="4" applyNumberFormat="1" applyFont="1"/>
    <xf numFmtId="171" fontId="42" fillId="0" borderId="0" xfId="4" applyNumberFormat="1" applyFont="1" applyAlignment="1">
      <alignment horizontal="left"/>
    </xf>
    <xf numFmtId="171" fontId="28" fillId="0" borderId="0" xfId="4" applyNumberFormat="1" applyFont="1" applyAlignment="1">
      <alignment horizontal="center"/>
    </xf>
    <xf numFmtId="169" fontId="34" fillId="0" borderId="0" xfId="4" applyNumberFormat="1" applyFont="1"/>
    <xf numFmtId="169" fontId="7" fillId="0" borderId="0" xfId="7" applyNumberFormat="1" applyFont="1" applyFill="1" applyBorder="1"/>
    <xf numFmtId="178" fontId="7" fillId="0" borderId="0" xfId="7" applyNumberFormat="1" applyFont="1" applyFill="1" applyBorder="1"/>
    <xf numFmtId="0" fontId="7" fillId="0" borderId="12" xfId="4" applyFont="1" applyBorder="1" applyAlignment="1">
      <alignment horizontal="center"/>
    </xf>
    <xf numFmtId="184" fontId="4" fillId="0" borderId="0" xfId="2" applyNumberFormat="1" applyFont="1" applyFill="1" applyAlignment="1"/>
    <xf numFmtId="181" fontId="45" fillId="0" borderId="2" xfId="4" applyNumberFormat="1" applyFont="1" applyBorder="1" applyAlignment="1">
      <alignment horizontal="right"/>
    </xf>
    <xf numFmtId="38" fontId="24" fillId="0" borderId="0" xfId="2" applyNumberFormat="1" applyFont="1" applyFill="1" applyBorder="1"/>
    <xf numFmtId="38" fontId="4" fillId="8" borderId="0" xfId="2" applyNumberFormat="1" applyFont="1" applyFill="1"/>
    <xf numFmtId="0" fontId="46" fillId="0" borderId="0" xfId="4" quotePrefix="1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13" fillId="0" borderId="0" xfId="0" applyFont="1"/>
    <xf numFmtId="38" fontId="9" fillId="0" borderId="0" xfId="0" applyNumberFormat="1" applyFont="1"/>
    <xf numFmtId="38" fontId="7" fillId="0" borderId="0" xfId="0" applyNumberFormat="1" applyFont="1"/>
    <xf numFmtId="0" fontId="7" fillId="0" borderId="0" xfId="0" applyFont="1"/>
    <xf numFmtId="185" fontId="4" fillId="0" borderId="0" xfId="0" quotePrefix="1" applyNumberFormat="1" applyFont="1" applyAlignment="1">
      <alignment horizontal="left"/>
    </xf>
    <xf numFmtId="38" fontId="9" fillId="0" borderId="14" xfId="0" applyNumberFormat="1" applyFont="1" applyBorder="1"/>
    <xf numFmtId="38" fontId="11" fillId="0" borderId="0" xfId="0" applyNumberFormat="1" applyFont="1"/>
    <xf numFmtId="0" fontId="48" fillId="0" borderId="0" xfId="0" applyFont="1"/>
    <xf numFmtId="38" fontId="48" fillId="0" borderId="0" xfId="0" applyNumberFormat="1" applyFont="1"/>
    <xf numFmtId="0" fontId="49" fillId="0" borderId="0" xfId="0" applyFont="1" applyAlignment="1">
      <alignment horizontal="center"/>
    </xf>
    <xf numFmtId="168" fontId="11" fillId="0" borderId="0" xfId="0" applyNumberFormat="1" applyFont="1"/>
    <xf numFmtId="0" fontId="11" fillId="0" borderId="0" xfId="6" applyFont="1" applyAlignment="1">
      <alignment horizontal="center"/>
    </xf>
    <xf numFmtId="0" fontId="11" fillId="0" borderId="0" xfId="6" applyFont="1"/>
    <xf numFmtId="185" fontId="11" fillId="0" borderId="0" xfId="0" applyNumberFormat="1" applyFont="1" applyAlignment="1">
      <alignment horizontal="left"/>
    </xf>
    <xf numFmtId="185" fontId="11" fillId="0" borderId="0" xfId="0" quotePrefix="1" applyNumberFormat="1" applyFont="1" applyAlignment="1">
      <alignment horizontal="left"/>
    </xf>
    <xf numFmtId="0" fontId="11" fillId="0" borderId="0" xfId="4" quotePrefix="1" applyFont="1" applyAlignment="1">
      <alignment horizontal="left"/>
    </xf>
    <xf numFmtId="0" fontId="50" fillId="0" borderId="0" xfId="0" applyFont="1"/>
    <xf numFmtId="168" fontId="11" fillId="0" borderId="15" xfId="0" applyNumberFormat="1" applyFont="1" applyBorder="1"/>
    <xf numFmtId="0" fontId="11" fillId="0" borderId="15" xfId="0" applyFont="1" applyBorder="1" applyAlignment="1">
      <alignment horizontal="center"/>
    </xf>
    <xf numFmtId="0" fontId="11" fillId="0" borderId="15" xfId="0" quotePrefix="1" applyFont="1" applyBorder="1" applyAlignment="1">
      <alignment horizontal="left"/>
    </xf>
    <xf numFmtId="0" fontId="13" fillId="0" borderId="0" xfId="0" applyFont="1" applyAlignment="1">
      <alignment horizontal="center"/>
    </xf>
    <xf numFmtId="0" fontId="9" fillId="0" borderId="13" xfId="0" applyFont="1" applyBorder="1" applyAlignment="1">
      <alignment horizontal="center"/>
    </xf>
    <xf numFmtId="0" fontId="51" fillId="0" borderId="0" xfId="0" quotePrefix="1" applyFont="1" applyAlignment="1">
      <alignment horizontal="left"/>
    </xf>
    <xf numFmtId="0" fontId="1" fillId="0" borderId="0" xfId="8"/>
    <xf numFmtId="3" fontId="1" fillId="0" borderId="0" xfId="8" applyNumberFormat="1"/>
    <xf numFmtId="0" fontId="47" fillId="0" borderId="0" xfId="8" applyFont="1"/>
    <xf numFmtId="0" fontId="52" fillId="0" borderId="0" xfId="8" applyFont="1"/>
    <xf numFmtId="4" fontId="4" fillId="0" borderId="0" xfId="6" applyNumberFormat="1" applyFont="1"/>
    <xf numFmtId="171" fontId="4" fillId="0" borderId="0" xfId="6" applyNumberFormat="1" applyFont="1" applyAlignment="1">
      <alignment horizontal="center"/>
    </xf>
    <xf numFmtId="172" fontId="4" fillId="0" borderId="0" xfId="9" applyNumberFormat="1" applyFont="1"/>
    <xf numFmtId="3" fontId="4" fillId="0" borderId="0" xfId="6" applyNumberFormat="1" applyFont="1" applyAlignment="1">
      <alignment horizontal="center"/>
    </xf>
    <xf numFmtId="1" fontId="4" fillId="0" borderId="0" xfId="6" applyNumberFormat="1" applyFont="1" applyAlignment="1">
      <alignment horizontal="center"/>
    </xf>
    <xf numFmtId="3" fontId="4" fillId="0" borderId="0" xfId="6" applyNumberFormat="1" applyFont="1"/>
    <xf numFmtId="0" fontId="7" fillId="0" borderId="0" xfId="6" applyFont="1"/>
    <xf numFmtId="186" fontId="7" fillId="0" borderId="0" xfId="9" applyNumberFormat="1" applyFont="1"/>
    <xf numFmtId="38" fontId="7" fillId="0" borderId="0" xfId="9" applyNumberFormat="1" applyFont="1"/>
    <xf numFmtId="172" fontId="7" fillId="0" borderId="0" xfId="6" applyNumberFormat="1" applyFont="1"/>
    <xf numFmtId="0" fontId="7" fillId="0" borderId="0" xfId="6" applyFont="1" applyAlignment="1">
      <alignment horizontal="right"/>
    </xf>
    <xf numFmtId="186" fontId="7" fillId="0" borderId="8" xfId="9" applyNumberFormat="1" applyFont="1" applyBorder="1"/>
    <xf numFmtId="38" fontId="7" fillId="0" borderId="8" xfId="9" applyNumberFormat="1" applyFont="1" applyBorder="1"/>
    <xf numFmtId="172" fontId="4" fillId="0" borderId="0" xfId="6" applyNumberFormat="1" applyFont="1"/>
    <xf numFmtId="172" fontId="4" fillId="0" borderId="19" xfId="6" applyNumberFormat="1" applyFont="1" applyBorder="1"/>
    <xf numFmtId="172" fontId="4" fillId="0" borderId="19" xfId="9" applyNumberFormat="1" applyFont="1" applyBorder="1"/>
    <xf numFmtId="38" fontId="4" fillId="0" borderId="19" xfId="9" applyNumberFormat="1" applyFont="1" applyBorder="1"/>
    <xf numFmtId="38" fontId="7" fillId="0" borderId="19" xfId="6" applyNumberFormat="1" applyFont="1" applyBorder="1"/>
    <xf numFmtId="4" fontId="4" fillId="0" borderId="2" xfId="6" applyNumberFormat="1" applyFont="1" applyBorder="1"/>
    <xf numFmtId="4" fontId="7" fillId="0" borderId="0" xfId="6" applyNumberFormat="1" applyFont="1"/>
    <xf numFmtId="1" fontId="53" fillId="0" borderId="0" xfId="6" applyNumberFormat="1" applyFont="1"/>
    <xf numFmtId="1" fontId="4" fillId="0" borderId="0" xfId="6" applyNumberFormat="1" applyFont="1"/>
    <xf numFmtId="38" fontId="4" fillId="0" borderId="0" xfId="6" applyNumberFormat="1" applyFont="1"/>
    <xf numFmtId="38" fontId="4" fillId="0" borderId="0" xfId="9" applyNumberFormat="1" applyFont="1" applyFill="1"/>
    <xf numFmtId="187" fontId="4" fillId="0" borderId="0" xfId="10" applyNumberFormat="1" applyFont="1" applyFill="1"/>
    <xf numFmtId="0" fontId="4" fillId="0" borderId="0" xfId="6" quotePrefix="1" applyFont="1" applyAlignment="1">
      <alignment horizontal="left"/>
    </xf>
    <xf numFmtId="0" fontId="12" fillId="0" borderId="0" xfId="6" applyFont="1" applyAlignment="1">
      <alignment horizontal="center"/>
    </xf>
    <xf numFmtId="38" fontId="53" fillId="0" borderId="0" xfId="9" applyNumberFormat="1" applyFont="1" applyFill="1"/>
    <xf numFmtId="38" fontId="54" fillId="0" borderId="0" xfId="9" applyNumberFormat="1" applyFont="1" applyFill="1"/>
    <xf numFmtId="187" fontId="7" fillId="0" borderId="0" xfId="10" applyNumberFormat="1" applyFont="1" applyFill="1"/>
    <xf numFmtId="0" fontId="55" fillId="0" borderId="0" xfId="6" applyFont="1"/>
    <xf numFmtId="0" fontId="7" fillId="0" borderId="0" xfId="6" applyFont="1" applyAlignment="1">
      <alignment horizontal="center"/>
    </xf>
    <xf numFmtId="0" fontId="7" fillId="0" borderId="2" xfId="6" applyFont="1" applyBorder="1" applyAlignment="1">
      <alignment horizontal="center"/>
    </xf>
    <xf numFmtId="0" fontId="56" fillId="0" borderId="0" xfId="6" quotePrefix="1" applyFont="1" applyAlignment="1">
      <alignment horizontal="left"/>
    </xf>
    <xf numFmtId="0" fontId="7" fillId="0" borderId="0" xfId="6" quotePrefix="1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quotePrefix="1" applyFont="1" applyBorder="1" applyAlignment="1">
      <alignment horizontal="left"/>
    </xf>
    <xf numFmtId="168" fontId="11" fillId="0" borderId="0" xfId="0" applyNumberFormat="1" applyFont="1" applyBorder="1"/>
    <xf numFmtId="0" fontId="15" fillId="7" borderId="0" xfId="0" applyFont="1" applyFill="1" applyAlignment="1">
      <alignment horizontal="center" vertical="center"/>
    </xf>
    <xf numFmtId="0" fontId="4" fillId="7" borderId="0" xfId="6" applyFont="1" applyFill="1" applyAlignment="1">
      <alignment horizontal="center"/>
    </xf>
    <xf numFmtId="0" fontId="4" fillId="7" borderId="0" xfId="4" quotePrefix="1" applyFont="1" applyFill="1" applyAlignment="1">
      <alignment horizontal="center"/>
    </xf>
    <xf numFmtId="0" fontId="4" fillId="0" borderId="0" xfId="4" applyFont="1" applyFill="1" applyAlignment="1">
      <alignment horizontal="center"/>
    </xf>
    <xf numFmtId="0" fontId="11" fillId="7" borderId="0" xfId="4" applyFont="1" applyFill="1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" fillId="7" borderId="0" xfId="8" applyFill="1"/>
    <xf numFmtId="0" fontId="7" fillId="0" borderId="13" xfId="4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8" xfId="4" applyNumberFormat="1" applyFont="1" applyBorder="1" applyAlignment="1">
      <alignment horizontal="center"/>
    </xf>
    <xf numFmtId="1" fontId="7" fillId="0" borderId="17" xfId="4" applyNumberFormat="1" applyFont="1" applyBorder="1" applyAlignment="1">
      <alignment horizontal="center"/>
    </xf>
    <xf numFmtId="1" fontId="7" fillId="0" borderId="16" xfId="4" applyNumberFormat="1" applyFont="1" applyBorder="1" applyAlignment="1">
      <alignment horizontal="center"/>
    </xf>
    <xf numFmtId="0" fontId="1" fillId="0" borderId="18" xfId="8" applyBorder="1" applyAlignment="1">
      <alignment horizontal="center"/>
    </xf>
    <xf numFmtId="0" fontId="1" fillId="0" borderId="17" xfId="8" applyBorder="1" applyAlignment="1">
      <alignment horizontal="center"/>
    </xf>
    <xf numFmtId="0" fontId="1" fillId="0" borderId="16" xfId="8" applyBorder="1" applyAlignment="1">
      <alignment horizontal="center"/>
    </xf>
  </cellXfs>
  <cellStyles count="11">
    <cellStyle name="Comma" xfId="1" builtinId="3"/>
    <cellStyle name="Comma 2" xfId="10" xr:uid="{427556C1-4199-48B0-8618-4702BD8609AB}"/>
    <cellStyle name="Comma_FY01 UPC ELECTRIC" xfId="2" xr:uid="{00000000-0005-0000-0000-000001000000}"/>
    <cellStyle name="Comma_UPCW99" xfId="9" xr:uid="{E500C49C-01C0-4174-A34D-897DD521C997}"/>
    <cellStyle name="Currency" xfId="3" builtinId="4"/>
    <cellStyle name="Normal" xfId="0" builtinId="0"/>
    <cellStyle name="Normal 2" xfId="8" xr:uid="{79B617BC-330E-4C46-A828-31060E79723F}"/>
    <cellStyle name="Normal_FY01 UPC ELECTRIC" xfId="4" xr:uid="{00000000-0005-0000-0000-000004000000}"/>
    <cellStyle name="Normal_RS ELEC FY99-00" xfId="5" xr:uid="{00000000-0005-0000-0000-000005000000}"/>
    <cellStyle name="Normal_UPCW99" xfId="6" xr:uid="{00000000-0005-0000-0000-000006000000}"/>
    <cellStyle name="Percent" xfId="7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415\FAMIS%20UPLOAD\FY2015%20Famis%20SWO'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9.16.E.U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10.16.E.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11.16.E.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12.16.E.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enchmarking\Energy%20Star%20Benchmarking\USC%20Energy%20and%20Water%20Database\2021\UPC%20DATABASE\MO%20UTIL%20SWO%20BRIO%20RPTS\Jun14%20utility%20swo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FAMIS%20UPLOAD\SWO%20MATRIX%2004-15-1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314\FAMIS%20UPLOAD\2014_05\MAY14%20SWO%20CORR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1.16.E.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2.16.E.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3.16.E.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4.16.E.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5.16.E.U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6.16.E.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7.16.E.U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8.16.E.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LPHA"/>
      <sheetName val="SHEET 1"/>
      <sheetName val="SHEET 2"/>
    </sheetNames>
    <sheetDataSet>
      <sheetData sheetId="0">
        <row r="15">
          <cell r="A15" t="str">
            <v>ADM: UTILITIES FY15 - GAS/WATER/ELECTRIC</v>
          </cell>
          <cell r="B15" t="str">
            <v>ADM</v>
          </cell>
          <cell r="C15" t="str">
            <v>ADM-EGW</v>
          </cell>
          <cell r="D15" t="str">
            <v>ADM-EGW-14</v>
          </cell>
          <cell r="E15" t="str">
            <v>ADM-EGW-13</v>
          </cell>
          <cell r="F15" t="str">
            <v>ADM-EGW-12</v>
          </cell>
          <cell r="G15" t="str">
            <v>ADM-EGW-11</v>
          </cell>
          <cell r="H15" t="str">
            <v>ADM-EGW-10</v>
          </cell>
          <cell r="I15" t="str">
            <v>ADM-EGW-09</v>
          </cell>
          <cell r="J15" t="str">
            <v>ADM-EGW-08</v>
          </cell>
          <cell r="K15" t="str">
            <v>ADM-EGW-07</v>
          </cell>
          <cell r="L15" t="str">
            <v>ADM-EGW-06</v>
          </cell>
          <cell r="M15" t="str">
            <v>ADM-EGW-05</v>
          </cell>
          <cell r="N15" t="str">
            <v>SWO003092</v>
          </cell>
          <cell r="O15" t="str">
            <v>SWO000811</v>
          </cell>
          <cell r="P15" t="str">
            <v>SWO000811</v>
          </cell>
          <cell r="Q15" t="str">
            <v>SWO000811</v>
          </cell>
          <cell r="R15" t="str">
            <v>SWO000811</v>
          </cell>
          <cell r="S15">
            <v>21623</v>
          </cell>
          <cell r="T15" t="str">
            <v>0010</v>
          </cell>
          <cell r="U15" t="str">
            <v>ADM</v>
          </cell>
          <cell r="W15" t="str">
            <v>Administration Bldg - Electric, Gas &amp; Water</v>
          </cell>
          <cell r="X15" t="str">
            <v>N</v>
          </cell>
        </row>
        <row r="16">
          <cell r="A16" t="str">
            <v>ADM: UTILITIES CHILLED WATER FY15</v>
          </cell>
          <cell r="B16" t="str">
            <v>ADM</v>
          </cell>
          <cell r="C16" t="str">
            <v>ADM-UCW</v>
          </cell>
          <cell r="D16" t="str">
            <v>ADM-UCW14</v>
          </cell>
          <cell r="E16" t="str">
            <v>ADM-UCW13</v>
          </cell>
          <cell r="F16" t="str">
            <v>ADM-UCW12</v>
          </cell>
          <cell r="G16" t="str">
            <v>ADM-UCW11</v>
          </cell>
          <cell r="H16" t="str">
            <v>ADM-UCW10</v>
          </cell>
          <cell r="I16" t="str">
            <v>ADM-UCW09</v>
          </cell>
          <cell r="J16" t="str">
            <v>ADM-UCW08</v>
          </cell>
          <cell r="K16" t="str">
            <v>ADM-UCW07</v>
          </cell>
          <cell r="L16" t="str">
            <v>ADM-UCW06</v>
          </cell>
          <cell r="M16" t="str">
            <v>ADM-UCW05</v>
          </cell>
          <cell r="U16" t="str">
            <v>ADM</v>
          </cell>
          <cell r="W16" t="str">
            <v>Administration Bldg - Chilled Water</v>
          </cell>
        </row>
        <row r="17">
          <cell r="A17" t="str">
            <v>ADM: UTILITIES DEBT SERVICE FY15</v>
          </cell>
          <cell r="B17" t="str">
            <v>ADM</v>
          </cell>
          <cell r="C17" t="str">
            <v>ADM-UDS</v>
          </cell>
          <cell r="D17" t="str">
            <v>ADM-UDS14</v>
          </cell>
          <cell r="E17" t="str">
            <v>ADM-UDS13</v>
          </cell>
          <cell r="F17" t="str">
            <v>ADM-UDS12</v>
          </cell>
          <cell r="G17" t="str">
            <v>ADM-UDS11</v>
          </cell>
          <cell r="H17" t="str">
            <v>ADM-UDS10</v>
          </cell>
          <cell r="I17" t="str">
            <v>ADM-UDS09</v>
          </cell>
          <cell r="J17" t="str">
            <v>ADM-UDS08</v>
          </cell>
          <cell r="K17" t="str">
            <v>ADM-UDS07</v>
          </cell>
          <cell r="L17" t="str">
            <v>ADM-UDS06</v>
          </cell>
          <cell r="M17" t="str">
            <v>ADM-UDS05</v>
          </cell>
          <cell r="U17" t="str">
            <v>ADM</v>
          </cell>
          <cell r="W17" t="str">
            <v>Administration Bldg - Debt Service</v>
          </cell>
        </row>
        <row r="18">
          <cell r="A18" t="str">
            <v>ADM: UTILITIES MAINT FY15</v>
          </cell>
          <cell r="B18">
            <v>0</v>
          </cell>
          <cell r="C18" t="str">
            <v>ADM-UMT</v>
          </cell>
          <cell r="D18" t="str">
            <v>ADM-UMT14</v>
          </cell>
          <cell r="E18" t="str">
            <v>ADM-UMT13</v>
          </cell>
          <cell r="F18" t="str">
            <v>ADM-UMT12</v>
          </cell>
          <cell r="G18" t="str">
            <v>ADM-UMT11</v>
          </cell>
          <cell r="H18" t="str">
            <v>ADM-UMT10</v>
          </cell>
          <cell r="I18" t="str">
            <v>ADM-UMT09</v>
          </cell>
          <cell r="J18" t="str">
            <v>ADM-UMT08</v>
          </cell>
          <cell r="K18" t="str">
            <v>ADM-UMT07</v>
          </cell>
          <cell r="L18" t="str">
            <v>ADM-UMT06</v>
          </cell>
          <cell r="M18" t="str">
            <v>ADM-UMT05</v>
          </cell>
          <cell r="U18" t="str">
            <v>ADM</v>
          </cell>
          <cell r="W18" t="str">
            <v>Administration Bldg - Maintenance Service</v>
          </cell>
        </row>
        <row r="19">
          <cell r="A19" t="str">
            <v>ADM1: UTILITIES FY15 - ELECTRIC ONLY</v>
          </cell>
          <cell r="B19" t="str">
            <v>ADM1</v>
          </cell>
          <cell r="C19" t="str">
            <v>ADM1-EL</v>
          </cell>
          <cell r="D19" t="str">
            <v>ADM1-EL-14</v>
          </cell>
          <cell r="E19" t="str">
            <v>ADM1-EL-13</v>
          </cell>
          <cell r="F19" t="str">
            <v>ADM1-EL-12</v>
          </cell>
          <cell r="G19" t="str">
            <v>ADM1-EL-11</v>
          </cell>
          <cell r="H19" t="str">
            <v>ADM1-EL-10</v>
          </cell>
          <cell r="I19" t="str">
            <v>ADM1-EL-09</v>
          </cell>
          <cell r="J19" t="str">
            <v>ADM1-EL-08</v>
          </cell>
          <cell r="K19" t="str">
            <v>ADM1-EL-07</v>
          </cell>
          <cell r="L19" t="str">
            <v>ADM1-EL-06</v>
          </cell>
          <cell r="M19" t="str">
            <v>ADM1-EL-05</v>
          </cell>
          <cell r="N19" t="str">
            <v>SWO003093</v>
          </cell>
          <cell r="T19" t="str">
            <v>0011</v>
          </cell>
          <cell r="U19" t="str">
            <v>ADM1</v>
          </cell>
          <cell r="W19" t="str">
            <v>Bovard Auditorium - Electric</v>
          </cell>
        </row>
        <row r="20">
          <cell r="A20" t="str">
            <v>ADM9: UTILITIES FY15 - ELECTRIC ONLY, CELL SITE</v>
          </cell>
          <cell r="B20" t="str">
            <v>ADM9</v>
          </cell>
          <cell r="C20" t="str">
            <v>ADM9-EL</v>
          </cell>
          <cell r="D20" t="str">
            <v>ADM9-EL-14</v>
          </cell>
          <cell r="E20" t="str">
            <v>ADM9-EL-13</v>
          </cell>
          <cell r="F20" t="str">
            <v>ADM9-EL-12</v>
          </cell>
          <cell r="G20" t="str">
            <v>ADM9-EL-11</v>
          </cell>
          <cell r="H20" t="str">
            <v>ADM9-EL-10</v>
          </cell>
          <cell r="I20" t="str">
            <v>ADM9-EL-09</v>
          </cell>
          <cell r="J20" t="str">
            <v>ADM9-EL-08</v>
          </cell>
          <cell r="K20" t="str">
            <v>ADM9-EL-07</v>
          </cell>
          <cell r="L20" t="str">
            <v>ADM9-EL-06</v>
          </cell>
          <cell r="M20" t="str">
            <v>ADM9-EL-05</v>
          </cell>
          <cell r="T20" t="str">
            <v>0019</v>
          </cell>
          <cell r="W20" t="str">
            <v>ADM Cell Site - Electric</v>
          </cell>
          <cell r="X20" t="str">
            <v>N</v>
          </cell>
        </row>
        <row r="21">
          <cell r="B21" t="str">
            <v>PIC</v>
          </cell>
          <cell r="F21" t="str">
            <v>PIC-EGW-12</v>
          </cell>
          <cell r="G21" t="str">
            <v>PIC-EGW-11</v>
          </cell>
          <cell r="H21" t="str">
            <v>PIC-EGW-10</v>
          </cell>
          <cell r="I21" t="str">
            <v>PIC-EGW-09</v>
          </cell>
          <cell r="J21" t="str">
            <v>PIC-EGW-08</v>
          </cell>
          <cell r="K21" t="str">
            <v>PIC-EGW-07</v>
          </cell>
          <cell r="L21" t="str">
            <v>PIC-EGW-06</v>
          </cell>
          <cell r="M21" t="str">
            <v>PIC-EGW-05</v>
          </cell>
          <cell r="N21" t="str">
            <v>SWO003217</v>
          </cell>
          <cell r="O21" t="str">
            <v>SWO000812</v>
          </cell>
          <cell r="P21" t="str">
            <v>SWO000812</v>
          </cell>
          <cell r="Q21" t="str">
            <v>SWO000812</v>
          </cell>
          <cell r="R21" t="str">
            <v>SWO000812</v>
          </cell>
          <cell r="S21">
            <v>21626</v>
          </cell>
          <cell r="T21" t="str">
            <v>0020</v>
          </cell>
          <cell r="U21" t="str">
            <v>PIC</v>
          </cell>
          <cell r="W21" t="str">
            <v>Music Practice &amp; Instructional Ctr - Electric, Gas &amp; Water</v>
          </cell>
          <cell r="X21" t="str">
            <v>N</v>
          </cell>
          <cell r="Y21" t="str">
            <v>DEMOLISHED 12/1/2010</v>
          </cell>
        </row>
        <row r="22">
          <cell r="A22" t="str">
            <v>WPH: UTILITIES FY15 - GAS/WATER/ELECTRIC</v>
          </cell>
          <cell r="B22" t="str">
            <v>WPH</v>
          </cell>
          <cell r="C22" t="str">
            <v>WPH-EGW</v>
          </cell>
          <cell r="D22" t="str">
            <v>WPH-EGW-14</v>
          </cell>
          <cell r="E22" t="str">
            <v>WPH-EGW-13</v>
          </cell>
          <cell r="F22" t="str">
            <v>WPH-EGW-12</v>
          </cell>
          <cell r="G22" t="str">
            <v>WPH-EGW-11</v>
          </cell>
          <cell r="H22" t="str">
            <v>WPH-EGW-10</v>
          </cell>
          <cell r="I22" t="str">
            <v>WPH-EGW-09</v>
          </cell>
          <cell r="J22" t="str">
            <v>WPH-EGW-08</v>
          </cell>
          <cell r="K22" t="str">
            <v>WPH-EGW-07</v>
          </cell>
          <cell r="L22" t="str">
            <v>WPH-EGW-06</v>
          </cell>
          <cell r="M22" t="str">
            <v>WPH-EGW-05</v>
          </cell>
          <cell r="N22" t="str">
            <v>SWO003278</v>
          </cell>
          <cell r="O22" t="str">
            <v>SWO000813</v>
          </cell>
          <cell r="P22" t="str">
            <v>SWO000813</v>
          </cell>
          <cell r="Q22" t="str">
            <v>SWO000813</v>
          </cell>
          <cell r="R22" t="str">
            <v>SWO000813</v>
          </cell>
          <cell r="S22">
            <v>21637</v>
          </cell>
          <cell r="T22" t="str">
            <v>0030</v>
          </cell>
          <cell r="U22" t="str">
            <v>WPH</v>
          </cell>
          <cell r="W22" t="str">
            <v>Waite Phillips Hall - Electric, Gas &amp; Water</v>
          </cell>
          <cell r="X22" t="str">
            <v>N</v>
          </cell>
        </row>
        <row r="23">
          <cell r="A23" t="str">
            <v>WPH: UTILITIES CHILLED WATER FY15</v>
          </cell>
          <cell r="B23" t="str">
            <v>WPH</v>
          </cell>
          <cell r="C23" t="str">
            <v>WPH-UCW</v>
          </cell>
          <cell r="D23" t="str">
            <v>WPH-UCW14</v>
          </cell>
          <cell r="E23" t="str">
            <v>WPH-UCW13</v>
          </cell>
          <cell r="F23" t="str">
            <v>WPH-UCW12</v>
          </cell>
          <cell r="G23" t="str">
            <v>WPH-UCW11</v>
          </cell>
          <cell r="H23" t="str">
            <v>WPH-UCW10</v>
          </cell>
          <cell r="I23" t="str">
            <v>WPH-UCW09</v>
          </cell>
          <cell r="J23" t="str">
            <v>WPH-UCW08</v>
          </cell>
          <cell r="K23" t="str">
            <v>WPH-UCW07</v>
          </cell>
          <cell r="L23" t="str">
            <v>WPH-UCW06</v>
          </cell>
          <cell r="M23" t="str">
            <v>WPH-UCW05</v>
          </cell>
          <cell r="W23" t="str">
            <v xml:space="preserve">WPH: UTILITIES CHILLED WATER </v>
          </cell>
        </row>
        <row r="24">
          <cell r="A24" t="str">
            <v>WPH: UTILITIES DEBT SERVICE FY15</v>
          </cell>
          <cell r="B24" t="str">
            <v>WPH</v>
          </cell>
          <cell r="C24" t="str">
            <v>WPH-UDS</v>
          </cell>
          <cell r="D24" t="str">
            <v>WPH-UDS14</v>
          </cell>
          <cell r="E24" t="str">
            <v>WPH-UDS13</v>
          </cell>
          <cell r="F24" t="str">
            <v>WPH-UDS12</v>
          </cell>
          <cell r="G24" t="str">
            <v>WPH-UDS11</v>
          </cell>
          <cell r="H24" t="str">
            <v>WPH-UDS10</v>
          </cell>
          <cell r="I24" t="str">
            <v>WPH-UDS09</v>
          </cell>
          <cell r="J24" t="str">
            <v>WPH-UDS08</v>
          </cell>
          <cell r="K24" t="str">
            <v>WPH-UDS07</v>
          </cell>
          <cell r="L24" t="str">
            <v>WPH-UDS06</v>
          </cell>
          <cell r="M24" t="str">
            <v>WPH-UDS05</v>
          </cell>
          <cell r="W24" t="str">
            <v xml:space="preserve">WPH: UTILITIES DEBT SERVICE </v>
          </cell>
        </row>
        <row r="25">
          <cell r="A25" t="str">
            <v>WPH: UTILITIES MAINT FY15</v>
          </cell>
          <cell r="B25">
            <v>0</v>
          </cell>
          <cell r="C25" t="str">
            <v>WPH-UMT</v>
          </cell>
          <cell r="D25" t="str">
            <v>WPH-UMT14</v>
          </cell>
          <cell r="E25" t="str">
            <v>WPH-UMT13</v>
          </cell>
          <cell r="F25" t="str">
            <v>WPH-UMT12</v>
          </cell>
          <cell r="G25" t="str">
            <v>WPH-UMT11</v>
          </cell>
          <cell r="H25" t="str">
            <v>WPH-UMT10</v>
          </cell>
          <cell r="I25" t="str">
            <v>WPH-UMT09</v>
          </cell>
          <cell r="J25" t="str">
            <v>WPH-UMT08</v>
          </cell>
          <cell r="K25" t="str">
            <v>WPH-UMT07</v>
          </cell>
          <cell r="L25" t="str">
            <v>WPH-UMT06</v>
          </cell>
          <cell r="M25" t="str">
            <v>WPH-UMT05</v>
          </cell>
          <cell r="W25" t="str">
            <v xml:space="preserve">WPH: UTILITIES MAINT </v>
          </cell>
        </row>
        <row r="26">
          <cell r="A26" t="str">
            <v>SOS: UTILITIES FY15 - GAS/WATER/ELECTRIC</v>
          </cell>
          <cell r="B26" t="str">
            <v>SOS</v>
          </cell>
          <cell r="C26" t="str">
            <v>SOS-EGW</v>
          </cell>
          <cell r="D26" t="str">
            <v>SOS-EGW-14</v>
          </cell>
          <cell r="E26" t="str">
            <v>SOS-EGW-13</v>
          </cell>
          <cell r="F26" t="str">
            <v>SOS-EGW-12</v>
          </cell>
          <cell r="G26" t="str">
            <v>SOS-EGW-11</v>
          </cell>
          <cell r="H26" t="str">
            <v>SOS-EGW-10</v>
          </cell>
          <cell r="I26" t="str">
            <v>SOS-EGW-09</v>
          </cell>
          <cell r="J26" t="str">
            <v>SOS-EGW-08</v>
          </cell>
          <cell r="K26" t="str">
            <v>SOS-EGW-07</v>
          </cell>
          <cell r="L26" t="str">
            <v>SOS-EGW-06</v>
          </cell>
          <cell r="M26" t="str">
            <v>SOS-EGW-05</v>
          </cell>
          <cell r="N26" t="str">
            <v>SWO003252</v>
          </cell>
          <cell r="O26" t="str">
            <v>SWO000814</v>
          </cell>
          <cell r="P26" t="str">
            <v>SWO000814</v>
          </cell>
          <cell r="Q26" t="str">
            <v>SWO000814</v>
          </cell>
          <cell r="R26" t="str">
            <v>SWO000814</v>
          </cell>
          <cell r="S26">
            <v>21641</v>
          </cell>
          <cell r="T26" t="str">
            <v>0031</v>
          </cell>
          <cell r="U26" t="str">
            <v>SOS</v>
          </cell>
          <cell r="W26" t="str">
            <v>Social Sciences - Electric, Gas &amp; Water</v>
          </cell>
          <cell r="X26" t="str">
            <v>N</v>
          </cell>
        </row>
        <row r="27">
          <cell r="A27" t="str">
            <v>SOS: UTILITIES CHILLED WATER FY15</v>
          </cell>
          <cell r="B27" t="str">
            <v>SOS</v>
          </cell>
          <cell r="C27" t="str">
            <v>SOS-UCW</v>
          </cell>
          <cell r="D27" t="str">
            <v>SOS-UCW14</v>
          </cell>
          <cell r="E27" t="str">
            <v>SOS-UCW13</v>
          </cell>
          <cell r="F27" t="str">
            <v>SOS-UCW12</v>
          </cell>
          <cell r="G27" t="str">
            <v>SOS-UCW11</v>
          </cell>
          <cell r="H27" t="str">
            <v>SOS-UCW10</v>
          </cell>
          <cell r="I27" t="str">
            <v>SOS-UCW09</v>
          </cell>
          <cell r="J27" t="str">
            <v>SOS-UCW08</v>
          </cell>
          <cell r="K27" t="str">
            <v>SOS-UCW07</v>
          </cell>
          <cell r="L27" t="str">
            <v>SOS-UCW06</v>
          </cell>
          <cell r="M27" t="str">
            <v>SOS-UCW05</v>
          </cell>
          <cell r="W27" t="str">
            <v xml:space="preserve">SOS: UTILITIES CHILLED WATER </v>
          </cell>
        </row>
        <row r="28">
          <cell r="A28" t="str">
            <v>SOS: UTILITIES DEBT SERVICE FY15</v>
          </cell>
          <cell r="B28" t="str">
            <v>SOS</v>
          </cell>
          <cell r="C28" t="str">
            <v>SOS-UDS</v>
          </cell>
          <cell r="D28" t="str">
            <v>SOS-UDS14</v>
          </cell>
          <cell r="E28" t="str">
            <v>SOS-UDS13</v>
          </cell>
          <cell r="F28" t="str">
            <v>SOS-UDS12</v>
          </cell>
          <cell r="G28" t="str">
            <v>SOS-UDS11</v>
          </cell>
          <cell r="H28" t="str">
            <v>SOS-UDS10</v>
          </cell>
          <cell r="I28" t="str">
            <v>SOS-UDS09</v>
          </cell>
          <cell r="J28" t="str">
            <v>SOS-UDS08</v>
          </cell>
          <cell r="K28" t="str">
            <v>SOS-UDS07</v>
          </cell>
          <cell r="L28" t="str">
            <v>SOS-UDS06</v>
          </cell>
          <cell r="M28" t="str">
            <v>SOS-UDS05</v>
          </cell>
          <cell r="W28" t="str">
            <v xml:space="preserve">SOS: UTILITIES DEBT SERVICE </v>
          </cell>
        </row>
        <row r="29">
          <cell r="A29" t="str">
            <v>SOS: UTILITIES MAINT FY15</v>
          </cell>
          <cell r="B29">
            <v>0</v>
          </cell>
          <cell r="C29" t="str">
            <v>SOS-UMT</v>
          </cell>
          <cell r="D29" t="str">
            <v>SOS-UMT14</v>
          </cell>
          <cell r="E29" t="str">
            <v>SOS-UMT13</v>
          </cell>
          <cell r="F29" t="str">
            <v>SOS-UMT12</v>
          </cell>
          <cell r="G29" t="str">
            <v>SOS-UMT11</v>
          </cell>
          <cell r="H29" t="str">
            <v>SOS-UMT10</v>
          </cell>
          <cell r="I29" t="str">
            <v>SOS-UMT09</v>
          </cell>
          <cell r="J29" t="str">
            <v>SOS-UMT08</v>
          </cell>
          <cell r="K29" t="str">
            <v>SOS-UMT07</v>
          </cell>
          <cell r="L29" t="str">
            <v>SOS-UMT06</v>
          </cell>
          <cell r="M29" t="str">
            <v>SOS-UMT05</v>
          </cell>
          <cell r="W29" t="str">
            <v xml:space="preserve">SOS: UTILITIES MAINT </v>
          </cell>
        </row>
        <row r="30">
          <cell r="A30" t="str">
            <v>VKC: UTILITIES FY15 - GAS/WATER/ELECTRIC</v>
          </cell>
          <cell r="B30" t="str">
            <v>VKC</v>
          </cell>
          <cell r="C30" t="str">
            <v>VKC-EGW</v>
          </cell>
          <cell r="D30" t="str">
            <v>VKC-EGW-14</v>
          </cell>
          <cell r="E30" t="str">
            <v>VKC-EGW-13</v>
          </cell>
          <cell r="F30" t="str">
            <v>VKC-EGW-12</v>
          </cell>
          <cell r="G30" t="str">
            <v>VKC-EGW-11</v>
          </cell>
          <cell r="H30" t="str">
            <v>VKC-EGW-10</v>
          </cell>
          <cell r="I30" t="str">
            <v>VKC-EGW-09</v>
          </cell>
          <cell r="J30" t="str">
            <v>VKC-EGW-08</v>
          </cell>
          <cell r="K30" t="str">
            <v>VKC-EGW-07</v>
          </cell>
          <cell r="L30" t="str">
            <v>VKC-EGW-06</v>
          </cell>
          <cell r="M30" t="str">
            <v>VKC-EGW-05</v>
          </cell>
          <cell r="N30" t="str">
            <v>SWO003276</v>
          </cell>
          <cell r="O30" t="str">
            <v>SWO000815</v>
          </cell>
          <cell r="P30" t="str">
            <v>SWO000815</v>
          </cell>
          <cell r="Q30" t="str">
            <v>SWO000815</v>
          </cell>
          <cell r="R30" t="str">
            <v>SWO000815</v>
          </cell>
          <cell r="S30">
            <v>21646</v>
          </cell>
          <cell r="T30" t="str">
            <v>0040</v>
          </cell>
          <cell r="U30" t="str">
            <v>VKC</v>
          </cell>
          <cell r="W30" t="str">
            <v>VonKleinsmid Center - Electric, Gas &amp; Water</v>
          </cell>
          <cell r="X30" t="str">
            <v>N</v>
          </cell>
        </row>
        <row r="31">
          <cell r="A31" t="str">
            <v>VKC: UTILITIES CHILLED WATER FY15</v>
          </cell>
          <cell r="B31" t="str">
            <v>VKC</v>
          </cell>
          <cell r="C31" t="str">
            <v>VKC-UCW</v>
          </cell>
          <cell r="D31" t="str">
            <v>VKC-UCW14</v>
          </cell>
          <cell r="E31" t="str">
            <v>VKC-UCW13</v>
          </cell>
          <cell r="F31" t="str">
            <v>VKC-UCW12</v>
          </cell>
          <cell r="G31" t="str">
            <v>VKC-UCW11</v>
          </cell>
          <cell r="H31" t="str">
            <v>VKC-UCW10</v>
          </cell>
          <cell r="I31" t="str">
            <v>VKC-UCW09</v>
          </cell>
          <cell r="J31" t="str">
            <v>VKC-UCW08</v>
          </cell>
          <cell r="K31" t="str">
            <v>VKC-UCW07</v>
          </cell>
          <cell r="L31" t="str">
            <v>VKC-UCW06</v>
          </cell>
          <cell r="M31" t="str">
            <v>VKC-UCW05</v>
          </cell>
          <cell r="W31" t="str">
            <v xml:space="preserve">VKC: UTILITIES CHILLED WATER </v>
          </cell>
        </row>
        <row r="32">
          <cell r="A32" t="str">
            <v>VKC: UTILITIES DEBT SERVICE FY15</v>
          </cell>
          <cell r="B32" t="str">
            <v>VKC</v>
          </cell>
          <cell r="C32" t="str">
            <v>VKC-UDS</v>
          </cell>
          <cell r="D32" t="str">
            <v>VKC-UDS14</v>
          </cell>
          <cell r="E32" t="str">
            <v>VKC-UDS13</v>
          </cell>
          <cell r="F32" t="str">
            <v>VKC-UDS12</v>
          </cell>
          <cell r="G32" t="str">
            <v>VKC-UDS11</v>
          </cell>
          <cell r="H32" t="str">
            <v>VKC-UDS10</v>
          </cell>
          <cell r="I32" t="str">
            <v>VKC-UDS09</v>
          </cell>
          <cell r="J32" t="str">
            <v>VKC-UDS08</v>
          </cell>
          <cell r="K32" t="str">
            <v>VKC-UDS07</v>
          </cell>
          <cell r="L32" t="str">
            <v>VKC-UDS06</v>
          </cell>
          <cell r="M32" t="str">
            <v>VKC-UDS05</v>
          </cell>
          <cell r="W32" t="str">
            <v xml:space="preserve">VKC: UTILITIES DEBT SERVICE </v>
          </cell>
        </row>
        <row r="33">
          <cell r="A33" t="str">
            <v>VKC: UTILITIES MAINT FY15</v>
          </cell>
          <cell r="B33" t="str">
            <v>VKC</v>
          </cell>
          <cell r="C33" t="str">
            <v>VKC-UMT</v>
          </cell>
          <cell r="D33" t="str">
            <v>VKC-UMT14</v>
          </cell>
          <cell r="E33" t="str">
            <v>VKC-UMT13</v>
          </cell>
          <cell r="F33" t="str">
            <v>VKC-UMT12</v>
          </cell>
          <cell r="G33" t="str">
            <v>VKC-UMT11</v>
          </cell>
          <cell r="H33" t="str">
            <v>VKC-UMT10</v>
          </cell>
          <cell r="I33" t="str">
            <v>VKC-UMT09</v>
          </cell>
          <cell r="J33" t="str">
            <v>VKC-UMT08</v>
          </cell>
          <cell r="K33" t="str">
            <v>VKC-UMT07</v>
          </cell>
          <cell r="L33" t="str">
            <v>VKC-UMT06</v>
          </cell>
          <cell r="M33" t="str">
            <v>VKC-UMT05</v>
          </cell>
          <cell r="W33" t="str">
            <v xml:space="preserve">VKC: UTILITIES MAINT </v>
          </cell>
        </row>
        <row r="34">
          <cell r="A34" t="str">
            <v>YWC: UTILITIES FY15 - GAS/WATER/ELECTRIC</v>
          </cell>
          <cell r="B34" t="str">
            <v>YWC</v>
          </cell>
          <cell r="C34" t="str">
            <v>YWC-EGW</v>
          </cell>
          <cell r="D34" t="str">
            <v>YWC-EGW-14</v>
          </cell>
          <cell r="E34" t="str">
            <v>YWC-EGW-13</v>
          </cell>
          <cell r="F34" t="str">
            <v>YWC-EGW-12</v>
          </cell>
          <cell r="G34" t="str">
            <v>YWC-EGW-11</v>
          </cell>
          <cell r="H34" t="str">
            <v>YWC-EGW-10</v>
          </cell>
          <cell r="I34" t="str">
            <v>YWC-EGW-09</v>
          </cell>
          <cell r="J34" t="str">
            <v>YWC-EGW-08</v>
          </cell>
          <cell r="K34" t="str">
            <v>YWC-EGW-07</v>
          </cell>
          <cell r="L34" t="str">
            <v>YWC-EGW-06</v>
          </cell>
          <cell r="M34" t="str">
            <v>YWC-EGW-05</v>
          </cell>
          <cell r="N34" t="str">
            <v>SWO003280</v>
          </cell>
          <cell r="O34" t="str">
            <v>SWO000816</v>
          </cell>
          <cell r="P34" t="str">
            <v>SWO000816</v>
          </cell>
          <cell r="Q34" t="str">
            <v>SWO000816</v>
          </cell>
          <cell r="R34" t="str">
            <v>SWO000816</v>
          </cell>
          <cell r="S34">
            <v>22341</v>
          </cell>
          <cell r="T34" t="str">
            <v>0050</v>
          </cell>
          <cell r="U34" t="str">
            <v>YWC</v>
          </cell>
          <cell r="W34" t="str">
            <v>YWCA Bldg - Electric, Gas &amp; Water</v>
          </cell>
          <cell r="X34" t="str">
            <v>N</v>
          </cell>
          <cell r="Y34" t="str">
            <v>DEMOLISHED JULY 2012</v>
          </cell>
        </row>
        <row r="35">
          <cell r="A35" t="str">
            <v>YWC: UTILITIES CHILLED WATER FY15</v>
          </cell>
          <cell r="B35" t="str">
            <v>YWC</v>
          </cell>
          <cell r="C35" t="str">
            <v>YWC-UCW</v>
          </cell>
          <cell r="D35" t="str">
            <v>YWC-UCW14</v>
          </cell>
          <cell r="E35" t="str">
            <v>YWC-UCW13</v>
          </cell>
          <cell r="F35" t="str">
            <v>YWC-UCW12</v>
          </cell>
          <cell r="G35" t="str">
            <v>YWC-UCW11</v>
          </cell>
          <cell r="H35" t="str">
            <v>YWC-UCW10</v>
          </cell>
          <cell r="I35" t="str">
            <v>YWC-UCW09</v>
          </cell>
          <cell r="J35" t="str">
            <v>YWC-UCW08</v>
          </cell>
          <cell r="K35" t="str">
            <v>YWC-UCW07</v>
          </cell>
          <cell r="L35" t="str">
            <v>YWC-UCW06</v>
          </cell>
          <cell r="M35" t="str">
            <v>YWC-UCW05</v>
          </cell>
          <cell r="W35" t="str">
            <v xml:space="preserve">YWC: UTILITIES CHILLED WATER </v>
          </cell>
        </row>
        <row r="36">
          <cell r="A36" t="str">
            <v>YWC: UTILITIES DEBT SERVICE FY15</v>
          </cell>
          <cell r="B36" t="str">
            <v>YWC</v>
          </cell>
          <cell r="C36" t="str">
            <v>YWC-UDS</v>
          </cell>
          <cell r="D36" t="str">
            <v>YWC-UDS14</v>
          </cell>
          <cell r="E36" t="str">
            <v>YWC-UDS13</v>
          </cell>
          <cell r="F36" t="str">
            <v>YWC-UDS12</v>
          </cell>
          <cell r="G36" t="str">
            <v>YWC-UDS11</v>
          </cell>
          <cell r="H36" t="str">
            <v>YWC-UDS10</v>
          </cell>
          <cell r="I36" t="str">
            <v>YWC-UDS09</v>
          </cell>
          <cell r="J36" t="str">
            <v>YWC-UDS08</v>
          </cell>
          <cell r="K36" t="str">
            <v>YWC-UDS07</v>
          </cell>
          <cell r="L36" t="str">
            <v>YWC-UDS06</v>
          </cell>
          <cell r="M36" t="str">
            <v>YWC-UDS05</v>
          </cell>
          <cell r="W36" t="str">
            <v xml:space="preserve">YWC: UTILITIES DEBT SERVICE </v>
          </cell>
        </row>
        <row r="37">
          <cell r="A37" t="str">
            <v>YWC: UTILITIES MAINT FY15</v>
          </cell>
          <cell r="B37">
            <v>0</v>
          </cell>
          <cell r="C37" t="str">
            <v>YWC-UMT</v>
          </cell>
          <cell r="D37" t="str">
            <v>YWC-UMT14</v>
          </cell>
          <cell r="E37" t="str">
            <v>YWC-UMT13</v>
          </cell>
          <cell r="F37" t="str">
            <v>YWC-UMT12</v>
          </cell>
          <cell r="G37" t="str">
            <v>YWC-UMT11</v>
          </cell>
          <cell r="H37" t="str">
            <v>YWC-UMT10</v>
          </cell>
          <cell r="I37" t="str">
            <v>YWC-UMT09</v>
          </cell>
          <cell r="J37" t="str">
            <v>YWC-UMT08</v>
          </cell>
          <cell r="K37" t="str">
            <v>YWC-UMT07</v>
          </cell>
          <cell r="L37" t="str">
            <v>YWC-UMT06</v>
          </cell>
          <cell r="M37" t="str">
            <v>YWC-UMT05</v>
          </cell>
          <cell r="W37" t="str">
            <v xml:space="preserve">YWC: UTILITIES MAINT </v>
          </cell>
        </row>
        <row r="38">
          <cell r="B38" t="str">
            <v>HSS</v>
          </cell>
          <cell r="G38" t="str">
            <v>HSS-EGW-11</v>
          </cell>
          <cell r="H38" t="str">
            <v>HSS-EGW-10</v>
          </cell>
          <cell r="I38" t="str">
            <v>HSS-EGW-09</v>
          </cell>
          <cell r="J38" t="str">
            <v>HSS-EGW-08</v>
          </cell>
          <cell r="K38" t="str">
            <v>HSS-EGW-07</v>
          </cell>
          <cell r="L38" t="str">
            <v>HSS-EGW-06</v>
          </cell>
          <cell r="M38" t="str">
            <v>HSS-EGW-05</v>
          </cell>
          <cell r="N38" t="str">
            <v>SWO003169</v>
          </cell>
          <cell r="O38" t="str">
            <v>SWO000817</v>
          </cell>
          <cell r="P38" t="str">
            <v>SWO000817</v>
          </cell>
          <cell r="Q38" t="str">
            <v>SWO000817</v>
          </cell>
          <cell r="R38" t="str">
            <v>SWO000817</v>
          </cell>
          <cell r="S38">
            <v>22343</v>
          </cell>
          <cell r="T38" t="str">
            <v>0060</v>
          </cell>
          <cell r="U38" t="str">
            <v>HSS</v>
          </cell>
          <cell r="W38" t="str">
            <v>Humanities &amp; Social Science Annex - Electric, Gas &amp; Water</v>
          </cell>
          <cell r="X38" t="str">
            <v>N</v>
          </cell>
          <cell r="Y38" t="str">
            <v>DEMOLISHED 11/30/2008</v>
          </cell>
        </row>
        <row r="39">
          <cell r="A39" t="str">
            <v>LAW: UTILITIES FY15 - GAS/WATER/ELECTRIC</v>
          </cell>
          <cell r="B39" t="str">
            <v>LAW</v>
          </cell>
          <cell r="C39" t="str">
            <v>LAW-EGW</v>
          </cell>
          <cell r="D39" t="str">
            <v>LAW-EGW-14</v>
          </cell>
          <cell r="E39" t="str">
            <v>LAW-EGW-13</v>
          </cell>
          <cell r="F39" t="str">
            <v>LAW-EGW-12</v>
          </cell>
          <cell r="G39" t="str">
            <v>LAW-EGW-11</v>
          </cell>
          <cell r="H39" t="str">
            <v>LAW-EGW-10</v>
          </cell>
          <cell r="I39" t="str">
            <v>LAW-EGW-09</v>
          </cell>
          <cell r="J39" t="str">
            <v>LAW-EGW-08</v>
          </cell>
          <cell r="K39" t="str">
            <v>LAW-EGW-07</v>
          </cell>
          <cell r="L39" t="str">
            <v>LAW-EGW-06</v>
          </cell>
          <cell r="M39" t="str">
            <v>LAW-EGW-05</v>
          </cell>
          <cell r="N39" t="str">
            <v>SWO003184</v>
          </cell>
          <cell r="O39" t="str">
            <v>SWO000818</v>
          </cell>
          <cell r="P39" t="str">
            <v>SWO000818</v>
          </cell>
          <cell r="Q39" t="str">
            <v>SWO000818</v>
          </cell>
          <cell r="R39" t="str">
            <v>SWO000818</v>
          </cell>
          <cell r="S39">
            <v>22344</v>
          </cell>
          <cell r="T39" t="str">
            <v>0070</v>
          </cell>
          <cell r="U39" t="str">
            <v>LAW</v>
          </cell>
          <cell r="W39" t="str">
            <v xml:space="preserve">LAW: UTILITIES G/W/E </v>
          </cell>
          <cell r="X39" t="str">
            <v>N</v>
          </cell>
        </row>
        <row r="40">
          <cell r="A40" t="str">
            <v>LAW: UTILITIES CHILLED WATER FY15</v>
          </cell>
          <cell r="B40" t="str">
            <v>LAW</v>
          </cell>
          <cell r="C40" t="str">
            <v>LAW-UCW</v>
          </cell>
          <cell r="D40" t="str">
            <v>LAW-UCW14</v>
          </cell>
          <cell r="E40" t="str">
            <v>LAW-UCW13</v>
          </cell>
          <cell r="F40" t="str">
            <v>LAW-UCW12</v>
          </cell>
          <cell r="G40" t="str">
            <v>LAW-UCW11</v>
          </cell>
          <cell r="H40" t="str">
            <v>LAW-UCW10</v>
          </cell>
          <cell r="I40" t="str">
            <v>LAW-UCW09</v>
          </cell>
          <cell r="J40" t="str">
            <v>LAW-UCW08</v>
          </cell>
          <cell r="K40" t="str">
            <v>LAW-UCW07</v>
          </cell>
          <cell r="L40" t="str">
            <v>LAW-UCW06</v>
          </cell>
          <cell r="M40" t="str">
            <v>LAW-UCW05</v>
          </cell>
          <cell r="W40" t="str">
            <v xml:space="preserve">LAW: UTILITIES CHILLED WATER </v>
          </cell>
        </row>
        <row r="41">
          <cell r="A41" t="str">
            <v>LAW: UTILITIES DEBT SERVICE FY15</v>
          </cell>
          <cell r="B41" t="str">
            <v>LAW</v>
          </cell>
          <cell r="C41" t="str">
            <v>LAW-UDS</v>
          </cell>
          <cell r="D41" t="str">
            <v>LAW-UDS14</v>
          </cell>
          <cell r="E41" t="str">
            <v>LAW-UDS13</v>
          </cell>
          <cell r="F41" t="str">
            <v>LAW-UDS12</v>
          </cell>
          <cell r="G41" t="str">
            <v>LAW-UDS11</v>
          </cell>
          <cell r="H41" t="str">
            <v>LAW-UDS10</v>
          </cell>
          <cell r="I41" t="str">
            <v>LAW-UDS09</v>
          </cell>
          <cell r="J41" t="str">
            <v>LAW-UDS08</v>
          </cell>
          <cell r="K41" t="str">
            <v>LAW-UDS07</v>
          </cell>
          <cell r="L41" t="str">
            <v>LAW-UDS06</v>
          </cell>
          <cell r="M41" t="str">
            <v>LAW-UDS05</v>
          </cell>
          <cell r="W41" t="str">
            <v xml:space="preserve">LAW: UTILITIES DEBT SERVICE </v>
          </cell>
        </row>
        <row r="42">
          <cell r="A42" t="str">
            <v>LAW: UTILITIES MAINT FY15</v>
          </cell>
          <cell r="B42">
            <v>0</v>
          </cell>
          <cell r="C42" t="str">
            <v>LAW-UMT</v>
          </cell>
          <cell r="D42" t="str">
            <v>LAW-UMT14</v>
          </cell>
          <cell r="E42" t="str">
            <v>LAW-UMT13</v>
          </cell>
          <cell r="F42" t="str">
            <v>LAW-UMT12</v>
          </cell>
          <cell r="G42" t="str">
            <v>LAW-UMT11</v>
          </cell>
          <cell r="H42" t="str">
            <v>LAW-UMT10</v>
          </cell>
          <cell r="I42" t="str">
            <v>LAW-UMT09</v>
          </cell>
          <cell r="J42" t="str">
            <v>LAW-UMT08</v>
          </cell>
          <cell r="K42" t="str">
            <v>LAW-UMT07</v>
          </cell>
          <cell r="L42" t="str">
            <v>LAW-UMT06</v>
          </cell>
          <cell r="M42" t="str">
            <v>LAW-UMT05</v>
          </cell>
          <cell r="W42" t="str">
            <v xml:space="preserve">LAW: UTILITIES MAINT </v>
          </cell>
        </row>
        <row r="43">
          <cell r="A43" t="str">
            <v>LAW1: UTILITIES FY15 - ELECTRIC ONLY</v>
          </cell>
          <cell r="B43" t="str">
            <v>LAW1</v>
          </cell>
          <cell r="C43" t="str">
            <v>LAW1-EL</v>
          </cell>
          <cell r="D43" t="str">
            <v>LAW1-EL-14</v>
          </cell>
          <cell r="E43" t="str">
            <v>LAW1-EL-13</v>
          </cell>
          <cell r="F43" t="str">
            <v>LAW1-EL-12</v>
          </cell>
          <cell r="G43" t="str">
            <v>LAW1-EL-11</v>
          </cell>
          <cell r="H43" t="str">
            <v>LAW1-EL-10</v>
          </cell>
          <cell r="I43" t="str">
            <v>LAW1-EL-09</v>
          </cell>
          <cell r="J43" t="str">
            <v>LAW1-EL-08</v>
          </cell>
          <cell r="K43" t="str">
            <v>LAW1-EL-07</v>
          </cell>
          <cell r="L43" t="str">
            <v>LAW1-EL-06</v>
          </cell>
          <cell r="M43" t="str">
            <v>LAW1-EL-05</v>
          </cell>
          <cell r="N43" t="str">
            <v>SWO003185</v>
          </cell>
          <cell r="O43" t="str">
            <v>SWO001030</v>
          </cell>
          <cell r="P43" t="str">
            <v>SWO001030</v>
          </cell>
          <cell r="Q43" t="str">
            <v>SWO001030</v>
          </cell>
          <cell r="R43" t="str">
            <v>SWO001030</v>
          </cell>
          <cell r="S43">
            <v>27862</v>
          </cell>
          <cell r="T43" t="str">
            <v>0071</v>
          </cell>
          <cell r="U43" t="str">
            <v>LAW1</v>
          </cell>
          <cell r="W43" t="str">
            <v>Law Center Plant - Electric</v>
          </cell>
          <cell r="X43" t="str">
            <v>N</v>
          </cell>
        </row>
        <row r="44">
          <cell r="A44" t="str">
            <v>LAW1: CHILLER PM FY15 - EQUIPMENT, 800149</v>
          </cell>
          <cell r="C44">
            <v>0</v>
          </cell>
          <cell r="E44">
            <v>0</v>
          </cell>
          <cell r="G44">
            <v>0</v>
          </cell>
          <cell r="J44" t="str">
            <v>SWO014804</v>
          </cell>
          <cell r="K44" t="str">
            <v>SWO012327</v>
          </cell>
          <cell r="T44" t="str">
            <v>0071</v>
          </cell>
          <cell r="W44" t="str">
            <v>LAW1: CHILLER PM FY07 - EQUIPMENT, 800149</v>
          </cell>
        </row>
        <row r="45">
          <cell r="A45" t="str">
            <v>BRI: UTILITIES FY15 - GAS/WATER/ELECTRIC</v>
          </cell>
          <cell r="B45" t="str">
            <v>BRI</v>
          </cell>
          <cell r="C45" t="str">
            <v>BRI-EGW</v>
          </cell>
          <cell r="D45" t="str">
            <v>BRI-EGW-14</v>
          </cell>
          <cell r="E45" t="str">
            <v>BRI-EGW-13</v>
          </cell>
          <cell r="F45" t="str">
            <v>BRI-EGW-12</v>
          </cell>
          <cell r="G45" t="str">
            <v>BRI-EGW-11</v>
          </cell>
          <cell r="H45" t="str">
            <v>BRI-EGW-10</v>
          </cell>
          <cell r="I45" t="str">
            <v>BRI-EGW-09</v>
          </cell>
          <cell r="J45" t="str">
            <v>BRI-EGW-08</v>
          </cell>
          <cell r="K45" t="str">
            <v>BRI-EGW-07</v>
          </cell>
          <cell r="L45" t="str">
            <v>BRI-EGW-06</v>
          </cell>
          <cell r="M45" t="str">
            <v>BRI-EGW-05</v>
          </cell>
          <cell r="N45" t="str">
            <v>SWO003106</v>
          </cell>
          <cell r="O45" t="str">
            <v>SWO000819</v>
          </cell>
          <cell r="P45" t="str">
            <v>SWO000819</v>
          </cell>
          <cell r="Q45" t="str">
            <v>SWO000819</v>
          </cell>
          <cell r="R45" t="str">
            <v>SWO000819</v>
          </cell>
          <cell r="S45">
            <v>22345</v>
          </cell>
          <cell r="T45" t="str">
            <v>0080</v>
          </cell>
          <cell r="U45" t="str">
            <v>BRI</v>
          </cell>
          <cell r="W45" t="str">
            <v xml:space="preserve">BRI: UTILITIES G/W/E </v>
          </cell>
          <cell r="X45" t="str">
            <v>N</v>
          </cell>
        </row>
        <row r="46">
          <cell r="A46" t="str">
            <v>BRI: UTILITIES CHILLED WATER FY15</v>
          </cell>
          <cell r="B46" t="str">
            <v>BRI</v>
          </cell>
          <cell r="C46" t="str">
            <v>BRI-UCW</v>
          </cell>
          <cell r="D46" t="str">
            <v>BRI-UCW14</v>
          </cell>
          <cell r="E46" t="str">
            <v>BRI-UCW13</v>
          </cell>
          <cell r="F46" t="str">
            <v>BRI-UCW12</v>
          </cell>
          <cell r="G46" t="str">
            <v>BRI-UCW11</v>
          </cell>
          <cell r="H46" t="str">
            <v>BRI-UCW10</v>
          </cell>
          <cell r="I46" t="str">
            <v>BRI-UCW09</v>
          </cell>
          <cell r="J46" t="str">
            <v>BRI-UCW08</v>
          </cell>
          <cell r="K46" t="str">
            <v>BRI-UCW07</v>
          </cell>
          <cell r="L46" t="str">
            <v>BRI-UCW06</v>
          </cell>
          <cell r="M46" t="str">
            <v>BRI-UCW05</v>
          </cell>
          <cell r="W46" t="str">
            <v xml:space="preserve">BRI: UTILITIES CHILLED WATER </v>
          </cell>
        </row>
        <row r="47">
          <cell r="A47" t="str">
            <v>BRI: UTILITIES DEBT SERVICE FY15</v>
          </cell>
          <cell r="B47" t="str">
            <v>BRI</v>
          </cell>
          <cell r="C47" t="str">
            <v>BRI-UDS</v>
          </cell>
          <cell r="D47" t="str">
            <v>BRI-UDS14</v>
          </cell>
          <cell r="E47" t="str">
            <v>BRI-UDS13</v>
          </cell>
          <cell r="F47" t="str">
            <v>BRI-UDS12</v>
          </cell>
          <cell r="G47" t="str">
            <v>BRI-UDS11</v>
          </cell>
          <cell r="H47" t="str">
            <v>BRI-UDS10</v>
          </cell>
          <cell r="I47" t="str">
            <v>BRI-UDS09</v>
          </cell>
          <cell r="J47" t="str">
            <v>BRI-UDS08</v>
          </cell>
          <cell r="K47" t="str">
            <v>BRI-UDS07</v>
          </cell>
          <cell r="L47" t="str">
            <v>BRI-UDS06</v>
          </cell>
          <cell r="M47" t="str">
            <v>BRI-UDS05</v>
          </cell>
          <cell r="W47" t="str">
            <v xml:space="preserve">BRI: UTILITIES DEBT SERVICE </v>
          </cell>
        </row>
        <row r="48">
          <cell r="A48" t="str">
            <v>BRI: UTILITIES MAINT FY15</v>
          </cell>
          <cell r="B48">
            <v>0</v>
          </cell>
          <cell r="C48" t="str">
            <v>BRI-UMT</v>
          </cell>
          <cell r="D48" t="str">
            <v>BRI-UMT14</v>
          </cell>
          <cell r="E48" t="str">
            <v>BRI-UMT13</v>
          </cell>
          <cell r="F48" t="str">
            <v>BRI-UMT12</v>
          </cell>
          <cell r="G48" t="str">
            <v>BRI-UMT11</v>
          </cell>
          <cell r="H48" t="str">
            <v>BRI-UMT10</v>
          </cell>
          <cell r="I48" t="str">
            <v>BRI-UMT09</v>
          </cell>
          <cell r="J48" t="str">
            <v>BRI-UMT08</v>
          </cell>
          <cell r="K48" t="str">
            <v>BRI-UMT07</v>
          </cell>
          <cell r="L48" t="str">
            <v>BRI-UMT06</v>
          </cell>
          <cell r="M48" t="str">
            <v>BRI-UMT05</v>
          </cell>
          <cell r="W48" t="str">
            <v xml:space="preserve">BRI: UTILITIES MAINT </v>
          </cell>
        </row>
        <row r="49">
          <cell r="B49" t="str">
            <v>POB</v>
          </cell>
          <cell r="I49">
            <v>0</v>
          </cell>
          <cell r="J49" t="str">
            <v>POB-EGW-08</v>
          </cell>
          <cell r="K49" t="str">
            <v>POB-EGW-07</v>
          </cell>
          <cell r="L49" t="str">
            <v>POB-EGW-06</v>
          </cell>
          <cell r="M49" t="str">
            <v>POB-EGW-05</v>
          </cell>
          <cell r="N49" t="str">
            <v>SWO003221</v>
          </cell>
          <cell r="O49" t="str">
            <v>SWO000820</v>
          </cell>
          <cell r="P49" t="str">
            <v>SWO000820</v>
          </cell>
          <cell r="Q49" t="str">
            <v>SWO000820</v>
          </cell>
          <cell r="R49" t="str">
            <v>SWO000820</v>
          </cell>
          <cell r="S49">
            <v>22346</v>
          </cell>
          <cell r="T49" t="str">
            <v>0090</v>
          </cell>
          <cell r="U49" t="str">
            <v>POB</v>
          </cell>
          <cell r="W49" t="str">
            <v>POB: UTILITIES G/W/E (CLOSED 2/11/07)</v>
          </cell>
          <cell r="X49" t="str">
            <v>N</v>
          </cell>
        </row>
        <row r="50">
          <cell r="A50" t="str">
            <v>CEM: UTILITIES FY15 - GAS/WATER/ELECTRIC</v>
          </cell>
          <cell r="B50" t="str">
            <v>CEM</v>
          </cell>
          <cell r="C50" t="str">
            <v>CEM-EGW</v>
          </cell>
          <cell r="D50" t="str">
            <v>CEM-EGW-14</v>
          </cell>
          <cell r="E50" t="str">
            <v>CEM-EGW-13</v>
          </cell>
          <cell r="F50" t="str">
            <v>CEM-EGW-12</v>
          </cell>
          <cell r="G50" t="str">
            <v>CEM-EGW-11</v>
          </cell>
          <cell r="H50" t="str">
            <v>CEM-EGW-10</v>
          </cell>
          <cell r="I50" t="str">
            <v>CEM-EGW-09</v>
          </cell>
          <cell r="J50" t="str">
            <v>CEM-EGW-08</v>
          </cell>
          <cell r="K50" t="str">
            <v>CEM-EGW-07</v>
          </cell>
          <cell r="L50" t="str">
            <v>CEM-EGW-06</v>
          </cell>
          <cell r="M50" t="str">
            <v>CEM-EGW-05</v>
          </cell>
          <cell r="N50" t="str">
            <v>SWO003111</v>
          </cell>
          <cell r="O50" t="str">
            <v>SWO000821</v>
          </cell>
          <cell r="P50" t="str">
            <v>SWO000821</v>
          </cell>
          <cell r="Q50" t="str">
            <v>SWO000821</v>
          </cell>
          <cell r="R50" t="str">
            <v>SWO000821</v>
          </cell>
          <cell r="S50">
            <v>22347</v>
          </cell>
          <cell r="T50" t="str">
            <v>0100</v>
          </cell>
          <cell r="U50" t="str">
            <v>CEM</v>
          </cell>
          <cell r="W50" t="str">
            <v xml:space="preserve">CEM: UTILITIES G/W/E </v>
          </cell>
          <cell r="X50" t="str">
            <v>N</v>
          </cell>
        </row>
        <row r="51">
          <cell r="A51" t="str">
            <v>CEM: UTILITIES CHILLED WATER FY15</v>
          </cell>
          <cell r="B51" t="str">
            <v>CEM</v>
          </cell>
          <cell r="C51" t="str">
            <v>CEM-UCW</v>
          </cell>
          <cell r="D51" t="str">
            <v>CEM-UCW14</v>
          </cell>
          <cell r="E51" t="str">
            <v>CEM-UCW13</v>
          </cell>
          <cell r="F51" t="str">
            <v>CEM-UCW12</v>
          </cell>
          <cell r="G51" t="str">
            <v>CEM-UCW11</v>
          </cell>
          <cell r="H51" t="str">
            <v>CEM-UCW10</v>
          </cell>
          <cell r="I51" t="str">
            <v>CEM-UCW09</v>
          </cell>
          <cell r="J51" t="str">
            <v>CEM-UCW08</v>
          </cell>
          <cell r="K51" t="str">
            <v>CEM-UCW07</v>
          </cell>
          <cell r="L51" t="str">
            <v>CEM-UCW06</v>
          </cell>
          <cell r="M51" t="str">
            <v>CEM-UCW05</v>
          </cell>
          <cell r="W51" t="str">
            <v xml:space="preserve">CEM: UTILITIES CHILLED WATER </v>
          </cell>
        </row>
        <row r="52">
          <cell r="A52" t="str">
            <v>CEM: UTILITIES DEBT SERVICE FY15</v>
          </cell>
          <cell r="B52" t="str">
            <v>CEM</v>
          </cell>
          <cell r="C52" t="str">
            <v>CEM-UDS</v>
          </cell>
          <cell r="D52" t="str">
            <v>CEM-UDS14</v>
          </cell>
          <cell r="E52" t="str">
            <v>CEM-UDS13</v>
          </cell>
          <cell r="F52" t="str">
            <v>CEM-UDS12</v>
          </cell>
          <cell r="G52" t="str">
            <v>CEM-UDS11</v>
          </cell>
          <cell r="H52" t="str">
            <v>CEM-UDS10</v>
          </cell>
          <cell r="I52" t="str">
            <v>CEM-UDS09</v>
          </cell>
          <cell r="J52" t="str">
            <v>CEM-UDS08</v>
          </cell>
          <cell r="K52" t="str">
            <v>CEM-UDS07</v>
          </cell>
          <cell r="L52" t="str">
            <v>CEM-UDS06</v>
          </cell>
          <cell r="M52" t="str">
            <v>CEM-UDS05</v>
          </cell>
          <cell r="W52" t="str">
            <v xml:space="preserve">CEM: UTILITIES DEBT SERVICE </v>
          </cell>
        </row>
        <row r="53">
          <cell r="A53" t="str">
            <v>CEM: UTILITIES MAINT FY15</v>
          </cell>
          <cell r="B53">
            <v>0</v>
          </cell>
          <cell r="C53" t="str">
            <v>CEM-UMT</v>
          </cell>
          <cell r="D53" t="str">
            <v>CEM-UMT14</v>
          </cell>
          <cell r="E53" t="str">
            <v>CEM-UMT13</v>
          </cell>
          <cell r="F53" t="str">
            <v>CEM-UMT12</v>
          </cell>
          <cell r="G53" t="str">
            <v>CEM-UMT11</v>
          </cell>
          <cell r="H53" t="str">
            <v>CEM-UMT10</v>
          </cell>
          <cell r="I53" t="str">
            <v>CEM-UMT09</v>
          </cell>
          <cell r="J53" t="str">
            <v>CEM-UMT08</v>
          </cell>
          <cell r="K53" t="str">
            <v>CEM-UMT07</v>
          </cell>
          <cell r="L53" t="str">
            <v>CEM-UMT06</v>
          </cell>
          <cell r="M53" t="str">
            <v>CEM-UMT05</v>
          </cell>
          <cell r="W53" t="str">
            <v xml:space="preserve">CEM: UTILITIES MAINT </v>
          </cell>
        </row>
        <row r="54">
          <cell r="A54" t="str">
            <v>CCC: UTILITIES FY15 - GAS/WATER/ELECTRIC</v>
          </cell>
          <cell r="B54" t="str">
            <v>CCC</v>
          </cell>
          <cell r="C54" t="str">
            <v>CCC-EGW</v>
          </cell>
          <cell r="D54" t="str">
            <v>CCC-EGW-14</v>
          </cell>
          <cell r="E54" t="str">
            <v>CCC-EGW-13</v>
          </cell>
          <cell r="F54" t="str">
            <v>CCC-EGW-12</v>
          </cell>
          <cell r="G54" t="str">
            <v>CCC-EGW-11</v>
          </cell>
          <cell r="H54" t="str">
            <v>CCC-EGW-10</v>
          </cell>
          <cell r="I54" t="str">
            <v>CCC-EGW-09</v>
          </cell>
          <cell r="J54" t="str">
            <v>CCC-EGW-08</v>
          </cell>
          <cell r="K54" t="str">
            <v>CCC-EGW-07</v>
          </cell>
          <cell r="L54" t="str">
            <v>CCC-EGW-06</v>
          </cell>
          <cell r="M54" t="str">
            <v>CCC-EGW-05</v>
          </cell>
          <cell r="N54" t="str">
            <v>SWO003387</v>
          </cell>
          <cell r="O54" t="str">
            <v>SWO001830</v>
          </cell>
          <cell r="P54" t="str">
            <v>SWO001830</v>
          </cell>
          <cell r="T54" t="str">
            <v>0120</v>
          </cell>
          <cell r="U54" t="str">
            <v>CCC</v>
          </cell>
          <cell r="V54" t="str">
            <v>HSC</v>
          </cell>
          <cell r="W54" t="str">
            <v xml:space="preserve">CCC: UTILITIES G/W/E </v>
          </cell>
          <cell r="X54" t="str">
            <v>N</v>
          </cell>
        </row>
        <row r="55">
          <cell r="A55" t="str">
            <v>CCC: UTILITIES CHILLED WATER FY15</v>
          </cell>
          <cell r="B55" t="str">
            <v>CCC</v>
          </cell>
          <cell r="C55" t="str">
            <v>CCC-UCW</v>
          </cell>
          <cell r="D55" t="str">
            <v>CCC-UCW14</v>
          </cell>
          <cell r="E55" t="str">
            <v>CCC-UCW13</v>
          </cell>
          <cell r="F55" t="str">
            <v>CCC-UCW12</v>
          </cell>
          <cell r="G55" t="str">
            <v>CCC-UCW11</v>
          </cell>
          <cell r="H55" t="str">
            <v>CCC-UCW10</v>
          </cell>
          <cell r="I55" t="str">
            <v>CCC-UCW09</v>
          </cell>
          <cell r="J55" t="str">
            <v>CCC-UCW08</v>
          </cell>
          <cell r="K55" t="str">
            <v>CCC-UCW07</v>
          </cell>
          <cell r="L55" t="str">
            <v>CCC-UCW06</v>
          </cell>
          <cell r="M55" t="str">
            <v>CCC-UCW05</v>
          </cell>
          <cell r="W55" t="str">
            <v xml:space="preserve">CCC: UTILITIES CHILLED WATER </v>
          </cell>
        </row>
        <row r="56">
          <cell r="A56" t="str">
            <v>CCC: UTILITIES DEBT SERVICE FY15</v>
          </cell>
          <cell r="B56" t="str">
            <v>CCC</v>
          </cell>
          <cell r="C56" t="str">
            <v>CCC-UDS</v>
          </cell>
          <cell r="D56" t="str">
            <v>CCC-UDS14</v>
          </cell>
          <cell r="E56" t="str">
            <v>CCC-UDS13</v>
          </cell>
          <cell r="F56" t="str">
            <v>CCC-UDS12</v>
          </cell>
          <cell r="G56" t="str">
            <v>CCC-UDS11</v>
          </cell>
          <cell r="H56" t="str">
            <v>CCC-UDS10</v>
          </cell>
          <cell r="I56" t="str">
            <v>CCC-UDS09</v>
          </cell>
          <cell r="J56" t="str">
            <v>CCC-UDS08</v>
          </cell>
          <cell r="K56" t="str">
            <v>CCC-UDS07</v>
          </cell>
          <cell r="L56" t="str">
            <v>CCC-UDS06</v>
          </cell>
          <cell r="M56" t="str">
            <v>CCC-UDS05</v>
          </cell>
          <cell r="W56" t="str">
            <v xml:space="preserve">CCC: UTILITIES DEBT SERVICE </v>
          </cell>
        </row>
        <row r="57">
          <cell r="A57" t="str">
            <v>CCC: UTILITIES MAINT FY15</v>
          </cell>
          <cell r="B57">
            <v>0</v>
          </cell>
          <cell r="C57" t="str">
            <v>CCC-UMT</v>
          </cell>
          <cell r="D57" t="str">
            <v>CCC-UMT14</v>
          </cell>
          <cell r="E57" t="str">
            <v>CCC-UMT13</v>
          </cell>
          <cell r="F57" t="str">
            <v>CCC-UMT12</v>
          </cell>
          <cell r="G57" t="str">
            <v>CCC-UMT11</v>
          </cell>
          <cell r="H57" t="str">
            <v>CCC-UMT10</v>
          </cell>
          <cell r="I57" t="str">
            <v>CCC-UMT09</v>
          </cell>
          <cell r="J57" t="str">
            <v>CCC-UMT08</v>
          </cell>
          <cell r="K57" t="str">
            <v>CCC-UMT07</v>
          </cell>
          <cell r="L57" t="str">
            <v>CCC-UMT06</v>
          </cell>
          <cell r="M57" t="str">
            <v>CCC-UMT05</v>
          </cell>
          <cell r="W57" t="str">
            <v xml:space="preserve">CCC: UTILITIES MAINT </v>
          </cell>
        </row>
        <row r="58">
          <cell r="B58" t="str">
            <v>COM</v>
          </cell>
          <cell r="G58" t="str">
            <v>COM1-ELC11</v>
          </cell>
          <cell r="H58" t="str">
            <v>COM1-ELC10</v>
          </cell>
          <cell r="I58" t="str">
            <v>COM1-ELC09</v>
          </cell>
          <cell r="J58" t="str">
            <v>COM1-ELC08</v>
          </cell>
          <cell r="K58" t="str">
            <v>COM1-ELC07</v>
          </cell>
          <cell r="L58" t="str">
            <v>SWO008975</v>
          </cell>
          <cell r="M58" t="str">
            <v>SWO006037</v>
          </cell>
          <cell r="N58" t="str">
            <v>SWO003398</v>
          </cell>
          <cell r="O58" t="str">
            <v>SWO002528</v>
          </cell>
          <cell r="P58" t="str">
            <v>SWO001779</v>
          </cell>
          <cell r="Q58" t="str">
            <v>SWO001277</v>
          </cell>
          <cell r="R58" t="str">
            <v>SWO000822</v>
          </cell>
          <cell r="S58">
            <v>22348</v>
          </cell>
          <cell r="T58" t="str">
            <v>0131</v>
          </cell>
          <cell r="U58" t="str">
            <v>COM</v>
          </cell>
          <cell r="W58" t="str">
            <v>Commons - Electric</v>
          </cell>
          <cell r="X58" t="str">
            <v>Y</v>
          </cell>
          <cell r="Y58" t="str">
            <v>17-8200-0210</v>
          </cell>
          <cell r="Z58">
            <v>20215</v>
          </cell>
        </row>
        <row r="59">
          <cell r="A59" t="str">
            <v>AHN: UTILITIES FY15 - ELECTRIC</v>
          </cell>
          <cell r="B59" t="str">
            <v>AHN</v>
          </cell>
          <cell r="C59" t="str">
            <v>AHN-ELC</v>
          </cell>
          <cell r="D59" t="str">
            <v>AHN-ELC-14</v>
          </cell>
          <cell r="E59" t="str">
            <v>AHN-ELC-13</v>
          </cell>
          <cell r="F59" t="str">
            <v>AHN-ELC-12</v>
          </cell>
          <cell r="G59" t="str">
            <v>AHN-ELC-11</v>
          </cell>
          <cell r="H59" t="str">
            <v>AHN-ELC-10</v>
          </cell>
          <cell r="I59" t="str">
            <v>AHN-ELC-09</v>
          </cell>
          <cell r="J59" t="str">
            <v>AHN-ELC-08</v>
          </cell>
          <cell r="K59" t="str">
            <v>AHN-ELC-07</v>
          </cell>
          <cell r="L59" t="str">
            <v>AHN-ELC-06</v>
          </cell>
          <cell r="T59" t="str">
            <v>0140</v>
          </cell>
          <cell r="U59" t="str">
            <v>AHN</v>
          </cell>
          <cell r="W59" t="str">
            <v>AHN: UTILITIES - ELECTRIC</v>
          </cell>
          <cell r="X59" t="str">
            <v>N</v>
          </cell>
        </row>
        <row r="60">
          <cell r="A60" t="str">
            <v>AHN: UTILITIES FY15 - GAS</v>
          </cell>
          <cell r="B60" t="str">
            <v>AHN</v>
          </cell>
          <cell r="C60" t="str">
            <v>AHN-GAS</v>
          </cell>
          <cell r="D60" t="str">
            <v>AHN-GAS-14</v>
          </cell>
          <cell r="E60" t="str">
            <v>AHN-GAS-13</v>
          </cell>
          <cell r="F60" t="str">
            <v>AHN-GAS-12</v>
          </cell>
          <cell r="G60" t="str">
            <v>AHN-GAS-11</v>
          </cell>
          <cell r="H60" t="str">
            <v>AHN-GAS-10</v>
          </cell>
          <cell r="I60" t="str">
            <v>AHN-GAS-09</v>
          </cell>
          <cell r="J60" t="str">
            <v>AHN-GAS-08</v>
          </cell>
          <cell r="K60" t="str">
            <v>AHN-GAS-07</v>
          </cell>
          <cell r="L60" t="str">
            <v>AHN-GAS-06</v>
          </cell>
          <cell r="T60" t="str">
            <v>0140</v>
          </cell>
          <cell r="U60" t="str">
            <v>AHN</v>
          </cell>
          <cell r="W60" t="str">
            <v>AHN: UTILITIES - GAS</v>
          </cell>
          <cell r="X60" t="str">
            <v>N</v>
          </cell>
        </row>
        <row r="61">
          <cell r="A61" t="str">
            <v>AHN: UTILITIES FY15 - WATER</v>
          </cell>
          <cell r="B61" t="str">
            <v>AHN</v>
          </cell>
          <cell r="C61" t="str">
            <v>AHN-WTR</v>
          </cell>
          <cell r="D61" t="str">
            <v>AHN-WTR-14</v>
          </cell>
          <cell r="E61" t="str">
            <v>AHN-WTR-13</v>
          </cell>
          <cell r="F61" t="str">
            <v>AHN-WTR-12</v>
          </cell>
          <cell r="G61" t="str">
            <v>AHN-WTR-11</v>
          </cell>
          <cell r="H61" t="str">
            <v>AHN-WTR-10</v>
          </cell>
          <cell r="I61" t="str">
            <v>AHN-WTR-09</v>
          </cell>
          <cell r="J61" t="str">
            <v>AHN-WTR-08</v>
          </cell>
          <cell r="K61" t="str">
            <v>AHN-WTR-07</v>
          </cell>
          <cell r="L61" t="str">
            <v>AHN-WTR-06</v>
          </cell>
          <cell r="T61" t="str">
            <v>0140</v>
          </cell>
          <cell r="U61" t="str">
            <v>AHN</v>
          </cell>
          <cell r="W61" t="str">
            <v>AHN: UTILITIES - WATER</v>
          </cell>
          <cell r="X61" t="str">
            <v>N</v>
          </cell>
        </row>
        <row r="62">
          <cell r="A62" t="str">
            <v>AHN: UTILITIES CHILLED WATER FY15</v>
          </cell>
          <cell r="B62" t="str">
            <v>AHN</v>
          </cell>
          <cell r="C62" t="str">
            <v>AHN-UCW</v>
          </cell>
          <cell r="D62" t="str">
            <v>AHN-UCW14</v>
          </cell>
          <cell r="E62" t="str">
            <v>AHN-UCW13</v>
          </cell>
          <cell r="F62" t="str">
            <v>AHN-UCW12</v>
          </cell>
          <cell r="G62" t="str">
            <v>AHN-UCW11</v>
          </cell>
          <cell r="H62" t="str">
            <v>AHN-UCW10</v>
          </cell>
          <cell r="I62" t="str">
            <v>AHN-UCW09</v>
          </cell>
          <cell r="J62" t="str">
            <v>AHN-UCW08</v>
          </cell>
          <cell r="K62" t="str">
            <v>AHN-UCW07</v>
          </cell>
          <cell r="L62" t="str">
            <v>AHN-UCW06</v>
          </cell>
          <cell r="M62" t="str">
            <v>ABT-UCW05</v>
          </cell>
          <cell r="W62" t="str">
            <v xml:space="preserve">AHN: UTILITIES CHILLED WATER </v>
          </cell>
        </row>
        <row r="63">
          <cell r="A63" t="str">
            <v>AHN: UTILITIES DEBT SERVICE FY15</v>
          </cell>
          <cell r="B63" t="str">
            <v>AHN</v>
          </cell>
          <cell r="C63" t="str">
            <v>AHN-UDS</v>
          </cell>
          <cell r="D63" t="str">
            <v>AHN-UDS14</v>
          </cell>
          <cell r="E63" t="str">
            <v>AHN-UDS13</v>
          </cell>
          <cell r="F63" t="str">
            <v>AHN-UDS12</v>
          </cell>
          <cell r="G63" t="str">
            <v>AHN-UDS11</v>
          </cell>
          <cell r="H63" t="str">
            <v>AHN-UDS10</v>
          </cell>
          <cell r="I63" t="str">
            <v>AHN-UDS09</v>
          </cell>
          <cell r="J63" t="str">
            <v>AHN-UDS08</v>
          </cell>
          <cell r="K63" t="str">
            <v>AHN-UDS07</v>
          </cell>
          <cell r="L63" t="str">
            <v>AHN-UDS06</v>
          </cell>
          <cell r="M63" t="str">
            <v>ABT-UDS05</v>
          </cell>
          <cell r="W63" t="str">
            <v xml:space="preserve">AHN: UTILITIES DEBT SERVICE </v>
          </cell>
        </row>
        <row r="64">
          <cell r="A64" t="str">
            <v>AHN: UTILITIES MAINT FY15</v>
          </cell>
          <cell r="B64">
            <v>0</v>
          </cell>
          <cell r="C64" t="str">
            <v>AHN-UMT</v>
          </cell>
          <cell r="D64" t="str">
            <v>AHN-UMT14</v>
          </cell>
          <cell r="E64" t="str">
            <v>AHN-UMT13</v>
          </cell>
          <cell r="F64" t="str">
            <v>AHN-UMT12</v>
          </cell>
          <cell r="G64" t="str">
            <v>AHN-UMT11</v>
          </cell>
          <cell r="H64" t="str">
            <v>AHN-UMT10</v>
          </cell>
          <cell r="I64" t="str">
            <v>AHN-UMT09</v>
          </cell>
          <cell r="J64" t="str">
            <v>AHN-UMT08</v>
          </cell>
          <cell r="K64" t="str">
            <v>AHN-UMT07</v>
          </cell>
          <cell r="L64" t="str">
            <v>AHN-UMT06</v>
          </cell>
          <cell r="M64" t="str">
            <v>ABT-UMT05</v>
          </cell>
          <cell r="W64" t="str">
            <v xml:space="preserve">AHN: UTILITIES MAINT </v>
          </cell>
        </row>
        <row r="65">
          <cell r="A65" t="str">
            <v>CAS: UTILITIES FY15 - GAS/WATER/ELECTRIC</v>
          </cell>
          <cell r="B65" t="str">
            <v>CAS</v>
          </cell>
          <cell r="C65" t="str">
            <v>CAS-EGW</v>
          </cell>
          <cell r="D65" t="str">
            <v>CAS-EGW-14</v>
          </cell>
          <cell r="E65" t="str">
            <v>CAS-EGW-13</v>
          </cell>
          <cell r="F65" t="str">
            <v>CAS-EGW-12</v>
          </cell>
          <cell r="G65" t="str">
            <v>CAS-EGW-11</v>
          </cell>
          <cell r="H65" t="str">
            <v>CAS-EGW-10</v>
          </cell>
          <cell r="I65" t="str">
            <v>CAS-EGW-09</v>
          </cell>
          <cell r="J65" t="str">
            <v>CAS-EGW-08</v>
          </cell>
          <cell r="K65" t="str">
            <v>CAS-EGW-07</v>
          </cell>
          <cell r="L65" t="str">
            <v>CAS-EGW-06</v>
          </cell>
          <cell r="M65" t="str">
            <v>CAS-EGW-05</v>
          </cell>
          <cell r="N65" t="str">
            <v>SWO003109</v>
          </cell>
          <cell r="O65" t="str">
            <v>SWO000827</v>
          </cell>
          <cell r="P65" t="str">
            <v>SWO000827</v>
          </cell>
          <cell r="Q65" t="str">
            <v>SWO000827</v>
          </cell>
          <cell r="R65" t="str">
            <v>SWO000827</v>
          </cell>
          <cell r="S65">
            <v>22360</v>
          </cell>
          <cell r="T65" t="str">
            <v>0150</v>
          </cell>
          <cell r="U65" t="str">
            <v>CAS</v>
          </cell>
          <cell r="W65" t="str">
            <v xml:space="preserve">CAS: UTILITIES G/W/E </v>
          </cell>
          <cell r="X65" t="str">
            <v>N</v>
          </cell>
        </row>
        <row r="66">
          <cell r="A66" t="str">
            <v>CAS: UTILITIES CHILLED WATER FY15</v>
          </cell>
          <cell r="B66" t="str">
            <v>CAS</v>
          </cell>
          <cell r="C66" t="str">
            <v>CAS-UCW</v>
          </cell>
          <cell r="D66" t="str">
            <v>CAS-UCW14</v>
          </cell>
          <cell r="E66" t="str">
            <v>CAS-UCW13</v>
          </cell>
          <cell r="F66" t="str">
            <v>CAS-UCW12</v>
          </cell>
          <cell r="G66" t="str">
            <v>CAS-UCW11</v>
          </cell>
          <cell r="H66" t="str">
            <v>CAS-UCW10</v>
          </cell>
          <cell r="I66" t="str">
            <v>CAS-UCW09</v>
          </cell>
          <cell r="J66" t="str">
            <v>CAS-UCW08</v>
          </cell>
          <cell r="K66" t="str">
            <v>CAS-UCW07</v>
          </cell>
          <cell r="L66" t="str">
            <v>CAS-UCW06</v>
          </cell>
          <cell r="M66" t="str">
            <v>CAS-UCW05</v>
          </cell>
          <cell r="W66" t="str">
            <v xml:space="preserve">CAS: UTILITIES CHILLED WATER </v>
          </cell>
        </row>
        <row r="67">
          <cell r="A67" t="str">
            <v>CAS: UTILITIES DEBT SERVICE FY15</v>
          </cell>
          <cell r="B67" t="str">
            <v>CAS</v>
          </cell>
          <cell r="C67" t="str">
            <v>CAS-UDS</v>
          </cell>
          <cell r="D67" t="str">
            <v>CAS-UDS14</v>
          </cell>
          <cell r="E67" t="str">
            <v>CAS-UDS13</v>
          </cell>
          <cell r="F67" t="str">
            <v>CAS-UDS12</v>
          </cell>
          <cell r="G67" t="str">
            <v>CAS-UDS11</v>
          </cell>
          <cell r="H67" t="str">
            <v>CAS-UDS10</v>
          </cell>
          <cell r="I67" t="str">
            <v>CAS-UDS09</v>
          </cell>
          <cell r="J67" t="str">
            <v>CAS-UDS08</v>
          </cell>
          <cell r="K67" t="str">
            <v>CAS-UDS07</v>
          </cell>
          <cell r="L67" t="str">
            <v>CAS-UDS06</v>
          </cell>
          <cell r="M67" t="str">
            <v>CAS-UDS05</v>
          </cell>
          <cell r="W67" t="str">
            <v xml:space="preserve">CAS: UTILITIES DEBT SERVICE </v>
          </cell>
        </row>
        <row r="68">
          <cell r="A68" t="str">
            <v>CAS: UTILITIES MAINT FY15</v>
          </cell>
          <cell r="B68">
            <v>0</v>
          </cell>
          <cell r="C68" t="str">
            <v>CAS-UMT</v>
          </cell>
          <cell r="D68" t="str">
            <v>CAS-UMT14</v>
          </cell>
          <cell r="E68" t="str">
            <v>CAS-UMT13</v>
          </cell>
          <cell r="F68" t="str">
            <v>CAS-UMT12</v>
          </cell>
          <cell r="G68" t="str">
            <v>CAS-UMT11</v>
          </cell>
          <cell r="H68" t="str">
            <v>CAS-UMT10</v>
          </cell>
          <cell r="I68" t="str">
            <v>CAS-UMT09</v>
          </cell>
          <cell r="J68" t="str">
            <v>CAS-UMT08</v>
          </cell>
          <cell r="K68" t="str">
            <v>CAS-UMT07</v>
          </cell>
          <cell r="L68" t="str">
            <v>CAS-UMT06</v>
          </cell>
          <cell r="M68" t="str">
            <v>CAS-UMT05</v>
          </cell>
          <cell r="W68" t="str">
            <v xml:space="preserve">CAS: UTILITIES MAINT </v>
          </cell>
        </row>
        <row r="69">
          <cell r="A69" t="str">
            <v>HER: UTILITIES FY15 - GAS/WATER/ELECTRIC</v>
          </cell>
          <cell r="B69" t="str">
            <v>HER</v>
          </cell>
          <cell r="C69" t="str">
            <v>HER-EGW</v>
          </cell>
          <cell r="D69" t="str">
            <v>HER-EGW-14</v>
          </cell>
          <cell r="E69" t="str">
            <v>HER-EGW-13</v>
          </cell>
          <cell r="F69" t="str">
            <v>HER-EGW-12</v>
          </cell>
          <cell r="G69" t="str">
            <v>HER-EGW-11</v>
          </cell>
          <cell r="H69" t="str">
            <v>HER-EGW-10</v>
          </cell>
          <cell r="I69" t="str">
            <v>HER-EGW-09</v>
          </cell>
          <cell r="J69" t="str">
            <v>HER-EGW-08</v>
          </cell>
          <cell r="K69" t="str">
            <v>HER-EGW-07</v>
          </cell>
          <cell r="L69" t="str">
            <v>HER-EGW-06</v>
          </cell>
          <cell r="M69" t="str">
            <v>HER-EGW-05</v>
          </cell>
          <cell r="N69" t="str">
            <v>SWO003160</v>
          </cell>
          <cell r="O69" t="str">
            <v>SWO000828</v>
          </cell>
          <cell r="P69" t="str">
            <v>SWO000828</v>
          </cell>
          <cell r="Q69" t="str">
            <v>SWO000828</v>
          </cell>
          <cell r="R69" t="str">
            <v>SWO000828</v>
          </cell>
          <cell r="S69">
            <v>22361</v>
          </cell>
          <cell r="T69" t="str">
            <v>0160</v>
          </cell>
          <cell r="U69" t="str">
            <v>HER</v>
          </cell>
          <cell r="W69" t="str">
            <v xml:space="preserve">HER: UTILITIES G/W/E </v>
          </cell>
          <cell r="X69" t="str">
            <v>N</v>
          </cell>
        </row>
        <row r="70">
          <cell r="A70" t="str">
            <v>HER: UTILITIES CHILLED WATER FY15</v>
          </cell>
          <cell r="B70" t="str">
            <v>HER</v>
          </cell>
          <cell r="C70" t="str">
            <v>HER-UCW</v>
          </cell>
          <cell r="D70" t="str">
            <v>HER-UCW14</v>
          </cell>
          <cell r="E70" t="str">
            <v>HER-UCW13</v>
          </cell>
          <cell r="F70" t="str">
            <v>HER-UCW12</v>
          </cell>
          <cell r="G70" t="str">
            <v>HER-UCW11</v>
          </cell>
          <cell r="H70" t="str">
            <v>HER-UCW10</v>
          </cell>
          <cell r="I70" t="str">
            <v>HER-UCW09</v>
          </cell>
          <cell r="J70" t="str">
            <v>HER-UCW08</v>
          </cell>
          <cell r="K70" t="str">
            <v>HER-UCW07</v>
          </cell>
          <cell r="L70" t="str">
            <v>HER-UCW06</v>
          </cell>
          <cell r="M70" t="str">
            <v>HER-UCW05</v>
          </cell>
          <cell r="W70" t="str">
            <v xml:space="preserve">HER: UTILITIES CHILLED WATER </v>
          </cell>
        </row>
        <row r="71">
          <cell r="A71" t="str">
            <v>HER: UTILITIES DEBT SERVICE FY15</v>
          </cell>
          <cell r="B71" t="str">
            <v>HER</v>
          </cell>
          <cell r="C71" t="str">
            <v>HER-UDS</v>
          </cell>
          <cell r="D71" t="str">
            <v>HER-UDS14</v>
          </cell>
          <cell r="E71" t="str">
            <v>HER-UDS13</v>
          </cell>
          <cell r="F71" t="str">
            <v>HER-UDS12</v>
          </cell>
          <cell r="G71" t="str">
            <v>HER-UDS11</v>
          </cell>
          <cell r="H71" t="str">
            <v>HER-UDS10</v>
          </cell>
          <cell r="I71" t="str">
            <v>HER-UDS09</v>
          </cell>
          <cell r="J71" t="str">
            <v>HER-UDS08</v>
          </cell>
          <cell r="K71" t="str">
            <v>HER-UDS07</v>
          </cell>
          <cell r="L71" t="str">
            <v>HER-UDS06</v>
          </cell>
          <cell r="M71" t="str">
            <v>HER-UDS05</v>
          </cell>
          <cell r="W71" t="str">
            <v xml:space="preserve">HER: UTILITIES DEBT SERVICE </v>
          </cell>
        </row>
        <row r="72">
          <cell r="A72" t="str">
            <v>HER: UTILITIES MAINT FY15</v>
          </cell>
          <cell r="B72">
            <v>0</v>
          </cell>
          <cell r="C72" t="str">
            <v>HER-UMT</v>
          </cell>
          <cell r="D72" t="str">
            <v>HER-UMT14</v>
          </cell>
          <cell r="E72" t="str">
            <v>HER-UMT13</v>
          </cell>
          <cell r="F72" t="str">
            <v>HER-UMT12</v>
          </cell>
          <cell r="G72" t="str">
            <v>HER-UMT11</v>
          </cell>
          <cell r="H72" t="str">
            <v>HER-UMT10</v>
          </cell>
          <cell r="I72" t="str">
            <v>HER-UMT09</v>
          </cell>
          <cell r="J72" t="str">
            <v>HER-UMT08</v>
          </cell>
          <cell r="K72" t="str">
            <v>HER-UMT07</v>
          </cell>
          <cell r="L72" t="str">
            <v>HER-UMT06</v>
          </cell>
          <cell r="M72" t="str">
            <v>HER-UMT05</v>
          </cell>
          <cell r="W72" t="str">
            <v xml:space="preserve">HER: UTILITIES MAINT </v>
          </cell>
        </row>
        <row r="73">
          <cell r="A73" t="str">
            <v>HEX: UTILITIES FY15 - GAS/WATER/ELECTRIC</v>
          </cell>
          <cell r="B73" t="str">
            <v>HEX</v>
          </cell>
          <cell r="C73" t="str">
            <v>HEX-EGW</v>
          </cell>
          <cell r="D73" t="str">
            <v>HEX-EGW-14</v>
          </cell>
          <cell r="E73" t="str">
            <v>HEX-EGW-13</v>
          </cell>
          <cell r="F73" t="str">
            <v>HEX-EGW-12</v>
          </cell>
          <cell r="G73" t="str">
            <v>HEX-EGW-11</v>
          </cell>
          <cell r="H73" t="str">
            <v>HEX-EGW-10</v>
          </cell>
          <cell r="I73" t="str">
            <v>HEX-EGW-09</v>
          </cell>
          <cell r="J73" t="str">
            <v>HEX-EGW-08</v>
          </cell>
          <cell r="K73" t="str">
            <v>HEX-EGW-07</v>
          </cell>
          <cell r="L73" t="str">
            <v>HEX-EGW-06</v>
          </cell>
          <cell r="M73" t="str">
            <v>HEX-EGW-05</v>
          </cell>
          <cell r="N73" t="str">
            <v>SWO003161</v>
          </cell>
          <cell r="O73" t="str">
            <v>SWO001026</v>
          </cell>
          <cell r="P73" t="str">
            <v>SWO001026</v>
          </cell>
          <cell r="Q73" t="str">
            <v>SWO001026</v>
          </cell>
          <cell r="R73" t="str">
            <v>SWO001026</v>
          </cell>
          <cell r="S73">
            <v>27833</v>
          </cell>
          <cell r="T73" t="str">
            <v>0161</v>
          </cell>
          <cell r="U73" t="str">
            <v>HEX</v>
          </cell>
          <cell r="W73" t="str">
            <v xml:space="preserve">HEX: UTILITIES G/W/E </v>
          </cell>
          <cell r="X73" t="str">
            <v>N</v>
          </cell>
        </row>
        <row r="74">
          <cell r="A74" t="str">
            <v>NTT: UTILITIES FY15 - GAS/WATER/ELECTRIC</v>
          </cell>
          <cell r="B74" t="str">
            <v>NTT</v>
          </cell>
          <cell r="C74" t="str">
            <v>NTT-EGW</v>
          </cell>
          <cell r="D74" t="str">
            <v>NTT-EGW-14</v>
          </cell>
          <cell r="E74" t="str">
            <v>NTT-EGW-13</v>
          </cell>
          <cell r="F74" t="str">
            <v>NTT-EGW-12</v>
          </cell>
          <cell r="G74" t="str">
            <v>NTT-EGW-11</v>
          </cell>
          <cell r="H74" t="str">
            <v>NTT-EGW-10</v>
          </cell>
          <cell r="I74" t="str">
            <v>NTT-EGW-09</v>
          </cell>
          <cell r="J74" t="str">
            <v>NTT-EGW-08</v>
          </cell>
          <cell r="K74" t="str">
            <v>NTT-EGW-07</v>
          </cell>
          <cell r="L74" t="str">
            <v>NTT-EGW-06</v>
          </cell>
          <cell r="M74" t="str">
            <v>NTT-EGW-05</v>
          </cell>
          <cell r="N74" t="str">
            <v>SWO003207</v>
          </cell>
          <cell r="O74" t="str">
            <v>SWO000829</v>
          </cell>
          <cell r="P74" t="str">
            <v>SWO000829</v>
          </cell>
          <cell r="Q74" t="str">
            <v>SWO000829</v>
          </cell>
          <cell r="R74" t="str">
            <v>SWO000829</v>
          </cell>
          <cell r="S74">
            <v>22362</v>
          </cell>
          <cell r="T74" t="str">
            <v>0170</v>
          </cell>
          <cell r="U74" t="str">
            <v>NTT</v>
          </cell>
          <cell r="V74" t="str">
            <v>HSC</v>
          </cell>
          <cell r="W74" t="str">
            <v xml:space="preserve">NTT: UTILITIES G/W/E </v>
          </cell>
          <cell r="X74" t="str">
            <v>N</v>
          </cell>
        </row>
        <row r="75">
          <cell r="A75" t="str">
            <v>NTT: UTILITIES CHILLED WATER FY15</v>
          </cell>
          <cell r="B75" t="str">
            <v>NTT</v>
          </cell>
          <cell r="C75" t="str">
            <v>NTT-UCW</v>
          </cell>
          <cell r="D75" t="str">
            <v>NTT-UCW14</v>
          </cell>
          <cell r="E75" t="str">
            <v>NTT-UCW13</v>
          </cell>
          <cell r="F75" t="str">
            <v>NTT-UCW12</v>
          </cell>
          <cell r="G75" t="str">
            <v>NTT-UCW11</v>
          </cell>
          <cell r="H75" t="str">
            <v>NTT-UCW10</v>
          </cell>
          <cell r="I75" t="str">
            <v>NTT-UCW09</v>
          </cell>
          <cell r="J75" t="str">
            <v>NTT-UCW08</v>
          </cell>
          <cell r="K75" t="str">
            <v>NTT-UCW07</v>
          </cell>
          <cell r="L75" t="str">
            <v>NTT-UCW06</v>
          </cell>
          <cell r="M75" t="str">
            <v>NTT-UCW05</v>
          </cell>
          <cell r="W75" t="str">
            <v xml:space="preserve">NTT: UTILITIES CHILLED WATER </v>
          </cell>
        </row>
        <row r="76">
          <cell r="A76" t="str">
            <v>NTT: UTILITIES DEBT SERVICE FY15</v>
          </cell>
          <cell r="B76" t="str">
            <v>NTT</v>
          </cell>
          <cell r="C76" t="str">
            <v>NTT-UDS</v>
          </cell>
          <cell r="D76" t="str">
            <v>NTT-UDS14</v>
          </cell>
          <cell r="E76" t="str">
            <v>NTT-UDS13</v>
          </cell>
          <cell r="F76" t="str">
            <v>NTT-UDS12</v>
          </cell>
          <cell r="G76" t="str">
            <v>NTT-UDS11</v>
          </cell>
          <cell r="H76" t="str">
            <v>NTT-UDS10</v>
          </cell>
          <cell r="I76" t="str">
            <v>NTT-UDS09</v>
          </cell>
          <cell r="J76" t="str">
            <v>NTT-UDS08</v>
          </cell>
          <cell r="K76" t="str">
            <v>NTT-UDS07</v>
          </cell>
          <cell r="L76" t="str">
            <v>NTT-UDS06</v>
          </cell>
          <cell r="M76" t="str">
            <v>NTT-UDS05</v>
          </cell>
          <cell r="W76" t="str">
            <v xml:space="preserve">NTT: UTILITIES DEBT SERVICE </v>
          </cell>
        </row>
        <row r="77">
          <cell r="A77" t="str">
            <v>NTT: UTILITIES MAINT FY15</v>
          </cell>
          <cell r="B77">
            <v>0</v>
          </cell>
          <cell r="C77" t="str">
            <v>NTT-UMT</v>
          </cell>
          <cell r="D77" t="str">
            <v>NTT-UMT14</v>
          </cell>
          <cell r="E77" t="str">
            <v>NTT-UMT13</v>
          </cell>
          <cell r="F77" t="str">
            <v>NTT-UMT12</v>
          </cell>
          <cell r="G77" t="str">
            <v>NTT-UMT11</v>
          </cell>
          <cell r="H77" t="str">
            <v>NTT-UMT10</v>
          </cell>
          <cell r="I77" t="str">
            <v>NTT-UMT09</v>
          </cell>
          <cell r="J77" t="str">
            <v>NTT-UMT08</v>
          </cell>
          <cell r="K77" t="str">
            <v>NTT-UMT07</v>
          </cell>
          <cell r="L77" t="str">
            <v>NTT-UMT06</v>
          </cell>
          <cell r="M77" t="str">
            <v>NTT-UMT05</v>
          </cell>
          <cell r="W77" t="str">
            <v xml:space="preserve">NTT: UTILITIES MAINT </v>
          </cell>
        </row>
        <row r="78">
          <cell r="A78" t="str">
            <v>DML: UTILITIES FY15 - GAS/WATER/ELECTRIC</v>
          </cell>
          <cell r="B78" t="str">
            <v>DML</v>
          </cell>
          <cell r="C78" t="str">
            <v>DML-EGW</v>
          </cell>
          <cell r="D78" t="str">
            <v>DML-EGW-14</v>
          </cell>
          <cell r="E78" t="str">
            <v>DML-EGW-13</v>
          </cell>
          <cell r="F78" t="str">
            <v>DML-EGW-12</v>
          </cell>
          <cell r="G78" t="str">
            <v>DML-EGW-11</v>
          </cell>
          <cell r="H78" t="str">
            <v>DML-EGW-10</v>
          </cell>
          <cell r="I78" t="str">
            <v>DML-EGW-09</v>
          </cell>
          <cell r="J78" t="str">
            <v>DML-EGW-08</v>
          </cell>
          <cell r="K78" t="str">
            <v>DML-EGW-07</v>
          </cell>
          <cell r="L78" t="str">
            <v>DML-EGW-06</v>
          </cell>
          <cell r="M78" t="str">
            <v>DML-EGW-05</v>
          </cell>
          <cell r="N78" t="str">
            <v>SWO003129</v>
          </cell>
          <cell r="O78" t="str">
            <v>SWO000830</v>
          </cell>
          <cell r="P78" t="str">
            <v>SWO000830</v>
          </cell>
          <cell r="Q78" t="str">
            <v>SWO000830</v>
          </cell>
          <cell r="R78" t="str">
            <v>SWO000830</v>
          </cell>
          <cell r="S78">
            <v>22363</v>
          </cell>
          <cell r="T78" t="str">
            <v>0180</v>
          </cell>
          <cell r="U78" t="str">
            <v>DML</v>
          </cell>
          <cell r="W78" t="str">
            <v xml:space="preserve">DML: UTILITIES G/W/E </v>
          </cell>
          <cell r="X78" t="str">
            <v>N</v>
          </cell>
        </row>
        <row r="79">
          <cell r="A79" t="str">
            <v>DML: UTILITIES CHILLED WATER FY15</v>
          </cell>
          <cell r="B79" t="str">
            <v>DML</v>
          </cell>
          <cell r="C79" t="str">
            <v>DML-UCW</v>
          </cell>
          <cell r="D79" t="str">
            <v>DML-UCW14</v>
          </cell>
          <cell r="E79" t="str">
            <v>DML-UCW13</v>
          </cell>
          <cell r="F79" t="str">
            <v>DML-UCW12</v>
          </cell>
          <cell r="G79" t="str">
            <v>DML-UCW11</v>
          </cell>
          <cell r="H79" t="str">
            <v>DML-UCW10</v>
          </cell>
          <cell r="I79" t="str">
            <v>DML-UCW09</v>
          </cell>
          <cell r="J79" t="str">
            <v>DML-UCW08</v>
          </cell>
          <cell r="K79" t="str">
            <v>DML-UCW07</v>
          </cell>
          <cell r="L79" t="str">
            <v>DML-UCW06</v>
          </cell>
          <cell r="M79" t="str">
            <v>DML-UCW05</v>
          </cell>
          <cell r="W79" t="str">
            <v xml:space="preserve">DML: UTILITIES CHILLED WATER </v>
          </cell>
        </row>
        <row r="80">
          <cell r="A80" t="str">
            <v>DML: UTILITIES DEBT SERVICE FY15</v>
          </cell>
          <cell r="B80" t="str">
            <v>DML</v>
          </cell>
          <cell r="C80" t="str">
            <v>DML-UDS</v>
          </cell>
          <cell r="D80" t="str">
            <v>DML-UDS14</v>
          </cell>
          <cell r="E80" t="str">
            <v>DML-UDS13</v>
          </cell>
          <cell r="F80" t="str">
            <v>DML-UDS12</v>
          </cell>
          <cell r="G80" t="str">
            <v>DML-UDS11</v>
          </cell>
          <cell r="H80" t="str">
            <v>DML-UDS10</v>
          </cell>
          <cell r="I80" t="str">
            <v>DML-UDS09</v>
          </cell>
          <cell r="J80" t="str">
            <v>DML-UDS08</v>
          </cell>
          <cell r="K80" t="str">
            <v>DML-UDS07</v>
          </cell>
          <cell r="L80" t="str">
            <v>DML-UDS06</v>
          </cell>
          <cell r="M80" t="str">
            <v>DML-UDS05</v>
          </cell>
          <cell r="W80" t="str">
            <v xml:space="preserve">DML: UTILITIES DEBT SERVICE </v>
          </cell>
        </row>
        <row r="81">
          <cell r="A81" t="str">
            <v>DML: UTILITIES MAINT FY15</v>
          </cell>
          <cell r="B81">
            <v>0</v>
          </cell>
          <cell r="C81" t="str">
            <v>DML-UMT</v>
          </cell>
          <cell r="D81" t="str">
            <v>DML-UMT14</v>
          </cell>
          <cell r="E81" t="str">
            <v>DML-UMT13</v>
          </cell>
          <cell r="F81" t="str">
            <v>DML-UMT12</v>
          </cell>
          <cell r="G81" t="str">
            <v>DML-UMT11</v>
          </cell>
          <cell r="H81" t="str">
            <v>DML-UMT10</v>
          </cell>
          <cell r="I81" t="str">
            <v>DML-UMT09</v>
          </cell>
          <cell r="J81" t="str">
            <v>DML-UMT08</v>
          </cell>
          <cell r="K81" t="str">
            <v>DML-UMT07</v>
          </cell>
          <cell r="L81" t="str">
            <v>DML-UMT06</v>
          </cell>
          <cell r="M81" t="str">
            <v>DML-UMT05</v>
          </cell>
          <cell r="W81" t="str">
            <v xml:space="preserve">DML: UTILITIES MAINT </v>
          </cell>
        </row>
        <row r="82">
          <cell r="A82" t="str">
            <v>DML: CHILLER/CONTRACT PM FY15 - EQUIPMENT, D3030</v>
          </cell>
          <cell r="B82">
            <v>0</v>
          </cell>
          <cell r="D82" t="str">
            <v>DML-CMC-14</v>
          </cell>
          <cell r="E82" t="str">
            <v>DML-CMC-13</v>
          </cell>
          <cell r="W82" t="str">
            <v>DML: CHILLER/CONTRACT PM FY13 - EQUIPMENT, D3030</v>
          </cell>
        </row>
        <row r="83">
          <cell r="A83" t="str">
            <v>GER: UTILITIES FY15 - GAS/WATER/ELECTRIC</v>
          </cell>
          <cell r="B83" t="str">
            <v>GER</v>
          </cell>
          <cell r="C83" t="str">
            <v>GER-EGW</v>
          </cell>
          <cell r="D83" t="str">
            <v>GER-EGW-14</v>
          </cell>
          <cell r="E83" t="str">
            <v>GER-EGW-13</v>
          </cell>
          <cell r="F83" t="str">
            <v>GER-EGW-12</v>
          </cell>
          <cell r="G83" t="str">
            <v>GER-EGW-11</v>
          </cell>
          <cell r="H83" t="str">
            <v>GER-EGW-10</v>
          </cell>
          <cell r="I83" t="str">
            <v>GER-EGW-09</v>
          </cell>
          <cell r="J83" t="str">
            <v>GER-EGW-08</v>
          </cell>
          <cell r="K83" t="str">
            <v>GER-EGW-07</v>
          </cell>
          <cell r="L83" t="str">
            <v>GER-EGW-06</v>
          </cell>
          <cell r="M83" t="str">
            <v>GER-EGW-05</v>
          </cell>
          <cell r="N83" t="str">
            <v>SWO003154</v>
          </cell>
          <cell r="O83" t="str">
            <v>SWO000831</v>
          </cell>
          <cell r="P83" t="str">
            <v>SWO000831</v>
          </cell>
          <cell r="Q83" t="str">
            <v>SWO000831</v>
          </cell>
          <cell r="R83" t="str">
            <v>SWO000831</v>
          </cell>
          <cell r="S83">
            <v>22364</v>
          </cell>
          <cell r="T83" t="str">
            <v>0190</v>
          </cell>
          <cell r="U83" t="str">
            <v>GER</v>
          </cell>
          <cell r="W83" t="str">
            <v xml:space="preserve">GER: UTILITIES G/W/E </v>
          </cell>
          <cell r="X83" t="str">
            <v>N</v>
          </cell>
        </row>
        <row r="84">
          <cell r="A84" t="str">
            <v>GER: UTILITIES CHILLED WATER FY15</v>
          </cell>
          <cell r="B84" t="str">
            <v>GER</v>
          </cell>
          <cell r="C84" t="str">
            <v>GER-UCW</v>
          </cell>
          <cell r="D84" t="str">
            <v>GER-UCW14</v>
          </cell>
          <cell r="E84" t="str">
            <v>GER-UCW13</v>
          </cell>
          <cell r="F84" t="str">
            <v>GER-UCW12</v>
          </cell>
          <cell r="G84" t="str">
            <v>GER-UCW11</v>
          </cell>
          <cell r="H84" t="str">
            <v>GER-UCW10</v>
          </cell>
          <cell r="I84" t="str">
            <v>GER-UCW09</v>
          </cell>
          <cell r="J84" t="str">
            <v>GER-UCW08</v>
          </cell>
          <cell r="K84" t="str">
            <v>GER-UCW07</v>
          </cell>
          <cell r="L84" t="str">
            <v>GER-UCW06</v>
          </cell>
          <cell r="M84" t="str">
            <v>GER-UCW05</v>
          </cell>
          <cell r="W84" t="str">
            <v xml:space="preserve">GER: UTILITIES CHILLED WATER </v>
          </cell>
        </row>
        <row r="85">
          <cell r="A85" t="str">
            <v>GER: UTILITIES DEBT SERVICE FY15</v>
          </cell>
          <cell r="B85" t="str">
            <v>GER</v>
          </cell>
          <cell r="C85" t="str">
            <v>GER-UDS</v>
          </cell>
          <cell r="D85" t="str">
            <v>GER-UDS14</v>
          </cell>
          <cell r="E85" t="str">
            <v>GER-UDS13</v>
          </cell>
          <cell r="F85" t="str">
            <v>GER-UDS12</v>
          </cell>
          <cell r="G85" t="str">
            <v>GER-UDS11</v>
          </cell>
          <cell r="H85" t="str">
            <v>GER-UDS10</v>
          </cell>
          <cell r="I85" t="str">
            <v>GER-UDS09</v>
          </cell>
          <cell r="J85" t="str">
            <v>GER-UDS08</v>
          </cell>
          <cell r="K85" t="str">
            <v>GER-UDS07</v>
          </cell>
          <cell r="L85" t="str">
            <v>GER-UDS06</v>
          </cell>
          <cell r="M85" t="str">
            <v>GER-UDS05</v>
          </cell>
          <cell r="W85" t="str">
            <v xml:space="preserve">GER: UTILITIES DEBT SERVICE </v>
          </cell>
        </row>
        <row r="86">
          <cell r="A86" t="str">
            <v>GER: UTILITIES MAINT FY15</v>
          </cell>
          <cell r="B86">
            <v>0</v>
          </cell>
          <cell r="C86" t="str">
            <v>GER-UMT</v>
          </cell>
          <cell r="D86" t="str">
            <v>GER-UMT14</v>
          </cell>
          <cell r="E86" t="str">
            <v>GER-UMT13</v>
          </cell>
          <cell r="F86" t="str">
            <v>GER-UMT12</v>
          </cell>
          <cell r="G86" t="str">
            <v>GER-UMT11</v>
          </cell>
          <cell r="H86" t="str">
            <v>GER-UMT10</v>
          </cell>
          <cell r="I86" t="str">
            <v>GER-UMT09</v>
          </cell>
          <cell r="J86" t="str">
            <v>GER-UMT08</v>
          </cell>
          <cell r="K86" t="str">
            <v>GER-UMT07</v>
          </cell>
          <cell r="L86" t="str">
            <v>GER-UMT06</v>
          </cell>
          <cell r="M86" t="str">
            <v>GER-UMT05</v>
          </cell>
          <cell r="W86" t="str">
            <v xml:space="preserve">GER: UTILITIES MAINT </v>
          </cell>
        </row>
        <row r="87">
          <cell r="A87" t="str">
            <v>SCD: UTILITIES FY15 - GAS/WATER/ELECTRIC</v>
          </cell>
          <cell r="B87" t="str">
            <v>SCD</v>
          </cell>
          <cell r="C87" t="str">
            <v>SCD-EGW</v>
          </cell>
          <cell r="D87" t="str">
            <v>SCD-EGW-14</v>
          </cell>
          <cell r="E87" t="str">
            <v>SCD-EGW-13</v>
          </cell>
          <cell r="F87" t="str">
            <v>SCD-EGW-12</v>
          </cell>
          <cell r="G87" t="str">
            <v>SCD-EGW-11</v>
          </cell>
          <cell r="H87" t="str">
            <v>SCD-EGW-10</v>
          </cell>
          <cell r="I87" t="str">
            <v>SCD-EGW-09</v>
          </cell>
          <cell r="J87" t="str">
            <v>SCD-EGW-08</v>
          </cell>
          <cell r="K87" t="str">
            <v>SCD-EGW-07</v>
          </cell>
          <cell r="L87" t="str">
            <v>SCD-EGW-06</v>
          </cell>
          <cell r="M87" t="str">
            <v>SCD-EGW-05</v>
          </cell>
          <cell r="N87" t="str">
            <v>SWO003244</v>
          </cell>
          <cell r="O87" t="str">
            <v>SWO000832</v>
          </cell>
          <cell r="P87" t="str">
            <v>SWO000832</v>
          </cell>
          <cell r="Q87" t="str">
            <v>SWO000832</v>
          </cell>
          <cell r="R87" t="str">
            <v>SWO000832</v>
          </cell>
          <cell r="S87">
            <v>22365</v>
          </cell>
          <cell r="T87" t="str">
            <v>0200</v>
          </cell>
          <cell r="U87" t="str">
            <v>SCD</v>
          </cell>
          <cell r="W87" t="str">
            <v xml:space="preserve">SCD: UTILITIES G/W/E </v>
          </cell>
          <cell r="X87" t="str">
            <v>N</v>
          </cell>
        </row>
        <row r="88">
          <cell r="A88" t="str">
            <v>SCD: UTILITIES CHILLED WATER FY15</v>
          </cell>
          <cell r="B88" t="str">
            <v>SCD</v>
          </cell>
          <cell r="C88" t="str">
            <v>SCD-UCW</v>
          </cell>
          <cell r="D88" t="str">
            <v>SCD-UCW14</v>
          </cell>
          <cell r="E88" t="str">
            <v>SCD-UCW13</v>
          </cell>
          <cell r="F88" t="str">
            <v>SCD-UCW12</v>
          </cell>
          <cell r="G88" t="str">
            <v>SCD-UCW11</v>
          </cell>
          <cell r="H88" t="str">
            <v>SCD-UCW10</v>
          </cell>
          <cell r="I88" t="str">
            <v>SCD-UCW09</v>
          </cell>
          <cell r="J88" t="str">
            <v>SCD-UCW08</v>
          </cell>
          <cell r="K88" t="str">
            <v>SCD-UCW07</v>
          </cell>
          <cell r="L88" t="str">
            <v>SCD-UCW06</v>
          </cell>
          <cell r="M88" t="str">
            <v>SCD-UCW05</v>
          </cell>
          <cell r="W88" t="str">
            <v xml:space="preserve">SCD: UTILITIES CHILLED WATER </v>
          </cell>
        </row>
        <row r="89">
          <cell r="A89" t="str">
            <v>SCD: UTILITIES DEBT SERVICE FY15</v>
          </cell>
          <cell r="B89" t="str">
            <v>SCD</v>
          </cell>
          <cell r="C89" t="str">
            <v>SCD-UDS</v>
          </cell>
          <cell r="D89" t="str">
            <v>SCD-UDS14</v>
          </cell>
          <cell r="E89" t="str">
            <v>SCD-UDS13</v>
          </cell>
          <cell r="F89" t="str">
            <v>SCD-UDS12</v>
          </cell>
          <cell r="G89" t="str">
            <v>SCD-UDS11</v>
          </cell>
          <cell r="H89" t="str">
            <v>SCD-UDS10</v>
          </cell>
          <cell r="I89" t="str">
            <v>SCD-UDS09</v>
          </cell>
          <cell r="J89" t="str">
            <v>SCD-UDS08</v>
          </cell>
          <cell r="K89" t="str">
            <v>SCD-UDS07</v>
          </cell>
          <cell r="L89" t="str">
            <v>SCD-UDS06</v>
          </cell>
          <cell r="M89" t="str">
            <v>SCD-UDS05</v>
          </cell>
          <cell r="W89" t="str">
            <v xml:space="preserve">SCD: UTILITIES DEBT SERVICE </v>
          </cell>
        </row>
        <row r="90">
          <cell r="A90" t="str">
            <v>SCD: UTILITIES MAINT FY15</v>
          </cell>
          <cell r="B90">
            <v>0</v>
          </cell>
          <cell r="C90" t="str">
            <v>SCD-UMT</v>
          </cell>
          <cell r="D90" t="str">
            <v>SCD-UMT14</v>
          </cell>
          <cell r="E90" t="str">
            <v>SCD-UMT13</v>
          </cell>
          <cell r="F90" t="str">
            <v>SCD-UMT12</v>
          </cell>
          <cell r="G90" t="str">
            <v>SCD-UMT11</v>
          </cell>
          <cell r="H90" t="str">
            <v>SCD-UMT10</v>
          </cell>
          <cell r="I90" t="str">
            <v>SCD-UMT09</v>
          </cell>
          <cell r="J90" t="str">
            <v>SCD-UMT08</v>
          </cell>
          <cell r="K90" t="str">
            <v>SCD-UMT07</v>
          </cell>
          <cell r="L90" t="str">
            <v>SCD-UMT06</v>
          </cell>
          <cell r="M90" t="str">
            <v>SCD-UMT05</v>
          </cell>
          <cell r="W90" t="str">
            <v xml:space="preserve">SCD: UTILITIES MAINT </v>
          </cell>
        </row>
        <row r="91">
          <cell r="A91" t="str">
            <v>HMR: UTILITIES FY15 - GAS/WATER/ELECTRIC</v>
          </cell>
          <cell r="B91" t="str">
            <v>HMR</v>
          </cell>
          <cell r="C91" t="str">
            <v>HMR-EGW</v>
          </cell>
          <cell r="D91" t="str">
            <v>HMR-EGW-14</v>
          </cell>
          <cell r="E91" t="str">
            <v>HMR-EGW-13</v>
          </cell>
          <cell r="F91" t="str">
            <v>HMR-EGW-12</v>
          </cell>
          <cell r="G91" t="str">
            <v>HMR-EGW-11</v>
          </cell>
          <cell r="H91" t="str">
            <v>HMR-EGW-10</v>
          </cell>
          <cell r="I91" t="str">
            <v>HMR-EGW-09</v>
          </cell>
          <cell r="J91" t="str">
            <v>HMR-EGW-08</v>
          </cell>
          <cell r="K91" t="str">
            <v>HMR-EGW-07</v>
          </cell>
          <cell r="L91" t="str">
            <v>HMR-EGW-06</v>
          </cell>
          <cell r="M91" t="str">
            <v>HMR-EGW-05</v>
          </cell>
          <cell r="N91" t="str">
            <v>SWO003162</v>
          </cell>
          <cell r="O91" t="str">
            <v>SWO000918</v>
          </cell>
          <cell r="P91" t="str">
            <v>SWO000918</v>
          </cell>
          <cell r="Q91" t="str">
            <v>SWO000918</v>
          </cell>
          <cell r="R91" t="str">
            <v>SWO000918</v>
          </cell>
          <cell r="S91">
            <v>22366</v>
          </cell>
          <cell r="T91" t="str">
            <v>0220</v>
          </cell>
          <cell r="U91" t="str">
            <v>HMR</v>
          </cell>
          <cell r="V91" t="str">
            <v>HSC</v>
          </cell>
          <cell r="W91" t="str">
            <v xml:space="preserve">HMR: UTILITIES G/W/E </v>
          </cell>
          <cell r="X91" t="str">
            <v>N</v>
          </cell>
        </row>
        <row r="92">
          <cell r="A92" t="str">
            <v>HMR: UTILITIES CHILLED WATER FY15</v>
          </cell>
          <cell r="B92" t="str">
            <v>HMR</v>
          </cell>
          <cell r="C92" t="str">
            <v>HMR-UCW</v>
          </cell>
          <cell r="D92" t="str">
            <v>HMR-UCW14</v>
          </cell>
          <cell r="E92" t="str">
            <v>HMR-UCW13</v>
          </cell>
          <cell r="F92" t="str">
            <v>HMR-UCW12</v>
          </cell>
          <cell r="G92" t="str">
            <v>HMR-UCW11</v>
          </cell>
          <cell r="H92" t="str">
            <v>HMR-UCW10</v>
          </cell>
          <cell r="I92" t="str">
            <v>HMR-UCW09</v>
          </cell>
          <cell r="J92" t="str">
            <v>HMR-UCW08</v>
          </cell>
          <cell r="K92" t="str">
            <v>HMR-UCW07</v>
          </cell>
          <cell r="L92" t="str">
            <v>HMR-UCW06</v>
          </cell>
          <cell r="M92" t="str">
            <v>HMR-UCW05</v>
          </cell>
          <cell r="W92" t="str">
            <v xml:space="preserve">HMR: UTILITIES CHILLED WATER </v>
          </cell>
        </row>
        <row r="93">
          <cell r="A93" t="str">
            <v>HMR: UTILITIES DEBT SERVICE FY15</v>
          </cell>
          <cell r="B93" t="str">
            <v>HMR</v>
          </cell>
          <cell r="C93" t="str">
            <v>HMR-UDS</v>
          </cell>
          <cell r="D93" t="str">
            <v>HMR-UDS14</v>
          </cell>
          <cell r="E93" t="str">
            <v>HMR-UDS13</v>
          </cell>
          <cell r="F93" t="str">
            <v>HMR-UDS12</v>
          </cell>
          <cell r="G93" t="str">
            <v>HMR-UDS11</v>
          </cell>
          <cell r="H93" t="str">
            <v>HMR-UDS10</v>
          </cell>
          <cell r="I93" t="str">
            <v>HMR-UDS09</v>
          </cell>
          <cell r="J93" t="str">
            <v>HMR-UDS08</v>
          </cell>
          <cell r="K93" t="str">
            <v>HMR-UDS07</v>
          </cell>
          <cell r="L93" t="str">
            <v>HMR-UDS06</v>
          </cell>
          <cell r="M93" t="str">
            <v>HMR-UDS05</v>
          </cell>
          <cell r="W93" t="str">
            <v xml:space="preserve">HMR: UTILITIES DEBT SERVICE </v>
          </cell>
        </row>
        <row r="94">
          <cell r="A94" t="str">
            <v>HMR: UTILITIES MAINT FY15</v>
          </cell>
          <cell r="B94">
            <v>0</v>
          </cell>
          <cell r="C94" t="str">
            <v>HMR-UMT</v>
          </cell>
          <cell r="D94" t="str">
            <v>HMR-UMT14</v>
          </cell>
          <cell r="E94" t="str">
            <v>HMR-UMT13</v>
          </cell>
          <cell r="F94" t="str">
            <v>HMR-UMT12</v>
          </cell>
          <cell r="G94" t="str">
            <v>HMR-UMT11</v>
          </cell>
          <cell r="H94" t="str">
            <v>HMR-UMT10</v>
          </cell>
          <cell r="I94" t="str">
            <v>HMR-UMT09</v>
          </cell>
          <cell r="J94" t="str">
            <v>HMR-UMT08</v>
          </cell>
          <cell r="K94" t="str">
            <v>HMR-UMT07</v>
          </cell>
          <cell r="L94" t="str">
            <v>HMR-UMT06</v>
          </cell>
          <cell r="M94" t="str">
            <v>HMR-UMT05</v>
          </cell>
          <cell r="W94" t="str">
            <v xml:space="preserve">HMR: UTILITIES MAINT </v>
          </cell>
        </row>
        <row r="95">
          <cell r="A95" t="str">
            <v>HMR9: UTILITIES FY15 - ELECTRIC ONLY, CELL SITE</v>
          </cell>
          <cell r="B95">
            <v>0</v>
          </cell>
          <cell r="C95" t="str">
            <v>HMR9-EL</v>
          </cell>
          <cell r="D95" t="str">
            <v>HMR9-EL-14</v>
          </cell>
          <cell r="E95" t="str">
            <v>HMR9-EL-13</v>
          </cell>
          <cell r="F95" t="str">
            <v>HMR9-EL-12</v>
          </cell>
          <cell r="G95" t="str">
            <v>HMR9-EL-11</v>
          </cell>
          <cell r="H95" t="str">
            <v>HMR9-EL-10</v>
          </cell>
          <cell r="I95" t="str">
            <v>HMR9-EL-09</v>
          </cell>
          <cell r="J95" t="str">
            <v>HMR9-EL-08</v>
          </cell>
          <cell r="K95" t="str">
            <v>HMR9-EL-07</v>
          </cell>
          <cell r="L95" t="str">
            <v>HMR9-EL-06</v>
          </cell>
          <cell r="M95" t="str">
            <v>HMR9-EL-05</v>
          </cell>
          <cell r="T95">
            <v>229</v>
          </cell>
          <cell r="W95" t="str">
            <v>HMR Cell Site - Electric</v>
          </cell>
          <cell r="X95" t="str">
            <v>N</v>
          </cell>
        </row>
        <row r="96">
          <cell r="A96" t="str">
            <v>BHE: UTILITIES FY15 - GAS/WATER/ELECTRIC</v>
          </cell>
          <cell r="B96" t="str">
            <v>BHE</v>
          </cell>
          <cell r="C96" t="str">
            <v>BHE-EGW</v>
          </cell>
          <cell r="D96" t="str">
            <v>BHE-EGW-14</v>
          </cell>
          <cell r="E96" t="str">
            <v>BHE-EGW-13</v>
          </cell>
          <cell r="F96" t="str">
            <v>BHE-EGW-12</v>
          </cell>
          <cell r="G96" t="str">
            <v>BHE-EGW-11</v>
          </cell>
          <cell r="H96" t="str">
            <v>BHE-EGW-10</v>
          </cell>
          <cell r="I96" t="str">
            <v>BHE-EGW-09</v>
          </cell>
          <cell r="J96" t="str">
            <v>BHE-EGW-08</v>
          </cell>
          <cell r="K96" t="str">
            <v>BHE-EGW-07</v>
          </cell>
          <cell r="L96" t="str">
            <v>BHE-EGW-06</v>
          </cell>
          <cell r="M96" t="str">
            <v>BHE-EGW-05</v>
          </cell>
          <cell r="N96" t="str">
            <v>SWO003100</v>
          </cell>
          <cell r="O96" t="str">
            <v>SWO000919</v>
          </cell>
          <cell r="P96" t="str">
            <v>SWO000919</v>
          </cell>
          <cell r="Q96" t="str">
            <v>SWO000919</v>
          </cell>
          <cell r="R96" t="str">
            <v>SWO000919</v>
          </cell>
          <cell r="S96">
            <v>22367</v>
          </cell>
          <cell r="T96" t="str">
            <v>0230</v>
          </cell>
          <cell r="U96" t="str">
            <v>BHE</v>
          </cell>
          <cell r="W96" t="str">
            <v xml:space="preserve">BHE: UTILITIES G/W/E </v>
          </cell>
          <cell r="X96" t="str">
            <v>N</v>
          </cell>
        </row>
        <row r="97">
          <cell r="A97" t="str">
            <v>BHE: UTILITIES CHILLED WATER FY15</v>
          </cell>
          <cell r="B97" t="str">
            <v>BHE</v>
          </cell>
          <cell r="C97" t="str">
            <v>BHE-UCW</v>
          </cell>
          <cell r="D97" t="str">
            <v>BHE-UCW14</v>
          </cell>
          <cell r="E97" t="str">
            <v>BHE-UCW13</v>
          </cell>
          <cell r="F97" t="str">
            <v>BHE-UCW12</v>
          </cell>
          <cell r="G97" t="str">
            <v>BHE-UCW11</v>
          </cell>
          <cell r="H97" t="str">
            <v>BHE-UCW10</v>
          </cell>
          <cell r="I97" t="str">
            <v>BHE-UCW09</v>
          </cell>
          <cell r="J97" t="str">
            <v>BHE-UCW08</v>
          </cell>
          <cell r="K97" t="str">
            <v>BHE-UCW07</v>
          </cell>
          <cell r="L97" t="str">
            <v>BHE-UCW06</v>
          </cell>
          <cell r="M97" t="str">
            <v>BHE-UCW05</v>
          </cell>
          <cell r="W97" t="str">
            <v xml:space="preserve">BHE: UTILITIES CHILLED WATER </v>
          </cell>
        </row>
        <row r="98">
          <cell r="A98" t="str">
            <v>BHE: UTILITIES DEBT SERVICE FY15</v>
          </cell>
          <cell r="B98" t="str">
            <v>BHE</v>
          </cell>
          <cell r="C98" t="str">
            <v>BHE-UDS</v>
          </cell>
          <cell r="D98" t="str">
            <v>BHE-UDS14</v>
          </cell>
          <cell r="E98" t="str">
            <v>BHE-UDS13</v>
          </cell>
          <cell r="F98" t="str">
            <v>BHE-UDS12</v>
          </cell>
          <cell r="G98" t="str">
            <v>BHE-UDS11</v>
          </cell>
          <cell r="H98" t="str">
            <v>BHE-UDS10</v>
          </cell>
          <cell r="I98" t="str">
            <v>BHE-UDS09</v>
          </cell>
          <cell r="J98" t="str">
            <v>BHE-UDS08</v>
          </cell>
          <cell r="K98" t="str">
            <v>BHE-UDS07</v>
          </cell>
          <cell r="L98" t="str">
            <v>BHE-UDS06</v>
          </cell>
          <cell r="M98" t="str">
            <v>BHE-UDS05</v>
          </cell>
          <cell r="W98" t="str">
            <v xml:space="preserve">BHE: UTILITIES DEBT SERVICE </v>
          </cell>
        </row>
        <row r="99">
          <cell r="A99" t="str">
            <v>BHE: UTILITIES MAINT FY15</v>
          </cell>
          <cell r="B99">
            <v>0</v>
          </cell>
          <cell r="C99" t="str">
            <v>BHE-UMT</v>
          </cell>
          <cell r="D99" t="str">
            <v>BHE-UMT14</v>
          </cell>
          <cell r="E99" t="str">
            <v>BHE-UMT13</v>
          </cell>
          <cell r="F99" t="str">
            <v>BHE-UMT12</v>
          </cell>
          <cell r="G99" t="str">
            <v>BHE-UMT11</v>
          </cell>
          <cell r="H99" t="str">
            <v>BHE-UMT10</v>
          </cell>
          <cell r="I99" t="str">
            <v>BHE-UMT09</v>
          </cell>
          <cell r="J99" t="str">
            <v>BHE-UMT08</v>
          </cell>
          <cell r="K99" t="str">
            <v>BHE-UMT07</v>
          </cell>
          <cell r="L99" t="str">
            <v>BHE-UMT06</v>
          </cell>
          <cell r="M99" t="str">
            <v>BHE-UMT05</v>
          </cell>
          <cell r="W99" t="str">
            <v xml:space="preserve">BHE: UTILITIES MAINT </v>
          </cell>
        </row>
        <row r="100">
          <cell r="A100" t="str">
            <v>VHE: UTILITIES FY15 - GAS/WATER/ELECTRIC</v>
          </cell>
          <cell r="B100" t="str">
            <v>VHE</v>
          </cell>
          <cell r="C100" t="str">
            <v>VHE-EGW</v>
          </cell>
          <cell r="D100" t="str">
            <v>VHE-EGW-14</v>
          </cell>
          <cell r="E100" t="str">
            <v>VHE-EGW-13</v>
          </cell>
          <cell r="F100" t="str">
            <v>VHE-EGW-12</v>
          </cell>
          <cell r="G100" t="str">
            <v>VHE-EGW-11</v>
          </cell>
          <cell r="H100" t="str">
            <v>VHE-EGW-10</v>
          </cell>
          <cell r="I100" t="str">
            <v>VHE-EGW-09</v>
          </cell>
          <cell r="J100" t="str">
            <v>VHE-EGW-08</v>
          </cell>
          <cell r="K100" t="str">
            <v>VHE-EGW-07</v>
          </cell>
          <cell r="L100" t="str">
            <v>VHE-EGW-06</v>
          </cell>
          <cell r="M100" t="str">
            <v>VHE-EGW-05</v>
          </cell>
          <cell r="N100" t="str">
            <v>SWO003275</v>
          </cell>
          <cell r="O100" t="str">
            <v>SWO000833</v>
          </cell>
          <cell r="P100" t="str">
            <v>SWO000833</v>
          </cell>
          <cell r="Q100" t="str">
            <v>SWO000833</v>
          </cell>
          <cell r="R100" t="str">
            <v>SWO000833</v>
          </cell>
          <cell r="S100">
            <v>22368</v>
          </cell>
          <cell r="T100" t="str">
            <v>0240</v>
          </cell>
          <cell r="U100" t="str">
            <v>VHE</v>
          </cell>
          <cell r="W100" t="str">
            <v xml:space="preserve">VHE: UTILITIES G/W/E </v>
          </cell>
          <cell r="X100" t="str">
            <v>N</v>
          </cell>
        </row>
        <row r="101">
          <cell r="A101" t="str">
            <v>VHE: UTILITIES CHILLED WATER FY15</v>
          </cell>
          <cell r="B101" t="str">
            <v>VHE</v>
          </cell>
          <cell r="C101" t="str">
            <v>VHE-UCW</v>
          </cell>
          <cell r="D101" t="str">
            <v>VHE-UCW14</v>
          </cell>
          <cell r="E101" t="str">
            <v>VHE-UCW13</v>
          </cell>
          <cell r="F101" t="str">
            <v>VHE-UCW12</v>
          </cell>
          <cell r="G101" t="str">
            <v>VHE-UCW11</v>
          </cell>
          <cell r="H101" t="str">
            <v>VHE-UCW10</v>
          </cell>
          <cell r="I101" t="str">
            <v>VHE-UCW09</v>
          </cell>
          <cell r="J101" t="str">
            <v>VHE-UCW08</v>
          </cell>
          <cell r="K101" t="str">
            <v>VHE-UCW07</v>
          </cell>
          <cell r="L101" t="str">
            <v>VHE-UCW06</v>
          </cell>
          <cell r="M101" t="str">
            <v>VHE-UCW05</v>
          </cell>
          <cell r="W101" t="str">
            <v xml:space="preserve">VHE: UTILITIES CHILLED WATER </v>
          </cell>
        </row>
        <row r="102">
          <cell r="A102" t="str">
            <v>VHE: UTILITIES DEBT SERVICE FY15</v>
          </cell>
          <cell r="B102" t="str">
            <v>VHE</v>
          </cell>
          <cell r="C102" t="str">
            <v>VHE-UDS</v>
          </cell>
          <cell r="D102" t="str">
            <v>VHE-UDS14</v>
          </cell>
          <cell r="E102" t="str">
            <v>VHE-UDS13</v>
          </cell>
          <cell r="F102" t="str">
            <v>VHE-UDS12</v>
          </cell>
          <cell r="G102" t="str">
            <v>VHE-UDS11</v>
          </cell>
          <cell r="H102" t="str">
            <v>VHE-UDS10</v>
          </cell>
          <cell r="I102" t="str">
            <v>VHE-UDS09</v>
          </cell>
          <cell r="J102" t="str">
            <v>VHE-UDS08</v>
          </cell>
          <cell r="K102" t="str">
            <v>VHE-UDS07</v>
          </cell>
          <cell r="L102" t="str">
            <v>VHE-UDS06</v>
          </cell>
          <cell r="M102" t="str">
            <v>VHE-UDS05</v>
          </cell>
          <cell r="W102" t="str">
            <v xml:space="preserve">VHE: UTILITIES DEBT SERVICE </v>
          </cell>
        </row>
        <row r="103">
          <cell r="A103" t="str">
            <v>VHE: UTILITIES MAINT FY15</v>
          </cell>
          <cell r="B103">
            <v>0</v>
          </cell>
          <cell r="C103" t="str">
            <v>VHE-UMT</v>
          </cell>
          <cell r="D103" t="str">
            <v>VHE-UMT14</v>
          </cell>
          <cell r="E103" t="str">
            <v>VHE-UMT13</v>
          </cell>
          <cell r="F103" t="str">
            <v>VHE-UMT12</v>
          </cell>
          <cell r="G103" t="str">
            <v>VHE-UMT11</v>
          </cell>
          <cell r="H103" t="str">
            <v>VHE-UMT10</v>
          </cell>
          <cell r="I103" t="str">
            <v>VHE-UMT09</v>
          </cell>
          <cell r="J103" t="str">
            <v>VHE-UMT08</v>
          </cell>
          <cell r="K103" t="str">
            <v>VHE-UMT07</v>
          </cell>
          <cell r="L103" t="str">
            <v>VHE-UMT06</v>
          </cell>
          <cell r="M103" t="str">
            <v>VHE-UMT05</v>
          </cell>
          <cell r="W103" t="str">
            <v xml:space="preserve">VHE: UTILITIES MAINT </v>
          </cell>
        </row>
        <row r="104">
          <cell r="A104" t="str">
            <v>VHE2: UTILITIES FY15 - GAS/WATER/ELECTRIC</v>
          </cell>
          <cell r="B104" t="str">
            <v>VHE2</v>
          </cell>
          <cell r="C104" t="str">
            <v>VHE2-EGW</v>
          </cell>
          <cell r="D104" t="str">
            <v>VHE2-EGW14</v>
          </cell>
          <cell r="E104" t="str">
            <v>VHE2-EGW13</v>
          </cell>
          <cell r="F104" t="str">
            <v>VHE2-EGW12</v>
          </cell>
          <cell r="G104" t="str">
            <v>VHE2-EGW11</v>
          </cell>
          <cell r="H104" t="str">
            <v>VHE2-EGW10</v>
          </cell>
          <cell r="I104" t="str">
            <v>VHE2-EGW09</v>
          </cell>
          <cell r="T104" t="str">
            <v>0242</v>
          </cell>
          <cell r="W104" t="str">
            <v xml:space="preserve">VHE2: UTILITIES G/W/E </v>
          </cell>
        </row>
        <row r="105">
          <cell r="A105" t="str">
            <v>VHE3: CHILLER/CONTRACT PM FY15 - EQUIPMENT, D3030</v>
          </cell>
          <cell r="B105">
            <v>0</v>
          </cell>
          <cell r="D105" t="str">
            <v>VHE3-CMC14</v>
          </cell>
          <cell r="E105" t="str">
            <v>VHE3-CMC13</v>
          </cell>
          <cell r="W105" t="str">
            <v>VHE3: CHILLER/CONTRACT PM FY13 - EQUIPMENT, D3030</v>
          </cell>
        </row>
        <row r="106">
          <cell r="A106" t="str">
            <v>MCC: UTILITIES FY15 - GAS/WATER/ELECTRIC</v>
          </cell>
          <cell r="B106" t="str">
            <v>MCC</v>
          </cell>
          <cell r="C106" t="str">
            <v>MCC-EGW</v>
          </cell>
          <cell r="D106" t="str">
            <v>MCC-EGW-14</v>
          </cell>
          <cell r="E106" t="str">
            <v>MCC-EGW-13</v>
          </cell>
          <cell r="F106" t="str">
            <v>MCC-EGW-12</v>
          </cell>
          <cell r="G106" t="str">
            <v>MCC-EGW-11</v>
          </cell>
          <cell r="H106" t="str">
            <v>MCC-EGW-10</v>
          </cell>
          <cell r="I106" t="str">
            <v>MCC-EGW-09</v>
          </cell>
          <cell r="J106" t="str">
            <v>UCC-EGW-08</v>
          </cell>
          <cell r="K106" t="str">
            <v>UCC-EGW-07</v>
          </cell>
          <cell r="L106" t="str">
            <v>UCC-EGW-06</v>
          </cell>
          <cell r="M106" t="str">
            <v>UCC-EGW-05</v>
          </cell>
          <cell r="N106" t="str">
            <v>SWO003266</v>
          </cell>
          <cell r="O106" t="str">
            <v>SWO000920</v>
          </cell>
          <cell r="P106" t="str">
            <v>SWO000920</v>
          </cell>
          <cell r="Q106" t="str">
            <v>SWO000920</v>
          </cell>
          <cell r="R106" t="str">
            <v>SWO000920</v>
          </cell>
          <cell r="S106">
            <v>22369</v>
          </cell>
          <cell r="T106" t="str">
            <v>0250</v>
          </cell>
          <cell r="U106" t="str">
            <v>MCC</v>
          </cell>
          <cell r="W106" t="str">
            <v>MCC: UTILITIES G/W/E (was UCC changed in 2008)</v>
          </cell>
          <cell r="X106" t="str">
            <v>N</v>
          </cell>
        </row>
        <row r="107">
          <cell r="A107" t="str">
            <v>MCC: UTILITIES CHILLED WATER FY15</v>
          </cell>
          <cell r="B107" t="str">
            <v>MCC</v>
          </cell>
          <cell r="C107" t="str">
            <v>MCC-UCW</v>
          </cell>
          <cell r="D107" t="str">
            <v>MCC-UCW14</v>
          </cell>
          <cell r="E107" t="str">
            <v>MCC-UCW13</v>
          </cell>
          <cell r="F107" t="str">
            <v>MCC-UCW12</v>
          </cell>
          <cell r="G107" t="str">
            <v>MCC-UCW11</v>
          </cell>
          <cell r="H107" t="str">
            <v>MCC-UCW10</v>
          </cell>
          <cell r="I107" t="str">
            <v>MCC-UCW09</v>
          </cell>
          <cell r="J107" t="str">
            <v>UCC-UCW08</v>
          </cell>
          <cell r="K107" t="str">
            <v>UCC-UCW07</v>
          </cell>
          <cell r="L107" t="str">
            <v>UCC-UCW06</v>
          </cell>
          <cell r="M107" t="str">
            <v>UCC-UCW05</v>
          </cell>
          <cell r="W107" t="str">
            <v xml:space="preserve">MCC: UTILITIES CHILLED WATER </v>
          </cell>
        </row>
        <row r="108">
          <cell r="A108" t="str">
            <v>MCC: UTILITIES DEBT SERVICE FY15</v>
          </cell>
          <cell r="B108" t="str">
            <v>MCC</v>
          </cell>
          <cell r="C108" t="str">
            <v>MCC-UDS</v>
          </cell>
          <cell r="D108" t="str">
            <v>MCC-UDS14</v>
          </cell>
          <cell r="E108" t="str">
            <v>MCC-UDS13</v>
          </cell>
          <cell r="F108" t="str">
            <v>MCC-UDS12</v>
          </cell>
          <cell r="G108" t="str">
            <v>MCC-UDS11</v>
          </cell>
          <cell r="H108" t="str">
            <v>MCC-UDS10</v>
          </cell>
          <cell r="I108" t="str">
            <v>MCC-UDS09</v>
          </cell>
          <cell r="J108" t="str">
            <v>UCC-UDS08</v>
          </cell>
          <cell r="K108" t="str">
            <v>UCC-UDS07</v>
          </cell>
          <cell r="L108" t="str">
            <v>UCC-UDS06</v>
          </cell>
          <cell r="M108" t="str">
            <v>UCC-UDS05</v>
          </cell>
          <cell r="W108" t="str">
            <v xml:space="preserve">MCC: UTILITIES DEBT SERVICE </v>
          </cell>
        </row>
        <row r="109">
          <cell r="A109" t="str">
            <v>MCC: UTILITIES MAINT FY15</v>
          </cell>
          <cell r="B109">
            <v>0</v>
          </cell>
          <cell r="C109" t="str">
            <v>MCC-UMT</v>
          </cell>
          <cell r="D109" t="str">
            <v>MCC-UMT14</v>
          </cell>
          <cell r="E109" t="str">
            <v>MCC-UMT13</v>
          </cell>
          <cell r="F109" t="str">
            <v>MCC-UMT12</v>
          </cell>
          <cell r="G109" t="str">
            <v>MCC-UMT11</v>
          </cell>
          <cell r="H109" t="str">
            <v>MCC-UMT10</v>
          </cell>
          <cell r="I109" t="str">
            <v>MCC-UMT09</v>
          </cell>
          <cell r="J109" t="str">
            <v>UCC-UMT08</v>
          </cell>
          <cell r="K109" t="str">
            <v>UCC-UMT07</v>
          </cell>
          <cell r="L109" t="str">
            <v>UCC-UMT06</v>
          </cell>
          <cell r="M109" t="str">
            <v>UCC-UMT05</v>
          </cell>
          <cell r="W109" t="str">
            <v xml:space="preserve">MCC: UTILITIES MAINT </v>
          </cell>
        </row>
        <row r="110">
          <cell r="A110" t="str">
            <v>PHE: UTILITIES FY15 - GAS/WATER/ELECTRIC</v>
          </cell>
          <cell r="B110" t="str">
            <v>PHE</v>
          </cell>
          <cell r="C110" t="str">
            <v>PHE-EGW</v>
          </cell>
          <cell r="D110" t="str">
            <v>PHE-EGW-14</v>
          </cell>
          <cell r="E110" t="str">
            <v>PHE-EGW-13</v>
          </cell>
          <cell r="F110" t="str">
            <v>PHE-EGW-12</v>
          </cell>
          <cell r="G110" t="str">
            <v>PHE-EGW-11</v>
          </cell>
          <cell r="H110" t="str">
            <v>PHE-EGW-10</v>
          </cell>
          <cell r="I110" t="str">
            <v>PHE-EGW-09</v>
          </cell>
          <cell r="J110" t="str">
            <v>PHE-EGW-08</v>
          </cell>
          <cell r="K110" t="str">
            <v>PHE-EGW-07</v>
          </cell>
          <cell r="L110" t="str">
            <v>PHE-EGW-06</v>
          </cell>
          <cell r="M110" t="str">
            <v>PHE-EGW-05</v>
          </cell>
          <cell r="N110" t="str">
            <v>SWO003216</v>
          </cell>
          <cell r="O110" t="str">
            <v>SWO000921</v>
          </cell>
          <cell r="P110" t="str">
            <v>SWO000921</v>
          </cell>
          <cell r="Q110" t="str">
            <v>SWO000921</v>
          </cell>
          <cell r="R110" t="str">
            <v>SWO000921</v>
          </cell>
          <cell r="S110">
            <v>22370</v>
          </cell>
          <cell r="T110" t="str">
            <v>0270</v>
          </cell>
          <cell r="U110" t="str">
            <v>PHE</v>
          </cell>
          <cell r="W110" t="str">
            <v xml:space="preserve">PHE: UTILITIES G/W/E </v>
          </cell>
          <cell r="X110" t="str">
            <v>N</v>
          </cell>
        </row>
        <row r="111">
          <cell r="A111" t="str">
            <v>PHE: UTILITIES CHILLED WATER FY15</v>
          </cell>
          <cell r="B111" t="str">
            <v>PHE</v>
          </cell>
          <cell r="C111" t="str">
            <v>PHE-UCW</v>
          </cell>
          <cell r="D111" t="str">
            <v>PHE-UCW14</v>
          </cell>
          <cell r="E111" t="str">
            <v>PHE-UCW13</v>
          </cell>
          <cell r="F111" t="str">
            <v>PHE-UCW12</v>
          </cell>
          <cell r="G111" t="str">
            <v>PHE-UCW11</v>
          </cell>
          <cell r="H111" t="str">
            <v>PHE-UCW10</v>
          </cell>
          <cell r="I111" t="str">
            <v>PHE-UCW09</v>
          </cell>
          <cell r="J111" t="str">
            <v>PHE-UCW08</v>
          </cell>
          <cell r="K111" t="str">
            <v>PHE-UCW07</v>
          </cell>
          <cell r="L111" t="str">
            <v>PHE-UCW06</v>
          </cell>
          <cell r="M111" t="str">
            <v>PHE-UCW05</v>
          </cell>
          <cell r="W111" t="str">
            <v xml:space="preserve">PHE: UTILITIES CHILLED WATER </v>
          </cell>
        </row>
        <row r="112">
          <cell r="A112" t="str">
            <v>PHE: UTILITIES DEBT SERVICE FY15</v>
          </cell>
          <cell r="B112" t="str">
            <v>PHE</v>
          </cell>
          <cell r="C112" t="str">
            <v>PHE-UDS</v>
          </cell>
          <cell r="D112" t="str">
            <v>PHE-UDS14</v>
          </cell>
          <cell r="E112" t="str">
            <v>PHE-UDS13</v>
          </cell>
          <cell r="F112" t="str">
            <v>PHE-UDS12</v>
          </cell>
          <cell r="G112" t="str">
            <v>PHE-UDS11</v>
          </cell>
          <cell r="H112" t="str">
            <v>PHE-UDS10</v>
          </cell>
          <cell r="I112" t="str">
            <v>PHE-UDS09</v>
          </cell>
          <cell r="J112" t="str">
            <v>PHE-UDS08</v>
          </cell>
          <cell r="K112" t="str">
            <v>PHE-UDS07</v>
          </cell>
          <cell r="L112" t="str">
            <v>PHE-UDS06</v>
          </cell>
          <cell r="M112" t="str">
            <v>PHE-UDS05</v>
          </cell>
          <cell r="W112" t="str">
            <v xml:space="preserve">PHE: UTILITIES DEBT SERVICE </v>
          </cell>
        </row>
        <row r="113">
          <cell r="A113" t="str">
            <v>PHE: UTILITIES MAINT FY15</v>
          </cell>
          <cell r="B113">
            <v>0</v>
          </cell>
          <cell r="C113" t="str">
            <v>PHE-UMT</v>
          </cell>
          <cell r="D113" t="str">
            <v>PHE-UMT14</v>
          </cell>
          <cell r="E113" t="str">
            <v>PHE-UMT13</v>
          </cell>
          <cell r="F113" t="str">
            <v>PHE-UMT12</v>
          </cell>
          <cell r="G113" t="str">
            <v>PHE-UMT11</v>
          </cell>
          <cell r="H113" t="str">
            <v>PHE-UMT10</v>
          </cell>
          <cell r="I113" t="str">
            <v>PHE-UMT09</v>
          </cell>
          <cell r="J113" t="str">
            <v>PHE-UMT08</v>
          </cell>
          <cell r="K113" t="str">
            <v>PHE-UMT07</v>
          </cell>
          <cell r="L113" t="str">
            <v>PHE-UMT06</v>
          </cell>
          <cell r="M113" t="str">
            <v>PHE-UMT05</v>
          </cell>
          <cell r="W113" t="str">
            <v xml:space="preserve">PHE: UTILITIES MAINT </v>
          </cell>
        </row>
        <row r="114">
          <cell r="A114" t="str">
            <v>WAH: UTILITIES FY15 - GAS/WATER/ELECTRIC</v>
          </cell>
          <cell r="B114" t="str">
            <v>WAH</v>
          </cell>
          <cell r="C114" t="str">
            <v>WAH-EGW</v>
          </cell>
          <cell r="D114" t="str">
            <v>WAH-EGW-14</v>
          </cell>
          <cell r="E114" t="str">
            <v>WAH-EGW-13</v>
          </cell>
          <cell r="F114" t="str">
            <v>WAH-EGW-12</v>
          </cell>
          <cell r="G114" t="str">
            <v>WAH-EGW-11</v>
          </cell>
          <cell r="H114" t="str">
            <v>WAH-EGW-10</v>
          </cell>
          <cell r="I114" t="str">
            <v>WAH-EGW-09</v>
          </cell>
          <cell r="J114" t="str">
            <v>WAH-EGW-08</v>
          </cell>
          <cell r="K114" t="str">
            <v>WAH-EGW-07</v>
          </cell>
          <cell r="L114" t="str">
            <v>WAH-EGW-06</v>
          </cell>
          <cell r="M114" t="str">
            <v>WAH-EGW-05</v>
          </cell>
          <cell r="N114" t="str">
            <v>SWO003277</v>
          </cell>
          <cell r="O114" t="str">
            <v>SWO000922</v>
          </cell>
          <cell r="P114" t="str">
            <v>SWO000922</v>
          </cell>
          <cell r="Q114" t="str">
            <v>SWO000922</v>
          </cell>
          <cell r="R114" t="str">
            <v>SWO000922</v>
          </cell>
          <cell r="S114">
            <v>22371</v>
          </cell>
          <cell r="T114" t="str">
            <v>0290</v>
          </cell>
          <cell r="U114" t="str">
            <v>WAH</v>
          </cell>
          <cell r="W114" t="str">
            <v xml:space="preserve">WAH: UTILITIES G/W/E </v>
          </cell>
          <cell r="X114" t="str">
            <v>N</v>
          </cell>
        </row>
        <row r="115">
          <cell r="A115" t="str">
            <v>WAH: UTILITIES CHILLED WATER FY15</v>
          </cell>
          <cell r="B115" t="str">
            <v>WAH</v>
          </cell>
          <cell r="C115" t="str">
            <v>WAH-UCW</v>
          </cell>
          <cell r="D115" t="str">
            <v>WAH-UCW14</v>
          </cell>
          <cell r="E115" t="str">
            <v>WAH-UCW13</v>
          </cell>
          <cell r="F115" t="str">
            <v>WAH-UCW12</v>
          </cell>
          <cell r="G115" t="str">
            <v>WAH-UCW11</v>
          </cell>
          <cell r="H115" t="str">
            <v>WAH-UCW10</v>
          </cell>
          <cell r="I115" t="str">
            <v>WAH-UCW09</v>
          </cell>
          <cell r="J115" t="str">
            <v>WAH-UCW08</v>
          </cell>
          <cell r="K115" t="str">
            <v>WAH-UCW07</v>
          </cell>
          <cell r="L115" t="str">
            <v>WAH-UCW06</v>
          </cell>
          <cell r="M115" t="str">
            <v>WAH-UCW05</v>
          </cell>
          <cell r="W115" t="str">
            <v xml:space="preserve">WAH: UTILITIES CHILLED WATER </v>
          </cell>
        </row>
        <row r="116">
          <cell r="A116" t="str">
            <v>WAH: UTILITIES DEBT SERVICE FY15</v>
          </cell>
          <cell r="B116" t="str">
            <v>WAH</v>
          </cell>
          <cell r="C116" t="str">
            <v>WAH-UDS</v>
          </cell>
          <cell r="D116" t="str">
            <v>WAH-UDS14</v>
          </cell>
          <cell r="E116" t="str">
            <v>WAH-UDS13</v>
          </cell>
          <cell r="F116" t="str">
            <v>WAH-UDS12</v>
          </cell>
          <cell r="G116" t="str">
            <v>WAH-UDS11</v>
          </cell>
          <cell r="H116" t="str">
            <v>WAH-UDS10</v>
          </cell>
          <cell r="I116" t="str">
            <v>WAH-UDS09</v>
          </cell>
          <cell r="J116" t="str">
            <v>WAH-UDS08</v>
          </cell>
          <cell r="K116" t="str">
            <v>WAH-UDS07</v>
          </cell>
          <cell r="L116" t="str">
            <v>WAH-UDS06</v>
          </cell>
          <cell r="M116" t="str">
            <v>WAH-UDS05</v>
          </cell>
          <cell r="W116" t="str">
            <v xml:space="preserve">WAH: UTILITIES DEBT SERVICE </v>
          </cell>
        </row>
        <row r="117">
          <cell r="A117" t="str">
            <v>WAH: UTILITIES MAINT FY15</v>
          </cell>
          <cell r="B117">
            <v>0</v>
          </cell>
          <cell r="C117" t="str">
            <v>WAH-UMT</v>
          </cell>
          <cell r="D117" t="str">
            <v>WAH-UMT14</v>
          </cell>
          <cell r="E117" t="str">
            <v>WAH-UMT13</v>
          </cell>
          <cell r="F117" t="str">
            <v>WAH-UMT12</v>
          </cell>
          <cell r="G117" t="str">
            <v>WAH-UMT11</v>
          </cell>
          <cell r="H117" t="str">
            <v>WAH-UMT10</v>
          </cell>
          <cell r="I117" t="str">
            <v>WAH-UMT09</v>
          </cell>
          <cell r="J117" t="str">
            <v>WAH-UMT08</v>
          </cell>
          <cell r="K117" t="str">
            <v>WAH-UMT07</v>
          </cell>
          <cell r="L117" t="str">
            <v>WAH-UMT06</v>
          </cell>
          <cell r="M117" t="str">
            <v>WAH-UMT05</v>
          </cell>
          <cell r="W117" t="str">
            <v xml:space="preserve">WAH: UTILITIES MAINT </v>
          </cell>
        </row>
        <row r="118">
          <cell r="A118" t="str">
            <v>SHC: UTILITIES FY15 - GAS/WATER/ELECTRIC</v>
          </cell>
          <cell r="B118" t="str">
            <v>SHC</v>
          </cell>
          <cell r="C118" t="str">
            <v>SHC-EGW</v>
          </cell>
          <cell r="D118" t="str">
            <v>SHC-EGW-14</v>
          </cell>
          <cell r="E118" t="str">
            <v>SHC-EGW-13</v>
          </cell>
          <cell r="F118" t="str">
            <v>SHC-EGW-12</v>
          </cell>
          <cell r="G118" t="str">
            <v>SHC-EGW-11</v>
          </cell>
          <cell r="H118" t="str">
            <v>SHC-EGW-10</v>
          </cell>
          <cell r="I118" t="str">
            <v>SHC-EGW-09</v>
          </cell>
          <cell r="J118" t="str">
            <v>SHC-EGW-08</v>
          </cell>
          <cell r="K118" t="str">
            <v>SHC-EGW-07</v>
          </cell>
          <cell r="L118" t="str">
            <v>SHC-EGW-06</v>
          </cell>
          <cell r="M118" t="str">
            <v>SHC-EGW-05</v>
          </cell>
          <cell r="N118" t="str">
            <v>SWO003247</v>
          </cell>
          <cell r="O118" t="str">
            <v>SWO000834</v>
          </cell>
          <cell r="P118" t="str">
            <v>SWO000834</v>
          </cell>
          <cell r="Q118" t="str">
            <v>SWO000834</v>
          </cell>
          <cell r="R118" t="str">
            <v>SWO000834</v>
          </cell>
          <cell r="S118">
            <v>22372</v>
          </cell>
          <cell r="T118" t="str">
            <v>0310</v>
          </cell>
          <cell r="U118" t="str">
            <v>SHC</v>
          </cell>
          <cell r="W118" t="str">
            <v xml:space="preserve">SHC: UTILITIES G/W/E </v>
          </cell>
          <cell r="X118" t="str">
            <v>N</v>
          </cell>
          <cell r="Y118" t="str">
            <v>DEMOLISHED SEP 2013</v>
          </cell>
        </row>
        <row r="119">
          <cell r="A119" t="str">
            <v>SHC: UTILITIES CHILLED WATER FY15</v>
          </cell>
          <cell r="B119" t="str">
            <v>SHC</v>
          </cell>
          <cell r="C119" t="str">
            <v>SHC-UCW</v>
          </cell>
          <cell r="D119" t="str">
            <v>SHC-UCW14</v>
          </cell>
          <cell r="E119" t="str">
            <v>SHC-UCW13</v>
          </cell>
          <cell r="F119" t="str">
            <v>SHC-UCW12</v>
          </cell>
          <cell r="G119" t="str">
            <v>SHC-UCW11</v>
          </cell>
          <cell r="H119" t="str">
            <v>SHC-UCW10</v>
          </cell>
          <cell r="I119" t="str">
            <v>SHC-UCW09</v>
          </cell>
          <cell r="J119" t="str">
            <v>SHC-UCW08</v>
          </cell>
          <cell r="K119" t="str">
            <v>SHC-UCW07</v>
          </cell>
          <cell r="L119" t="str">
            <v>SHC-UCW06</v>
          </cell>
          <cell r="M119" t="str">
            <v>SHC-UCW05</v>
          </cell>
          <cell r="W119" t="str">
            <v xml:space="preserve">SHC: UTILITIES CHILLED WATER </v>
          </cell>
        </row>
        <row r="120">
          <cell r="A120" t="str">
            <v>SHC: UTILITIES DEBT SERVICE FY15</v>
          </cell>
          <cell r="B120" t="str">
            <v>SHC</v>
          </cell>
          <cell r="C120" t="str">
            <v>SHC-UDS</v>
          </cell>
          <cell r="D120" t="str">
            <v>SHC-UDS14</v>
          </cell>
          <cell r="E120" t="str">
            <v>SHC-UDS13</v>
          </cell>
          <cell r="F120" t="str">
            <v>SHC-UDS12</v>
          </cell>
          <cell r="G120" t="str">
            <v>SHC-UDS11</v>
          </cell>
          <cell r="H120" t="str">
            <v>SHC-UDS10</v>
          </cell>
          <cell r="I120" t="str">
            <v>SHC-UDS09</v>
          </cell>
          <cell r="J120" t="str">
            <v>SHC-UDS08</v>
          </cell>
          <cell r="K120" t="str">
            <v>SHC-UDS07</v>
          </cell>
          <cell r="L120" t="str">
            <v>SHC-UDS06</v>
          </cell>
          <cell r="M120" t="str">
            <v>SHC-UDS05</v>
          </cell>
          <cell r="W120" t="str">
            <v xml:space="preserve">SHC: UTILITIES DEBT SERVICE </v>
          </cell>
        </row>
        <row r="121">
          <cell r="A121" t="str">
            <v>SHC: UTILITIES MAINT FY15</v>
          </cell>
          <cell r="B121">
            <v>0</v>
          </cell>
          <cell r="C121" t="str">
            <v>SHC-UMT</v>
          </cell>
          <cell r="D121" t="str">
            <v>SHC-UMT14</v>
          </cell>
          <cell r="E121" t="str">
            <v>SHC-UMT13</v>
          </cell>
          <cell r="F121" t="str">
            <v>SHC-UMT12</v>
          </cell>
          <cell r="G121" t="str">
            <v>SHC-UMT11</v>
          </cell>
          <cell r="H121" t="str">
            <v>SHC-UMT10</v>
          </cell>
          <cell r="I121" t="str">
            <v>SHC-UMT09</v>
          </cell>
          <cell r="J121" t="str">
            <v>SHC-UMT08</v>
          </cell>
          <cell r="K121" t="str">
            <v>SHC-UMT07</v>
          </cell>
          <cell r="L121" t="str">
            <v>SHC-UMT06</v>
          </cell>
          <cell r="M121" t="str">
            <v>SHC-UMT05</v>
          </cell>
          <cell r="W121" t="str">
            <v xml:space="preserve">SHC: UTILITIES MAINT </v>
          </cell>
        </row>
        <row r="122">
          <cell r="A122" t="str">
            <v>ASC: UTILITIES FY15 - GAS/WATER/ELECTRIC</v>
          </cell>
          <cell r="B122" t="str">
            <v>ASC</v>
          </cell>
          <cell r="C122" t="str">
            <v>ASC-EGW</v>
          </cell>
          <cell r="D122" t="str">
            <v>ASC-EGW-14</v>
          </cell>
          <cell r="E122" t="str">
            <v>ASC-EGW-13</v>
          </cell>
          <cell r="F122" t="str">
            <v>ASC-EGW-12</v>
          </cell>
          <cell r="G122" t="str">
            <v>ASC-EGW-11</v>
          </cell>
          <cell r="H122" t="str">
            <v>ASC-EGW-10</v>
          </cell>
          <cell r="I122" t="str">
            <v>ASC-EGW-09</v>
          </cell>
          <cell r="J122" t="str">
            <v>ASC-EGW-08</v>
          </cell>
          <cell r="K122" t="str">
            <v>ASC-EGW-07</v>
          </cell>
          <cell r="L122" t="str">
            <v>ASC-EGW-06</v>
          </cell>
          <cell r="M122" t="str">
            <v>ASC-EGW-05</v>
          </cell>
          <cell r="N122" t="str">
            <v>SWO003096</v>
          </cell>
          <cell r="O122" t="str">
            <v>SWO000923</v>
          </cell>
          <cell r="P122" t="str">
            <v>SWO000923</v>
          </cell>
          <cell r="Q122" t="str">
            <v>SWO000923</v>
          </cell>
          <cell r="R122" t="str">
            <v>SWO000923</v>
          </cell>
          <cell r="S122">
            <v>22374</v>
          </cell>
          <cell r="T122" t="str">
            <v>0320</v>
          </cell>
          <cell r="U122" t="str">
            <v>ASC</v>
          </cell>
          <cell r="W122" t="str">
            <v xml:space="preserve">ASC: UTILITIES G/W/E </v>
          </cell>
          <cell r="X122" t="str">
            <v>N</v>
          </cell>
        </row>
        <row r="123">
          <cell r="A123" t="str">
            <v>ASC: UTILITIES CHILLED WATER FY15</v>
          </cell>
          <cell r="B123" t="str">
            <v>ASC</v>
          </cell>
          <cell r="C123" t="str">
            <v>ASC-UCW</v>
          </cell>
          <cell r="D123" t="str">
            <v>ASC-UCW14</v>
          </cell>
          <cell r="E123" t="str">
            <v>ASC-UCW13</v>
          </cell>
          <cell r="F123" t="str">
            <v>ASC-UCW12</v>
          </cell>
          <cell r="G123" t="str">
            <v>ASC-UCW11</v>
          </cell>
          <cell r="H123" t="str">
            <v>ASC-UCW10</v>
          </cell>
          <cell r="I123" t="str">
            <v>ASC-UCW09</v>
          </cell>
          <cell r="J123" t="str">
            <v>ASC-UCW08</v>
          </cell>
          <cell r="K123" t="str">
            <v>ASC-UCW07</v>
          </cell>
          <cell r="L123" t="str">
            <v>ASC-UCW06</v>
          </cell>
          <cell r="M123" t="str">
            <v>ASC-UCW05</v>
          </cell>
          <cell r="W123" t="str">
            <v xml:space="preserve">ASC: UTILITIES CHILLED WATER </v>
          </cell>
        </row>
        <row r="124">
          <cell r="A124" t="str">
            <v>ASC: UTILITIES DEBT SERVICE FY15</v>
          </cell>
          <cell r="B124" t="str">
            <v>ASC</v>
          </cell>
          <cell r="C124" t="str">
            <v>ASC-UDS</v>
          </cell>
          <cell r="D124" t="str">
            <v>ASC-UDS14</v>
          </cell>
          <cell r="E124" t="str">
            <v>ASC-UDS13</v>
          </cell>
          <cell r="F124" t="str">
            <v>ASC-UDS12</v>
          </cell>
          <cell r="G124" t="str">
            <v>ASC-UDS11</v>
          </cell>
          <cell r="H124" t="str">
            <v>ASC-UDS10</v>
          </cell>
          <cell r="I124" t="str">
            <v>ASC-UDS09</v>
          </cell>
          <cell r="J124" t="str">
            <v>ASC-UDS08</v>
          </cell>
          <cell r="K124" t="str">
            <v>ASC-UDS07</v>
          </cell>
          <cell r="L124" t="str">
            <v>ASC-UDS06</v>
          </cell>
          <cell r="M124" t="str">
            <v>ASC-UDS05</v>
          </cell>
          <cell r="W124" t="str">
            <v xml:space="preserve">ASC: UTILITIES DEBT SERVICE </v>
          </cell>
        </row>
        <row r="125">
          <cell r="A125" t="str">
            <v>ASC: UTILITIES MAINT FY15</v>
          </cell>
          <cell r="B125">
            <v>0</v>
          </cell>
          <cell r="C125" t="str">
            <v>ASC-UMT</v>
          </cell>
          <cell r="D125" t="str">
            <v>ASC-UMT14</v>
          </cell>
          <cell r="E125" t="str">
            <v>ASC-UMT13</v>
          </cell>
          <cell r="F125" t="str">
            <v>ASC-UMT12</v>
          </cell>
          <cell r="G125" t="str">
            <v>ASC-UMT11</v>
          </cell>
          <cell r="H125" t="str">
            <v>ASC-UMT10</v>
          </cell>
          <cell r="I125" t="str">
            <v>ASC-UMT09</v>
          </cell>
          <cell r="J125" t="str">
            <v>ASC-UMT08</v>
          </cell>
          <cell r="K125" t="str">
            <v>ASC-UMT07</v>
          </cell>
          <cell r="L125" t="str">
            <v>ASC-UMT06</v>
          </cell>
          <cell r="M125" t="str">
            <v>ASC-UMT05</v>
          </cell>
          <cell r="W125" t="str">
            <v xml:space="preserve">ASC: UTILITIES MAINT </v>
          </cell>
        </row>
        <row r="126">
          <cell r="B126" t="str">
            <v>NBA</v>
          </cell>
          <cell r="N126" t="str">
            <v>SWO003203</v>
          </cell>
          <cell r="O126" t="str">
            <v>SWO000924</v>
          </cell>
          <cell r="P126" t="str">
            <v>SWO000924</v>
          </cell>
          <cell r="Q126" t="str">
            <v>SWO000924</v>
          </cell>
          <cell r="R126" t="str">
            <v>SWO000924</v>
          </cell>
          <cell r="S126">
            <v>22375</v>
          </cell>
          <cell r="T126" t="str">
            <v>0330</v>
          </cell>
          <cell r="U126" t="str">
            <v>NBA</v>
          </cell>
          <cell r="W126" t="str">
            <v>North Barracks - Electric, Gas &amp; Water  (DEMOLISHED 3/03)</v>
          </cell>
          <cell r="X126" t="str">
            <v>N</v>
          </cell>
        </row>
        <row r="127">
          <cell r="B127" t="str">
            <v>SBA</v>
          </cell>
          <cell r="N127" t="str">
            <v>SWO003243</v>
          </cell>
          <cell r="O127" t="str">
            <v>SWO000925</v>
          </cell>
          <cell r="P127" t="str">
            <v>SWO000925</v>
          </cell>
          <cell r="Q127" t="str">
            <v>SWO000925</v>
          </cell>
          <cell r="R127" t="str">
            <v>SWO000925</v>
          </cell>
          <cell r="S127">
            <v>22376</v>
          </cell>
          <cell r="T127" t="str">
            <v>0340</v>
          </cell>
          <cell r="U127" t="str">
            <v>SBA</v>
          </cell>
          <cell r="W127" t="str">
            <v>South Barracks - Electric, Gas &amp; Water  (DEMOLISHED 3/03)</v>
          </cell>
          <cell r="X127" t="str">
            <v>N</v>
          </cell>
        </row>
        <row r="128">
          <cell r="A128" t="str">
            <v>THH: UTILITIES FY15 - GAS/WATER/ELECTRIC</v>
          </cell>
          <cell r="B128" t="str">
            <v>THH</v>
          </cell>
          <cell r="C128" t="str">
            <v>THH-EGW</v>
          </cell>
          <cell r="D128" t="str">
            <v>THH-EGW-14</v>
          </cell>
          <cell r="E128" t="str">
            <v>THH-EGW-13</v>
          </cell>
          <cell r="F128" t="str">
            <v>THH-EGW-12</v>
          </cell>
          <cell r="G128" t="str">
            <v>THH-EGW-11</v>
          </cell>
          <cell r="H128" t="str">
            <v>THH-EGW-10</v>
          </cell>
          <cell r="I128" t="str">
            <v>THH-EGW-09</v>
          </cell>
          <cell r="J128" t="str">
            <v>THH-EGW-08</v>
          </cell>
          <cell r="K128" t="str">
            <v>THH-EGW-07</v>
          </cell>
          <cell r="L128" t="str">
            <v>THH-EGW-06</v>
          </cell>
          <cell r="M128" t="str">
            <v>THH-EGW-05</v>
          </cell>
          <cell r="N128" t="str">
            <v>SWO003260</v>
          </cell>
          <cell r="O128" t="str">
            <v>SWO000835</v>
          </cell>
          <cell r="P128" t="str">
            <v>SWO000835</v>
          </cell>
          <cell r="Q128" t="str">
            <v>SWO000835</v>
          </cell>
          <cell r="R128" t="str">
            <v>SWO000835</v>
          </cell>
          <cell r="S128">
            <v>22377</v>
          </cell>
          <cell r="T128" t="str">
            <v>0350</v>
          </cell>
          <cell r="U128" t="str">
            <v>THH</v>
          </cell>
          <cell r="W128" t="str">
            <v xml:space="preserve">THH: UTILITIES G/W/E </v>
          </cell>
          <cell r="X128" t="str">
            <v>N</v>
          </cell>
        </row>
        <row r="129">
          <cell r="A129" t="str">
            <v>THH: UTILITIES CHILLED WATER FY15</v>
          </cell>
          <cell r="B129" t="str">
            <v>THH</v>
          </cell>
          <cell r="C129" t="str">
            <v>THH-UCW</v>
          </cell>
          <cell r="D129" t="str">
            <v>THH-UCW14</v>
          </cell>
          <cell r="E129" t="str">
            <v>THH-UCW13</v>
          </cell>
          <cell r="F129" t="str">
            <v>THH-UCW12</v>
          </cell>
          <cell r="G129" t="str">
            <v>THH-UCW11</v>
          </cell>
          <cell r="H129" t="str">
            <v>THH-UCW10</v>
          </cell>
          <cell r="I129" t="str">
            <v>THH-UCW09</v>
          </cell>
          <cell r="J129" t="str">
            <v>THH-UCW08</v>
          </cell>
          <cell r="K129" t="str">
            <v>THH-UCW07</v>
          </cell>
          <cell r="L129" t="str">
            <v>THH-UCW06</v>
          </cell>
          <cell r="M129" t="str">
            <v>THH-UCW05</v>
          </cell>
          <cell r="W129" t="str">
            <v xml:space="preserve">THH: UTILITIES CHILLED WATER </v>
          </cell>
        </row>
        <row r="130">
          <cell r="A130" t="str">
            <v>THH: UTILITIES DEBT SERVICE FY15</v>
          </cell>
          <cell r="B130" t="str">
            <v>THH</v>
          </cell>
          <cell r="C130" t="str">
            <v>THH-UDS</v>
          </cell>
          <cell r="D130" t="str">
            <v>THH-UDS14</v>
          </cell>
          <cell r="E130" t="str">
            <v>THH-UDS13</v>
          </cell>
          <cell r="F130" t="str">
            <v>THH-UDS12</v>
          </cell>
          <cell r="G130" t="str">
            <v>THH-UDS11</v>
          </cell>
          <cell r="H130" t="str">
            <v>THH-UDS10</v>
          </cell>
          <cell r="I130" t="str">
            <v>THH-UDS09</v>
          </cell>
          <cell r="J130" t="str">
            <v>THH-UDS08</v>
          </cell>
          <cell r="K130" t="str">
            <v>THH-UDS07</v>
          </cell>
          <cell r="L130" t="str">
            <v>THH-UDS06</v>
          </cell>
          <cell r="M130" t="str">
            <v>THH-UDS05</v>
          </cell>
          <cell r="W130" t="str">
            <v xml:space="preserve">THH: UTILITIES DEBT SERVICE </v>
          </cell>
        </row>
        <row r="131">
          <cell r="A131" t="str">
            <v>THH: UTILITIES MAINT FY15</v>
          </cell>
          <cell r="B131">
            <v>0</v>
          </cell>
          <cell r="C131" t="str">
            <v>THH-UMT</v>
          </cell>
          <cell r="D131" t="str">
            <v>THH-UMT14</v>
          </cell>
          <cell r="E131" t="str">
            <v>THH-UMT13</v>
          </cell>
          <cell r="F131" t="str">
            <v>THH-UMT12</v>
          </cell>
          <cell r="G131" t="str">
            <v>THH-UMT11</v>
          </cell>
          <cell r="H131" t="str">
            <v>THH-UMT10</v>
          </cell>
          <cell r="I131" t="str">
            <v>THH-UMT09</v>
          </cell>
          <cell r="J131" t="str">
            <v>THH-UMT08</v>
          </cell>
          <cell r="K131" t="str">
            <v>THH-UMT07</v>
          </cell>
          <cell r="L131" t="str">
            <v>THH-UMT06</v>
          </cell>
          <cell r="M131" t="str">
            <v>THH-UMT05</v>
          </cell>
          <cell r="W131" t="str">
            <v xml:space="preserve">THH: UTILITIES MAINT </v>
          </cell>
        </row>
        <row r="132">
          <cell r="A132" t="str">
            <v>THH: CHILLER/CONTRACT PM FY15 - EQUIPMENT, D3030</v>
          </cell>
          <cell r="B132">
            <v>0</v>
          </cell>
          <cell r="C132" t="e">
            <v>#N/A</v>
          </cell>
          <cell r="D132" t="str">
            <v>THH-CMC-14</v>
          </cell>
          <cell r="E132" t="str">
            <v>THH-CMC-13</v>
          </cell>
          <cell r="W132" t="str">
            <v>THH: CHILLER/CONTRACT PM FY13 - EQUIPMENT, D3030</v>
          </cell>
        </row>
        <row r="133">
          <cell r="A133" t="str">
            <v>AHF: UTILITIES FY15 - GAS/WATER/ELECTRIC</v>
          </cell>
          <cell r="B133" t="str">
            <v>AHF</v>
          </cell>
          <cell r="C133" t="str">
            <v>AHF-EGW</v>
          </cell>
          <cell r="D133" t="str">
            <v>AHF-EGW-14</v>
          </cell>
          <cell r="E133" t="str">
            <v>AHF-EGW-13</v>
          </cell>
          <cell r="F133" t="str">
            <v>AHF-EGW-12</v>
          </cell>
          <cell r="G133" t="str">
            <v>AHF-EGW-11</v>
          </cell>
          <cell r="H133" t="str">
            <v>AHF-EGW-10</v>
          </cell>
          <cell r="I133" t="str">
            <v>AHF-EGW-09</v>
          </cell>
          <cell r="J133" t="str">
            <v>AHF-EGW-08</v>
          </cell>
          <cell r="K133" t="str">
            <v>AHF-EGW-07</v>
          </cell>
          <cell r="L133" t="str">
            <v>AHF-EGW-06</v>
          </cell>
          <cell r="M133" t="str">
            <v>AHF-EGW-05</v>
          </cell>
          <cell r="N133" t="str">
            <v>SWO003094</v>
          </cell>
          <cell r="O133" t="str">
            <v>SWO000926</v>
          </cell>
          <cell r="P133" t="str">
            <v>SWO000926</v>
          </cell>
          <cell r="Q133" t="str">
            <v>SWO000926</v>
          </cell>
          <cell r="R133" t="str">
            <v>SWO000926</v>
          </cell>
          <cell r="S133">
            <v>22379</v>
          </cell>
          <cell r="T133" t="str">
            <v>0370</v>
          </cell>
          <cell r="U133" t="str">
            <v>AHF</v>
          </cell>
          <cell r="W133" t="str">
            <v xml:space="preserve">AHF: UTILITIES G/W/E </v>
          </cell>
          <cell r="X133" t="str">
            <v>N</v>
          </cell>
        </row>
        <row r="134">
          <cell r="A134" t="str">
            <v>AHF: UTILITIES CHILLED WATER FY15</v>
          </cell>
          <cell r="B134" t="str">
            <v>AHF</v>
          </cell>
          <cell r="C134" t="str">
            <v>AHF-UCW</v>
          </cell>
          <cell r="D134" t="str">
            <v>AHF-UCW14</v>
          </cell>
          <cell r="E134" t="str">
            <v>AHF-UCW13</v>
          </cell>
          <cell r="F134" t="str">
            <v>AHF-UCW12</v>
          </cell>
          <cell r="G134" t="str">
            <v>AHF-UCW11</v>
          </cell>
          <cell r="H134" t="str">
            <v>AHF-UCW10</v>
          </cell>
          <cell r="I134" t="str">
            <v>AHF-UCW09</v>
          </cell>
          <cell r="J134" t="str">
            <v>AHF-UCW08</v>
          </cell>
          <cell r="K134" t="str">
            <v>AHF-UCW07</v>
          </cell>
          <cell r="L134" t="str">
            <v>AHF-UCW06</v>
          </cell>
          <cell r="M134" t="str">
            <v>AHF-UCW05</v>
          </cell>
          <cell r="W134" t="str">
            <v xml:space="preserve">AHF: UTILITIES CHILLED WATER </v>
          </cell>
        </row>
        <row r="135">
          <cell r="A135" t="str">
            <v>AHF: UTILITIES DEBT SERVICE FY15</v>
          </cell>
          <cell r="B135" t="str">
            <v>AHF</v>
          </cell>
          <cell r="C135" t="str">
            <v>AHF-UDS</v>
          </cell>
          <cell r="D135" t="str">
            <v>AHF-UDS14</v>
          </cell>
          <cell r="E135" t="str">
            <v>AHF-UDS13</v>
          </cell>
          <cell r="F135" t="str">
            <v>AHF-UDS12</v>
          </cell>
          <cell r="G135" t="str">
            <v>AHF-UDS11</v>
          </cell>
          <cell r="H135" t="str">
            <v>AHF-UDS10</v>
          </cell>
          <cell r="I135" t="str">
            <v>AHF-UDS09</v>
          </cell>
          <cell r="J135" t="str">
            <v>AHF-UDS08</v>
          </cell>
          <cell r="K135" t="str">
            <v>AHF-UDS07</v>
          </cell>
          <cell r="L135" t="str">
            <v>AHF-UDS06</v>
          </cell>
          <cell r="M135" t="str">
            <v>AHF-UDS05</v>
          </cell>
          <cell r="W135" t="str">
            <v xml:space="preserve">AHF: UTILITIES DEBT SERVICE </v>
          </cell>
        </row>
        <row r="136">
          <cell r="A136" t="str">
            <v>AHF: UTILITIES MAINT FY15</v>
          </cell>
          <cell r="B136">
            <v>0</v>
          </cell>
          <cell r="C136" t="str">
            <v>AHF-UMT</v>
          </cell>
          <cell r="D136" t="str">
            <v>AHF-UMT14</v>
          </cell>
          <cell r="E136" t="str">
            <v>AHF-UMT13</v>
          </cell>
          <cell r="F136" t="str">
            <v>AHF-UMT12</v>
          </cell>
          <cell r="G136" t="str">
            <v>AHF-UMT11</v>
          </cell>
          <cell r="H136" t="str">
            <v>AHF-UMT10</v>
          </cell>
          <cell r="I136" t="str">
            <v>AHF-UMT09</v>
          </cell>
          <cell r="J136" t="str">
            <v>AHF-UMT08</v>
          </cell>
          <cell r="K136" t="str">
            <v>AHF-UMT07</v>
          </cell>
          <cell r="L136" t="str">
            <v>AHF-UMT06</v>
          </cell>
          <cell r="M136" t="str">
            <v>AHF-UMT05</v>
          </cell>
          <cell r="W136" t="str">
            <v xml:space="preserve">AHF: UTILITIES MAINT </v>
          </cell>
        </row>
        <row r="137">
          <cell r="A137" t="str">
            <v>AHF: CHILLER/CONTRACT PM FY15 - EQUIPMENT, D3030</v>
          </cell>
          <cell r="B137">
            <v>0</v>
          </cell>
          <cell r="C137" t="e">
            <v>#N/A</v>
          </cell>
          <cell r="D137" t="str">
            <v>AHF-CMC-14</v>
          </cell>
          <cell r="E137" t="str">
            <v>AHF-CMC-13</v>
          </cell>
          <cell r="W137" t="str">
            <v>AHF: CHILLER/CONTRACT PM FY13 - EQUIPMENT, D3030</v>
          </cell>
        </row>
        <row r="138">
          <cell r="A138" t="str">
            <v>AHF: FUMEHOOD PM FY15 - EQUIPMENT, D3040</v>
          </cell>
          <cell r="B138">
            <v>0</v>
          </cell>
          <cell r="C138" t="e">
            <v>#N/A</v>
          </cell>
          <cell r="D138" t="str">
            <v>AHF-FMC-14</v>
          </cell>
          <cell r="E138" t="str">
            <v>AHF-FMC-13</v>
          </cell>
          <cell r="W138" t="str">
            <v>AHF: FUMEHOOD PM FY13 - EQUIPMENT, D3040</v>
          </cell>
        </row>
        <row r="139">
          <cell r="A139" t="str">
            <v>HAR: UTILITIES FY15 - GAS/WATER/ELECTRIC</v>
          </cell>
          <cell r="B139" t="str">
            <v>HAR</v>
          </cell>
          <cell r="C139" t="str">
            <v>HAR-EGW</v>
          </cell>
          <cell r="D139" t="str">
            <v>HAR-EGW-14</v>
          </cell>
          <cell r="E139" t="str">
            <v>HAR-EGW-13</v>
          </cell>
          <cell r="F139" t="str">
            <v>HAR-EGW-12</v>
          </cell>
          <cell r="G139" t="str">
            <v>HAR-EGW-11</v>
          </cell>
          <cell r="H139" t="str">
            <v>HAR-EGW-10</v>
          </cell>
          <cell r="I139" t="str">
            <v>HAR-EGW-09</v>
          </cell>
          <cell r="J139" t="str">
            <v>HAR-EGW-08</v>
          </cell>
          <cell r="K139" t="str">
            <v>HAR-EGW-07</v>
          </cell>
          <cell r="L139" t="str">
            <v>HAR-EGW-06</v>
          </cell>
          <cell r="M139" t="str">
            <v>HAR-EGW-05</v>
          </cell>
          <cell r="N139" t="str">
            <v>SWO003158</v>
          </cell>
          <cell r="O139" t="str">
            <v>SWO000927</v>
          </cell>
          <cell r="P139" t="str">
            <v>SWO000927</v>
          </cell>
          <cell r="Q139" t="str">
            <v>SWO000927</v>
          </cell>
          <cell r="R139" t="str">
            <v>SWO000927</v>
          </cell>
          <cell r="S139">
            <v>22380</v>
          </cell>
          <cell r="T139" t="str">
            <v>0380</v>
          </cell>
          <cell r="U139" t="str">
            <v>HAR</v>
          </cell>
          <cell r="W139" t="str">
            <v xml:space="preserve">HAR: UTILITIES G/W/E </v>
          </cell>
          <cell r="X139" t="str">
            <v>N</v>
          </cell>
        </row>
        <row r="140">
          <cell r="A140" t="str">
            <v>HAR: UTILITIES CHILLED WATER FY15</v>
          </cell>
          <cell r="B140" t="str">
            <v>HAR</v>
          </cell>
          <cell r="C140" t="str">
            <v>HAR-UCW</v>
          </cell>
          <cell r="D140" t="str">
            <v>HAR-UCW14</v>
          </cell>
          <cell r="E140" t="str">
            <v>HAR-UCW13</v>
          </cell>
          <cell r="F140" t="str">
            <v>HAR-UCW12</v>
          </cell>
          <cell r="G140" t="str">
            <v>HAR-UCW11</v>
          </cell>
          <cell r="H140" t="str">
            <v>HAR-UCW10</v>
          </cell>
          <cell r="I140" t="str">
            <v>HAR-UCW09</v>
          </cell>
          <cell r="J140" t="str">
            <v>HAR-UCW08</v>
          </cell>
          <cell r="K140" t="str">
            <v>HAR-UCW07</v>
          </cell>
          <cell r="L140" t="str">
            <v>HAR-UCW06</v>
          </cell>
          <cell r="M140" t="str">
            <v>HAR-UCW05</v>
          </cell>
          <cell r="W140" t="str">
            <v xml:space="preserve">HAR: UTILITIES CHILLED WATER </v>
          </cell>
        </row>
        <row r="141">
          <cell r="A141" t="str">
            <v>HAR: UTILITIES DEBT SERVICE FY15</v>
          </cell>
          <cell r="B141" t="str">
            <v>HAR</v>
          </cell>
          <cell r="C141" t="str">
            <v>HAR-UDS</v>
          </cell>
          <cell r="D141" t="str">
            <v>HAR-UDS14</v>
          </cell>
          <cell r="E141" t="str">
            <v>HAR-UDS13</v>
          </cell>
          <cell r="F141" t="str">
            <v>HAR-UDS12</v>
          </cell>
          <cell r="G141" t="str">
            <v>HAR-UDS11</v>
          </cell>
          <cell r="H141" t="str">
            <v>HAR-UDS10</v>
          </cell>
          <cell r="I141" t="str">
            <v>HAR-UDS09</v>
          </cell>
          <cell r="J141" t="str">
            <v>HAR-UDS08</v>
          </cell>
          <cell r="K141" t="str">
            <v>HAR-UDS07</v>
          </cell>
          <cell r="L141" t="str">
            <v>HAR-UDS06</v>
          </cell>
          <cell r="M141" t="str">
            <v>HAR-UDS05</v>
          </cell>
          <cell r="W141" t="str">
            <v xml:space="preserve">HAR: UTILITIES DEBT SERVICE </v>
          </cell>
        </row>
        <row r="142">
          <cell r="A142" t="str">
            <v>HAR: UTILITIES MAINT FY15</v>
          </cell>
          <cell r="B142">
            <v>0</v>
          </cell>
          <cell r="C142" t="str">
            <v>HAR-UMT</v>
          </cell>
          <cell r="D142" t="str">
            <v>HAR-UMT14</v>
          </cell>
          <cell r="E142" t="str">
            <v>HAR-UMT13</v>
          </cell>
          <cell r="F142" t="str">
            <v>HAR-UMT12</v>
          </cell>
          <cell r="G142" t="str">
            <v>HAR-UMT11</v>
          </cell>
          <cell r="H142" t="str">
            <v>HAR-UMT10</v>
          </cell>
          <cell r="I142" t="str">
            <v>HAR-UMT09</v>
          </cell>
          <cell r="J142" t="str">
            <v>HAR-UMT08</v>
          </cell>
          <cell r="K142" t="str">
            <v>HAR-UMT07</v>
          </cell>
          <cell r="L142" t="str">
            <v>HAR-UMT06</v>
          </cell>
          <cell r="M142" t="str">
            <v>HAR-UMT05</v>
          </cell>
          <cell r="W142" t="str">
            <v xml:space="preserve">HAR: UTILITIES MAINT </v>
          </cell>
        </row>
        <row r="143">
          <cell r="A143" t="str">
            <v>OCW: UTILITIES FY15 - GAS/WATER/ELECTRIC</v>
          </cell>
          <cell r="B143" t="str">
            <v>OCW</v>
          </cell>
          <cell r="C143" t="str">
            <v>OCW-EGW</v>
          </cell>
          <cell r="D143" t="str">
            <v>OCW-EGW-14</v>
          </cell>
          <cell r="E143" t="str">
            <v>OCW-EGW-13</v>
          </cell>
          <cell r="F143" t="str">
            <v>OCW-EGW-12</v>
          </cell>
          <cell r="G143" t="str">
            <v>OCW-EGW-11</v>
          </cell>
          <cell r="H143" t="str">
            <v>OCW-EGW-10</v>
          </cell>
          <cell r="I143" t="str">
            <v>OCW-EGW-09</v>
          </cell>
          <cell r="J143" t="str">
            <v>OCW-EGW-08</v>
          </cell>
          <cell r="K143" t="str">
            <v>OCW-EGW-07</v>
          </cell>
          <cell r="L143" t="str">
            <v>OCW-EGW-06</v>
          </cell>
          <cell r="M143" t="str">
            <v>OCW-EGW-05</v>
          </cell>
          <cell r="N143" t="str">
            <v>SWO003208</v>
          </cell>
          <cell r="O143" t="str">
            <v>SWO000928</v>
          </cell>
          <cell r="P143" t="str">
            <v>SWO000928</v>
          </cell>
          <cell r="Q143" t="str">
            <v>SWO000928</v>
          </cell>
          <cell r="R143" t="str">
            <v>SWO000928</v>
          </cell>
          <cell r="S143">
            <v>22381</v>
          </cell>
          <cell r="T143" t="str">
            <v>0400</v>
          </cell>
          <cell r="U143" t="str">
            <v>OCW</v>
          </cell>
          <cell r="W143" t="str">
            <v xml:space="preserve">OCW: UTILITIES G/W/E </v>
          </cell>
          <cell r="X143" t="str">
            <v>N</v>
          </cell>
        </row>
        <row r="144">
          <cell r="A144" t="str">
            <v>OCW: UTILITIES CHILLED WATER FY15</v>
          </cell>
          <cell r="B144" t="str">
            <v>OCW</v>
          </cell>
          <cell r="C144" t="str">
            <v>OCW-UCW</v>
          </cell>
          <cell r="D144" t="str">
            <v>OCW-UCW14</v>
          </cell>
          <cell r="E144" t="str">
            <v>OCW-UCW13</v>
          </cell>
          <cell r="F144" t="str">
            <v>OCW-UCW12</v>
          </cell>
          <cell r="G144" t="str">
            <v>OCW-UCW11</v>
          </cell>
          <cell r="H144" t="str">
            <v>OCW-UCW10</v>
          </cell>
          <cell r="I144" t="str">
            <v>OCW-UCW09</v>
          </cell>
          <cell r="J144" t="str">
            <v>OCW-UCW08</v>
          </cell>
          <cell r="K144" t="str">
            <v>OCW-UCW07</v>
          </cell>
          <cell r="L144" t="str">
            <v>OCW-UCW06</v>
          </cell>
          <cell r="M144" t="str">
            <v>OCW-UCW05</v>
          </cell>
          <cell r="W144" t="str">
            <v xml:space="preserve">OCW: UTILITIES CHILLED WATER </v>
          </cell>
        </row>
        <row r="145">
          <cell r="A145" t="str">
            <v>OCW: UTILITIES DEBT SERVICE FY15</v>
          </cell>
          <cell r="B145" t="str">
            <v>OCW</v>
          </cell>
          <cell r="C145" t="str">
            <v>OCW-UDS</v>
          </cell>
          <cell r="D145" t="str">
            <v>OCW-UDS14</v>
          </cell>
          <cell r="E145" t="str">
            <v>OCW-UDS13</v>
          </cell>
          <cell r="F145" t="str">
            <v>OCW-UDS12</v>
          </cell>
          <cell r="G145" t="str">
            <v>OCW-UDS11</v>
          </cell>
          <cell r="H145" t="str">
            <v>OCW-UDS10</v>
          </cell>
          <cell r="I145" t="str">
            <v>OCW-UDS09</v>
          </cell>
          <cell r="J145" t="str">
            <v>OCW-UDS08</v>
          </cell>
          <cell r="K145" t="str">
            <v>OCW-UDS07</v>
          </cell>
          <cell r="L145" t="str">
            <v>OCW-UDS06</v>
          </cell>
          <cell r="M145" t="str">
            <v>OCW-UDS05</v>
          </cell>
          <cell r="W145" t="str">
            <v xml:space="preserve">OCW: UTILITIES DEBT SERVICE </v>
          </cell>
        </row>
        <row r="146">
          <cell r="A146" t="str">
            <v>OCW: UTILITIES MAINT FY15</v>
          </cell>
          <cell r="B146">
            <v>0</v>
          </cell>
          <cell r="C146" t="str">
            <v>OCW-UMT</v>
          </cell>
          <cell r="D146" t="str">
            <v>OCW-UMT14</v>
          </cell>
          <cell r="E146" t="str">
            <v>OCW-UMT13</v>
          </cell>
          <cell r="F146" t="str">
            <v>OCW-UMT12</v>
          </cell>
          <cell r="G146" t="str">
            <v>OCW-UMT11</v>
          </cell>
          <cell r="H146" t="str">
            <v>OCW-UMT10</v>
          </cell>
          <cell r="I146" t="str">
            <v>OCW-UMT09</v>
          </cell>
          <cell r="J146" t="str">
            <v>OCW-UMT08</v>
          </cell>
          <cell r="K146" t="str">
            <v>OCW-UMT07</v>
          </cell>
          <cell r="L146" t="str">
            <v>OCW-UMT06</v>
          </cell>
          <cell r="M146" t="str">
            <v>OCW-UMT05</v>
          </cell>
          <cell r="W146" t="str">
            <v xml:space="preserve">OCW: UTILITIES MAINT </v>
          </cell>
        </row>
        <row r="147">
          <cell r="A147" t="str">
            <v>LJS: UTILITIES FY15 - GAS/WATER/ELECTRIC</v>
          </cell>
          <cell r="B147" t="str">
            <v>LJS</v>
          </cell>
          <cell r="C147" t="str">
            <v>LJS-EGW</v>
          </cell>
          <cell r="D147" t="str">
            <v>LJS-EGW-14</v>
          </cell>
          <cell r="E147" t="str">
            <v>LJS-EGW-13</v>
          </cell>
          <cell r="F147" t="str">
            <v>LJS-EGW-12</v>
          </cell>
          <cell r="G147" t="str">
            <v>LJS-EGW-11</v>
          </cell>
          <cell r="H147" t="str">
            <v>LJS-EGW-10</v>
          </cell>
          <cell r="I147" t="str">
            <v>LJS-EGW-09</v>
          </cell>
          <cell r="J147" t="str">
            <v>LJS-EGW-08</v>
          </cell>
          <cell r="K147" t="str">
            <v>LJS-EGW-07</v>
          </cell>
          <cell r="L147" t="str">
            <v>LJS-EGW-06</v>
          </cell>
          <cell r="M147" t="str">
            <v>LJS-EGW-05</v>
          </cell>
          <cell r="N147" t="str">
            <v>SWO003187</v>
          </cell>
          <cell r="O147" t="str">
            <v>SWO000929</v>
          </cell>
          <cell r="P147" t="str">
            <v>SWO000929</v>
          </cell>
          <cell r="Q147" t="str">
            <v>SWO000929</v>
          </cell>
          <cell r="R147" t="str">
            <v>SWO000929</v>
          </cell>
          <cell r="S147">
            <v>22382</v>
          </cell>
          <cell r="T147" t="str">
            <v>0401</v>
          </cell>
          <cell r="U147" t="str">
            <v>LJS</v>
          </cell>
          <cell r="W147" t="str">
            <v xml:space="preserve">LJS: UTILITIES G/W/E </v>
          </cell>
          <cell r="X147" t="str">
            <v>N</v>
          </cell>
        </row>
        <row r="148">
          <cell r="A148" t="str">
            <v>LJS: UTILITIES CHILLED WATER FY15</v>
          </cell>
          <cell r="B148" t="str">
            <v>LJS</v>
          </cell>
          <cell r="C148" t="str">
            <v>LJS-UCW</v>
          </cell>
          <cell r="D148" t="str">
            <v>LJS-UCW14</v>
          </cell>
          <cell r="E148" t="str">
            <v>LJS-UCW13</v>
          </cell>
          <cell r="F148" t="str">
            <v>LJS-UCW12</v>
          </cell>
          <cell r="G148" t="str">
            <v>LJS-UCW11</v>
          </cell>
          <cell r="H148" t="str">
            <v>LJS-UCW10</v>
          </cell>
          <cell r="I148" t="str">
            <v>LJS-UCW09</v>
          </cell>
          <cell r="J148" t="str">
            <v>LJS-UCW08</v>
          </cell>
          <cell r="K148" t="str">
            <v>LJS-UCW07</v>
          </cell>
          <cell r="L148" t="str">
            <v>LJS-UCW06</v>
          </cell>
          <cell r="M148" t="str">
            <v>LJS-UCW05</v>
          </cell>
          <cell r="W148" t="str">
            <v xml:space="preserve">LJS: UTILITIES CHILLED WATER </v>
          </cell>
        </row>
        <row r="149">
          <cell r="A149" t="str">
            <v>LJS: UTILITIES DEBT SERVICE FY15</v>
          </cell>
          <cell r="B149" t="str">
            <v>LJS</v>
          </cell>
          <cell r="C149" t="str">
            <v>LJS-UDS</v>
          </cell>
          <cell r="D149" t="str">
            <v>LJS-UDS14</v>
          </cell>
          <cell r="E149" t="str">
            <v>LJS-UDS13</v>
          </cell>
          <cell r="F149" t="str">
            <v>LJS-UDS12</v>
          </cell>
          <cell r="G149" t="str">
            <v>LJS-UDS11</v>
          </cell>
          <cell r="H149" t="str">
            <v>LJS-UDS10</v>
          </cell>
          <cell r="I149" t="str">
            <v>LJS-UDS09</v>
          </cell>
          <cell r="J149" t="str">
            <v>LJS-UDS08</v>
          </cell>
          <cell r="K149" t="str">
            <v>LJS-UDS07</v>
          </cell>
          <cell r="L149" t="str">
            <v>LJS-UDS06</v>
          </cell>
          <cell r="M149" t="str">
            <v>LJS-UDS05</v>
          </cell>
          <cell r="W149" t="str">
            <v xml:space="preserve">LJS: UTILITIES DEBT SERVICE </v>
          </cell>
        </row>
        <row r="150">
          <cell r="A150" t="str">
            <v>LJS: UTILITIES MAINT FY15</v>
          </cell>
          <cell r="B150">
            <v>0</v>
          </cell>
          <cell r="C150" t="str">
            <v>LJS-UMT</v>
          </cell>
          <cell r="D150" t="str">
            <v>LJS-UMT14</v>
          </cell>
          <cell r="E150" t="str">
            <v>LJS-UMT13</v>
          </cell>
          <cell r="F150" t="str">
            <v>LJS-UMT12</v>
          </cell>
          <cell r="G150" t="str">
            <v>LJS-UMT11</v>
          </cell>
          <cell r="H150" t="str">
            <v>LJS-UMT10</v>
          </cell>
          <cell r="I150" t="str">
            <v>LJS-UMT09</v>
          </cell>
          <cell r="J150" t="str">
            <v>LJS-UMT08</v>
          </cell>
          <cell r="K150" t="str">
            <v>LJS-UMT07</v>
          </cell>
          <cell r="L150" t="str">
            <v>LJS-UMT06</v>
          </cell>
          <cell r="M150" t="str">
            <v>LJS-UMT05</v>
          </cell>
          <cell r="W150" t="str">
            <v xml:space="preserve">LJS: UTILITIES MAINT </v>
          </cell>
        </row>
        <row r="151">
          <cell r="A151" t="str">
            <v>MRF: UTILITIES FY15 - GAS/WATER/ELECTRIC</v>
          </cell>
          <cell r="B151" t="str">
            <v>MRF</v>
          </cell>
          <cell r="C151" t="str">
            <v>MRF-EGW</v>
          </cell>
          <cell r="D151" t="str">
            <v>MRF-EGW-14</v>
          </cell>
          <cell r="E151" t="str">
            <v>MRF-EGW-13</v>
          </cell>
          <cell r="F151" t="str">
            <v>MRF-EGW-12</v>
          </cell>
          <cell r="G151" t="str">
            <v>MRF-EGW-11</v>
          </cell>
          <cell r="H151" t="str">
            <v>MRF-EGW-10</v>
          </cell>
          <cell r="I151" t="str">
            <v>MRF-EGW-09</v>
          </cell>
          <cell r="J151" t="str">
            <v>MRF-EGW-08</v>
          </cell>
          <cell r="K151" t="str">
            <v>MRF-EGW-07</v>
          </cell>
          <cell r="L151" t="str">
            <v>MRF-EGW-06</v>
          </cell>
          <cell r="M151" t="str">
            <v>MRF-EGW-05</v>
          </cell>
          <cell r="N151" t="str">
            <v>SWO003200</v>
          </cell>
          <cell r="O151" t="str">
            <v>SWO000836</v>
          </cell>
          <cell r="P151" t="str">
            <v>SWO000836</v>
          </cell>
          <cell r="Q151" t="str">
            <v>SWO000836</v>
          </cell>
          <cell r="R151" t="str">
            <v>SWO000836</v>
          </cell>
          <cell r="S151">
            <v>22383</v>
          </cell>
          <cell r="T151" t="str">
            <v>0410</v>
          </cell>
          <cell r="U151" t="str">
            <v>MRF</v>
          </cell>
          <cell r="W151" t="str">
            <v xml:space="preserve">MRF: UTILITIES G/W/E </v>
          </cell>
          <cell r="X151" t="str">
            <v>N</v>
          </cell>
        </row>
        <row r="152">
          <cell r="A152" t="str">
            <v>MRF: UTILITIES CHILLED WATER FY15</v>
          </cell>
          <cell r="B152" t="str">
            <v>MRF</v>
          </cell>
          <cell r="C152" t="str">
            <v>MRF-UCW</v>
          </cell>
          <cell r="D152" t="str">
            <v>MRF-UCW14</v>
          </cell>
          <cell r="E152" t="str">
            <v>MRF-UCW13</v>
          </cell>
          <cell r="F152" t="str">
            <v>MRF-UCW12</v>
          </cell>
          <cell r="G152" t="str">
            <v>MRF-UCW11</v>
          </cell>
          <cell r="H152" t="str">
            <v>MRF-UCW10</v>
          </cell>
          <cell r="I152" t="str">
            <v>MRF-UCW09</v>
          </cell>
          <cell r="J152" t="str">
            <v>MRF-UCW08</v>
          </cell>
          <cell r="K152" t="str">
            <v>MRF-UCW07</v>
          </cell>
          <cell r="L152" t="str">
            <v>MRF-UCW06</v>
          </cell>
          <cell r="M152" t="str">
            <v>MRF-UCW05</v>
          </cell>
          <cell r="W152" t="str">
            <v xml:space="preserve">MRF: UTILITIES CHILLED WATER </v>
          </cell>
        </row>
        <row r="153">
          <cell r="A153" t="str">
            <v>MRF: UTILITIES DEBT SERVICE FY15</v>
          </cell>
          <cell r="B153" t="str">
            <v>MRF</v>
          </cell>
          <cell r="C153" t="str">
            <v>MRF-UDS</v>
          </cell>
          <cell r="D153" t="str">
            <v>MRF-UDS14</v>
          </cell>
          <cell r="E153" t="str">
            <v>MRF-UDS13</v>
          </cell>
          <cell r="F153" t="str">
            <v>MRF-UDS12</v>
          </cell>
          <cell r="G153" t="str">
            <v>MRF-UDS11</v>
          </cell>
          <cell r="H153" t="str">
            <v>MRF-UDS10</v>
          </cell>
          <cell r="I153" t="str">
            <v>MRF-UDS09</v>
          </cell>
          <cell r="J153" t="str">
            <v>MRF-UDS08</v>
          </cell>
          <cell r="K153" t="str">
            <v>MRF-UDS07</v>
          </cell>
          <cell r="L153" t="str">
            <v>MRF-UDS06</v>
          </cell>
          <cell r="M153" t="str">
            <v>MRF-UDS05</v>
          </cell>
          <cell r="W153" t="str">
            <v xml:space="preserve">MRF: UTILITIES DEBT SERVICE </v>
          </cell>
        </row>
        <row r="154">
          <cell r="A154" t="str">
            <v>MRF: UTILITIES MAINT FY15</v>
          </cell>
          <cell r="B154">
            <v>0</v>
          </cell>
          <cell r="C154" t="str">
            <v>MRF-UMT</v>
          </cell>
          <cell r="D154" t="str">
            <v>MRF-UMT14</v>
          </cell>
          <cell r="E154" t="str">
            <v>MRF-UMT13</v>
          </cell>
          <cell r="F154" t="str">
            <v>MRF-UMT12</v>
          </cell>
          <cell r="G154" t="str">
            <v>MRF-UMT11</v>
          </cell>
          <cell r="H154" t="str">
            <v>MRF-UMT10</v>
          </cell>
          <cell r="I154" t="str">
            <v>MRF-UMT09</v>
          </cell>
          <cell r="J154" t="str">
            <v>MRF-UMT08</v>
          </cell>
          <cell r="K154" t="str">
            <v>MRF-UMT07</v>
          </cell>
          <cell r="L154" t="str">
            <v>MRF-UMT06</v>
          </cell>
          <cell r="M154" t="str">
            <v>MRF-UMT05</v>
          </cell>
          <cell r="W154" t="str">
            <v xml:space="preserve">MRF: UTILITIES MAINT </v>
          </cell>
        </row>
        <row r="155">
          <cell r="A155" t="str">
            <v>MRF: CONTRACT FY15 - TRANE CHILLER, D3060</v>
          </cell>
          <cell r="B155">
            <v>0</v>
          </cell>
          <cell r="C155" t="str">
            <v>MRF-CMC</v>
          </cell>
          <cell r="D155" t="str">
            <v>MRF-CMC-14</v>
          </cell>
          <cell r="E155" t="str">
            <v>MRF-CMC-13</v>
          </cell>
          <cell r="W155" t="str">
            <v>MRF: CONTRACT FY13 - TRANE CHILLER, D3060</v>
          </cell>
        </row>
        <row r="156">
          <cell r="A156" t="str">
            <v>KER: UTILITIES FY15 - GAS/WATER/ELECTRIC</v>
          </cell>
          <cell r="B156" t="str">
            <v>KER</v>
          </cell>
          <cell r="C156" t="str">
            <v>KER-EGW</v>
          </cell>
          <cell r="D156" t="str">
            <v>KER-EGW-14</v>
          </cell>
          <cell r="E156" t="str">
            <v>KER-EGW-13</v>
          </cell>
          <cell r="F156" t="str">
            <v>KER-EGW-12</v>
          </cell>
          <cell r="G156" t="str">
            <v>KER-EGW-11</v>
          </cell>
          <cell r="H156" t="str">
            <v>KER-EGW-10</v>
          </cell>
          <cell r="I156" t="str">
            <v>KER-EGW-09</v>
          </cell>
          <cell r="J156" t="str">
            <v>KER-EGW-08</v>
          </cell>
          <cell r="K156" t="str">
            <v>KER-EGW-07</v>
          </cell>
          <cell r="L156" t="str">
            <v>KER-EGW-06</v>
          </cell>
          <cell r="M156" t="str">
            <v>KER-EGW-05</v>
          </cell>
          <cell r="N156" t="str">
            <v>SWO003182</v>
          </cell>
          <cell r="O156" t="str">
            <v>SWO000930</v>
          </cell>
          <cell r="P156" t="str">
            <v>SWO000930</v>
          </cell>
          <cell r="Q156" t="str">
            <v>SWO000930</v>
          </cell>
          <cell r="R156" t="str">
            <v>SWO000930</v>
          </cell>
          <cell r="S156">
            <v>22384</v>
          </cell>
          <cell r="T156" t="str">
            <v>0420</v>
          </cell>
          <cell r="U156" t="str">
            <v>KER</v>
          </cell>
          <cell r="W156" t="str">
            <v xml:space="preserve">KER: UTILITIES G/W/E </v>
          </cell>
          <cell r="X156" t="str">
            <v>N</v>
          </cell>
        </row>
        <row r="157">
          <cell r="A157" t="str">
            <v>KER: UTILITIES CHILLED WATER FY15</v>
          </cell>
          <cell r="B157" t="str">
            <v>KER</v>
          </cell>
          <cell r="C157" t="str">
            <v>KER-UCW</v>
          </cell>
          <cell r="D157" t="str">
            <v>KER-UCW14</v>
          </cell>
          <cell r="E157" t="str">
            <v>KER-UCW13</v>
          </cell>
          <cell r="F157" t="str">
            <v>KER-UCW12</v>
          </cell>
          <cell r="G157" t="str">
            <v>KER-UCW11</v>
          </cell>
          <cell r="H157" t="str">
            <v>KER-UCW10</v>
          </cell>
          <cell r="I157" t="str">
            <v>KER-UCW09</v>
          </cell>
          <cell r="J157" t="str">
            <v>KER-UCW08</v>
          </cell>
          <cell r="K157" t="str">
            <v>KER-UCW07</v>
          </cell>
          <cell r="L157" t="str">
            <v>KER-UCW06</v>
          </cell>
          <cell r="M157" t="str">
            <v>KER-UCW05</v>
          </cell>
          <cell r="W157" t="str">
            <v xml:space="preserve">KER: UTILITIES CHILLED WATER </v>
          </cell>
        </row>
        <row r="158">
          <cell r="A158" t="str">
            <v>KER: UTILITIES DEBT SERVICE FY15</v>
          </cell>
          <cell r="B158" t="str">
            <v>KER</v>
          </cell>
          <cell r="C158" t="str">
            <v>KER-UDS</v>
          </cell>
          <cell r="D158" t="str">
            <v>KER-UDS14</v>
          </cell>
          <cell r="E158" t="str">
            <v>KER-UDS13</v>
          </cell>
          <cell r="F158" t="str">
            <v>KER-UDS12</v>
          </cell>
          <cell r="G158" t="str">
            <v>KER-UDS11</v>
          </cell>
          <cell r="H158" t="str">
            <v>KER-UDS10</v>
          </cell>
          <cell r="I158" t="str">
            <v>KER-UDS09</v>
          </cell>
          <cell r="J158" t="str">
            <v>KER-UDS08</v>
          </cell>
          <cell r="K158" t="str">
            <v>KER-UDS07</v>
          </cell>
          <cell r="L158" t="str">
            <v>KER-UDS06</v>
          </cell>
          <cell r="M158" t="str">
            <v>KER-UDS05</v>
          </cell>
          <cell r="W158" t="str">
            <v xml:space="preserve">KER: UTILITIES DEBT SERVICE </v>
          </cell>
        </row>
        <row r="159">
          <cell r="A159" t="str">
            <v>KER: UTILITIES MAINT FY15</v>
          </cell>
          <cell r="B159">
            <v>0</v>
          </cell>
          <cell r="C159" t="str">
            <v>KER-UMT</v>
          </cell>
          <cell r="D159" t="str">
            <v>KER-UMT14</v>
          </cell>
          <cell r="E159" t="str">
            <v>KER-UMT13</v>
          </cell>
          <cell r="F159" t="str">
            <v>KER-UMT12</v>
          </cell>
          <cell r="G159" t="str">
            <v>KER-UMT11</v>
          </cell>
          <cell r="H159" t="str">
            <v>KER-UMT10</v>
          </cell>
          <cell r="I159" t="str">
            <v>KER-UMT09</v>
          </cell>
          <cell r="J159" t="str">
            <v>KER-UMT08</v>
          </cell>
          <cell r="K159" t="str">
            <v>KER-UMT07</v>
          </cell>
          <cell r="L159" t="str">
            <v>KER-UMT06</v>
          </cell>
          <cell r="M159" t="str">
            <v>KER-UMT05</v>
          </cell>
          <cell r="W159" t="str">
            <v xml:space="preserve">KER: UTILITIES MAINT </v>
          </cell>
        </row>
        <row r="160">
          <cell r="A160" t="str">
            <v>ACC: UTILITIES FY15 - GAS/WATER/ELECTRIC</v>
          </cell>
          <cell r="B160" t="str">
            <v>ACC</v>
          </cell>
          <cell r="C160" t="str">
            <v>ACC-EGW</v>
          </cell>
          <cell r="D160" t="str">
            <v>ACC-EGW-14</v>
          </cell>
          <cell r="E160" t="str">
            <v>ACC-EGW-13</v>
          </cell>
          <cell r="F160" t="str">
            <v>ACC-EGW-12</v>
          </cell>
          <cell r="G160" t="str">
            <v>ACC-EGW-11</v>
          </cell>
          <cell r="H160" t="str">
            <v>ACC-EGW-10</v>
          </cell>
          <cell r="I160" t="str">
            <v>ACC-EGW-09</v>
          </cell>
          <cell r="J160" t="str">
            <v>ACC-EGW-08</v>
          </cell>
          <cell r="K160" t="str">
            <v>ACC-EGW-07</v>
          </cell>
          <cell r="L160" t="str">
            <v>ACC-EGW-06</v>
          </cell>
          <cell r="M160" t="str">
            <v>ACC-EGW-05</v>
          </cell>
          <cell r="N160" t="str">
            <v>SWO003091</v>
          </cell>
          <cell r="O160" t="str">
            <v>SWO000931</v>
          </cell>
          <cell r="P160" t="str">
            <v>SWO000931</v>
          </cell>
          <cell r="Q160" t="str">
            <v>SWO000931</v>
          </cell>
          <cell r="R160" t="str">
            <v>SWO000931</v>
          </cell>
          <cell r="S160">
            <v>22385</v>
          </cell>
          <cell r="T160" t="str">
            <v>0440</v>
          </cell>
          <cell r="U160" t="str">
            <v>ACC</v>
          </cell>
          <cell r="W160" t="str">
            <v xml:space="preserve">ACC: UTILITIES G/W/E </v>
          </cell>
          <cell r="X160" t="str">
            <v>N</v>
          </cell>
        </row>
        <row r="161">
          <cell r="A161" t="str">
            <v>ACC: UTILITIES CHILLED WATER FY15</v>
          </cell>
          <cell r="B161" t="str">
            <v>ACC</v>
          </cell>
          <cell r="C161" t="str">
            <v>ACC-UCW</v>
          </cell>
          <cell r="D161" t="str">
            <v>ACC-UCW14</v>
          </cell>
          <cell r="E161" t="str">
            <v>ACC-UCW13</v>
          </cell>
          <cell r="F161" t="str">
            <v>ACC-UCW12</v>
          </cell>
          <cell r="G161" t="str">
            <v>ACC-UCW11</v>
          </cell>
          <cell r="H161" t="str">
            <v>ACC-UCW10</v>
          </cell>
          <cell r="I161" t="str">
            <v>ACC-UCW09</v>
          </cell>
          <cell r="J161" t="str">
            <v>ACC-UCW08</v>
          </cell>
          <cell r="K161" t="str">
            <v>ACC-UCW07</v>
          </cell>
          <cell r="L161" t="str">
            <v>ACC-UCW06</v>
          </cell>
          <cell r="M161" t="str">
            <v>ACC-UCW05</v>
          </cell>
          <cell r="W161" t="str">
            <v xml:space="preserve">ACC: UTILITIES CHILLED WATER </v>
          </cell>
        </row>
        <row r="162">
          <cell r="A162" t="str">
            <v>ACC: UTILITIES DEBT SERVICE FY15</v>
          </cell>
          <cell r="B162" t="str">
            <v>ACC</v>
          </cell>
          <cell r="C162" t="str">
            <v>ACC-UDS</v>
          </cell>
          <cell r="D162" t="str">
            <v>ACC-UDS14</v>
          </cell>
          <cell r="E162" t="str">
            <v>ACC-UDS13</v>
          </cell>
          <cell r="F162" t="str">
            <v>ACC-UDS12</v>
          </cell>
          <cell r="G162" t="str">
            <v>ACC-UDS11</v>
          </cell>
          <cell r="H162" t="str">
            <v>ACC-UDS10</v>
          </cell>
          <cell r="I162" t="str">
            <v>ACC-UDS09</v>
          </cell>
          <cell r="J162" t="str">
            <v>ACC-UDS08</v>
          </cell>
          <cell r="K162" t="str">
            <v>ACC-UDS07</v>
          </cell>
          <cell r="L162" t="str">
            <v>ACC-UDS06</v>
          </cell>
          <cell r="M162" t="str">
            <v>ACC-UDS05</v>
          </cell>
          <cell r="W162" t="str">
            <v xml:space="preserve">ACC: UTILITIES DEBT SERVICE </v>
          </cell>
        </row>
        <row r="163">
          <cell r="A163" t="str">
            <v>ACC: UTILITIES MAINT FY15</v>
          </cell>
          <cell r="B163">
            <v>0</v>
          </cell>
          <cell r="C163" t="str">
            <v>ACC-UMT</v>
          </cell>
          <cell r="D163" t="str">
            <v>ACC-UMT14</v>
          </cell>
          <cell r="E163" t="str">
            <v>ACC-UMT13</v>
          </cell>
          <cell r="F163" t="str">
            <v>ACC-UMT12</v>
          </cell>
          <cell r="G163" t="str">
            <v>ACC-UMT11</v>
          </cell>
          <cell r="H163" t="str">
            <v>ACC-UMT10</v>
          </cell>
          <cell r="I163" t="str">
            <v>ACC-UMT09</v>
          </cell>
          <cell r="J163" t="str">
            <v>ACC-UMT08</v>
          </cell>
          <cell r="K163" t="str">
            <v>ACC-UMT07</v>
          </cell>
          <cell r="L163" t="str">
            <v>ACC-UMT06</v>
          </cell>
          <cell r="M163" t="str">
            <v>ACC-UMT05</v>
          </cell>
          <cell r="W163" t="str">
            <v xml:space="preserve">ACC: UTILITIES MAINT </v>
          </cell>
        </row>
        <row r="164">
          <cell r="A164" t="str">
            <v>MHP: UTILITIES FY15 - GAS/WATER/ELECTRIC</v>
          </cell>
          <cell r="B164" t="str">
            <v>MHP</v>
          </cell>
          <cell r="C164" t="str">
            <v>MHP-EGW</v>
          </cell>
          <cell r="D164" t="str">
            <v>MHP-EGW-14</v>
          </cell>
          <cell r="E164" t="str">
            <v>MHP-EGW-13</v>
          </cell>
          <cell r="F164" t="str">
            <v>MHP-EGW-12</v>
          </cell>
          <cell r="G164" t="str">
            <v>MHP-EGW-11</v>
          </cell>
          <cell r="H164" t="str">
            <v>MHP-EGW-10</v>
          </cell>
          <cell r="I164" t="str">
            <v>MHP-EGW-09</v>
          </cell>
          <cell r="J164" t="str">
            <v>MHP-EGW-08</v>
          </cell>
          <cell r="K164" t="str">
            <v>MHP-EGW-07</v>
          </cell>
          <cell r="L164" t="str">
            <v>MHP-EGW-06</v>
          </cell>
          <cell r="M164" t="str">
            <v>MHP-EGW-05</v>
          </cell>
          <cell r="N164" t="str">
            <v>SWO003198</v>
          </cell>
          <cell r="O164" t="str">
            <v>SWO000932</v>
          </cell>
          <cell r="P164" t="str">
            <v>SWO000932</v>
          </cell>
          <cell r="Q164" t="str">
            <v>SWO000932</v>
          </cell>
          <cell r="R164" t="str">
            <v>SWO000932</v>
          </cell>
          <cell r="S164">
            <v>22387</v>
          </cell>
          <cell r="T164" t="str">
            <v>0450</v>
          </cell>
          <cell r="U164" t="str">
            <v>MHP</v>
          </cell>
          <cell r="W164" t="str">
            <v xml:space="preserve">MHP: UTILITIES G/W/E </v>
          </cell>
          <cell r="X164" t="str">
            <v>N</v>
          </cell>
        </row>
        <row r="165">
          <cell r="A165" t="str">
            <v>MHP: UTILITIES CHILLED WATER FY15</v>
          </cell>
          <cell r="B165" t="str">
            <v>MHP</v>
          </cell>
          <cell r="C165" t="str">
            <v>MHP-UCW</v>
          </cell>
          <cell r="D165" t="str">
            <v>MHP-UCW14</v>
          </cell>
          <cell r="E165" t="str">
            <v>MHP-UCW13</v>
          </cell>
          <cell r="F165" t="str">
            <v>MHP-UCW12</v>
          </cell>
          <cell r="G165" t="str">
            <v>MHP-UCW11</v>
          </cell>
          <cell r="H165" t="str">
            <v>MHP-UCW10</v>
          </cell>
          <cell r="I165" t="str">
            <v>MHP-UCW09</v>
          </cell>
          <cell r="J165" t="str">
            <v>MHP-UCW08</v>
          </cell>
          <cell r="K165" t="str">
            <v>MHP-UCW07</v>
          </cell>
          <cell r="L165" t="str">
            <v>MHP-UCW06</v>
          </cell>
          <cell r="M165" t="str">
            <v>MHP-UCW05</v>
          </cell>
          <cell r="W165" t="str">
            <v xml:space="preserve">MHP: UTILITIES CHILLED WATER </v>
          </cell>
        </row>
        <row r="166">
          <cell r="A166" t="str">
            <v>MHP: UTILITIES DEBT SERVICE FY15</v>
          </cell>
          <cell r="B166" t="str">
            <v>MHP</v>
          </cell>
          <cell r="C166" t="str">
            <v>MHP-UDS</v>
          </cell>
          <cell r="D166" t="str">
            <v>MHP-UDS14</v>
          </cell>
          <cell r="E166" t="str">
            <v>MHP-UDS13</v>
          </cell>
          <cell r="F166" t="str">
            <v>MHP-UDS12</v>
          </cell>
          <cell r="G166" t="str">
            <v>MHP-UDS11</v>
          </cell>
          <cell r="H166" t="str">
            <v>MHP-UDS10</v>
          </cell>
          <cell r="I166" t="str">
            <v>MHP-UDS09</v>
          </cell>
          <cell r="J166" t="str">
            <v>MHP-UDS08</v>
          </cell>
          <cell r="K166" t="str">
            <v>MHP-UDS07</v>
          </cell>
          <cell r="L166" t="str">
            <v>MHP-UDS06</v>
          </cell>
          <cell r="M166" t="str">
            <v>MHP-UDS05</v>
          </cell>
          <cell r="W166" t="str">
            <v xml:space="preserve">MHP: UTILITIES DEBT SERVICE </v>
          </cell>
        </row>
        <row r="167">
          <cell r="A167" t="str">
            <v>MHP: UTILITIES MAINT FY15</v>
          </cell>
          <cell r="B167">
            <v>0</v>
          </cell>
          <cell r="C167" t="str">
            <v>MHP-UMT</v>
          </cell>
          <cell r="D167" t="str">
            <v>MHP-UMT14</v>
          </cell>
          <cell r="E167" t="str">
            <v>MHP-UMT13</v>
          </cell>
          <cell r="F167" t="str">
            <v>MHP-UMT12</v>
          </cell>
          <cell r="G167" t="str">
            <v>MHP-UMT11</v>
          </cell>
          <cell r="H167" t="str">
            <v>MHP-UMT10</v>
          </cell>
          <cell r="I167" t="str">
            <v>MHP-UMT09</v>
          </cell>
          <cell r="J167" t="str">
            <v>MHP-UMT08</v>
          </cell>
          <cell r="K167" t="str">
            <v>MHP-UMT07</v>
          </cell>
          <cell r="L167" t="str">
            <v>MHP-UMT06</v>
          </cell>
          <cell r="M167" t="str">
            <v>MHP-UMT05</v>
          </cell>
          <cell r="W167" t="str">
            <v xml:space="preserve">MHP: UTILITIES MAINT </v>
          </cell>
        </row>
        <row r="168">
          <cell r="A168" t="str">
            <v>ALM: UTILITIES FY15 - GAS/WATER/ELECTRIC</v>
          </cell>
          <cell r="B168" t="str">
            <v>ALM</v>
          </cell>
          <cell r="C168" t="str">
            <v>ALM-EGW</v>
          </cell>
          <cell r="D168" t="str">
            <v>ALM-EGW-14</v>
          </cell>
          <cell r="E168" t="str">
            <v>ALM-EGW-13</v>
          </cell>
          <cell r="F168" t="str">
            <v>ALM-EGW-12</v>
          </cell>
          <cell r="G168" t="str">
            <v>ALM-EGW-11</v>
          </cell>
          <cell r="H168" t="str">
            <v>ALM-EGW-10</v>
          </cell>
          <cell r="I168" t="str">
            <v>ALM-EGW-09</v>
          </cell>
          <cell r="J168" t="str">
            <v>ALM-EGW-08</v>
          </cell>
          <cell r="K168" t="str">
            <v>ALM-EGW-07</v>
          </cell>
          <cell r="L168" t="str">
            <v>ALM-EGW-06</v>
          </cell>
          <cell r="M168" t="str">
            <v>ALM-EGW-05</v>
          </cell>
          <cell r="N168" t="str">
            <v>SWO003095</v>
          </cell>
          <cell r="O168" t="str">
            <v>SWO000837</v>
          </cell>
          <cell r="P168" t="str">
            <v>SWO000837</v>
          </cell>
          <cell r="Q168" t="str">
            <v>SWO000837</v>
          </cell>
          <cell r="R168" t="str">
            <v>SWO000837</v>
          </cell>
          <cell r="S168">
            <v>22390</v>
          </cell>
          <cell r="T168" t="str">
            <v>0460</v>
          </cell>
          <cell r="U168" t="str">
            <v>ALM</v>
          </cell>
          <cell r="W168" t="str">
            <v xml:space="preserve">ALM: UTILITIES G/W/E </v>
          </cell>
          <cell r="X168" t="str">
            <v>N</v>
          </cell>
        </row>
        <row r="169">
          <cell r="A169" t="str">
            <v>ALM: UTILITIES CHILLED WATER FY15</v>
          </cell>
          <cell r="B169" t="str">
            <v>ALM</v>
          </cell>
          <cell r="C169" t="str">
            <v>ALM-UCW</v>
          </cell>
          <cell r="D169" t="str">
            <v>ALM-UCW14</v>
          </cell>
          <cell r="E169" t="str">
            <v>ALM-UCW13</v>
          </cell>
          <cell r="F169" t="str">
            <v>ALM-UCW12</v>
          </cell>
          <cell r="G169" t="str">
            <v>ALM-UCW11</v>
          </cell>
          <cell r="H169" t="str">
            <v>ALM-UCW10</v>
          </cell>
          <cell r="I169" t="str">
            <v>ALM-UCW09</v>
          </cell>
          <cell r="J169" t="str">
            <v>ALM-UCW08</v>
          </cell>
          <cell r="K169" t="str">
            <v>ALM-UCW07</v>
          </cell>
          <cell r="L169" t="str">
            <v>ALM-UCW06</v>
          </cell>
          <cell r="M169" t="str">
            <v>ALM-UCW05</v>
          </cell>
          <cell r="W169" t="str">
            <v xml:space="preserve">ALM: UTILITIES CHILLED WATER </v>
          </cell>
        </row>
        <row r="170">
          <cell r="A170" t="str">
            <v>ALM: UTILITIES DEBT SERVICE FY15</v>
          </cell>
          <cell r="B170" t="str">
            <v>ALM</v>
          </cell>
          <cell r="C170" t="str">
            <v>ALM-UDS</v>
          </cell>
          <cell r="D170" t="str">
            <v>ALM-UDS-14</v>
          </cell>
          <cell r="E170" t="str">
            <v>ALM-UDS-13</v>
          </cell>
          <cell r="F170" t="str">
            <v>ALM-UDS-12</v>
          </cell>
          <cell r="G170" t="str">
            <v>ALM-UDS-11</v>
          </cell>
          <cell r="H170" t="str">
            <v>ALM-UDS-10</v>
          </cell>
          <cell r="I170" t="str">
            <v>ALM-UDS-09</v>
          </cell>
          <cell r="J170" t="str">
            <v>ALM-UDS-08</v>
          </cell>
          <cell r="K170" t="str">
            <v>ALM-UDS-07</v>
          </cell>
          <cell r="L170" t="str">
            <v>ALM-UDS06</v>
          </cell>
          <cell r="M170" t="str">
            <v>ALM-UDS05</v>
          </cell>
          <cell r="W170" t="str">
            <v xml:space="preserve">ALM: UTILITIES DEBT SERVICE </v>
          </cell>
        </row>
        <row r="171">
          <cell r="A171" t="str">
            <v>ALM: UTILITIES MAINT FY15</v>
          </cell>
          <cell r="B171">
            <v>0</v>
          </cell>
          <cell r="C171" t="str">
            <v>ALM-UMT</v>
          </cell>
          <cell r="D171" t="str">
            <v>ALM-UMT14</v>
          </cell>
          <cell r="E171" t="str">
            <v>ALM-UMT13</v>
          </cell>
          <cell r="F171" t="str">
            <v>ALM-UMT12</v>
          </cell>
          <cell r="G171" t="str">
            <v>ALM-UMT11</v>
          </cell>
          <cell r="H171" t="str">
            <v>ALM-UMT10</v>
          </cell>
          <cell r="I171" t="str">
            <v>ALM-UMT09</v>
          </cell>
          <cell r="J171" t="str">
            <v>ALM-UMT08</v>
          </cell>
          <cell r="K171" t="str">
            <v>ALM-UMT07</v>
          </cell>
          <cell r="L171" t="str">
            <v>ALM-UMT06</v>
          </cell>
          <cell r="M171" t="str">
            <v>ALM-UMT05</v>
          </cell>
          <cell r="W171" t="str">
            <v xml:space="preserve">ALM: UTILITIES MAINT </v>
          </cell>
        </row>
        <row r="172">
          <cell r="A172" t="str">
            <v>JEP: UTILITIES FY15 - GAS/WATER/ELECTRIC</v>
          </cell>
          <cell r="B172" t="str">
            <v>JEP</v>
          </cell>
          <cell r="C172" t="str">
            <v>JEP-EGW</v>
          </cell>
          <cell r="D172" t="str">
            <v>JEP-EGW-14</v>
          </cell>
          <cell r="E172" t="str">
            <v>JEP-EGW-13</v>
          </cell>
          <cell r="F172" t="str">
            <v>JEP-EGW-12</v>
          </cell>
          <cell r="G172" t="str">
            <v>JEP-EGW-11</v>
          </cell>
          <cell r="H172" t="str">
            <v>JEP-EGW-10</v>
          </cell>
          <cell r="I172" t="str">
            <v>JEP-EGW-09</v>
          </cell>
          <cell r="J172" t="str">
            <v>JEP-EGW-08</v>
          </cell>
          <cell r="K172" t="str">
            <v>JEP-EGW-07</v>
          </cell>
          <cell r="L172" t="str">
            <v>JEP-EGW-06</v>
          </cell>
          <cell r="M172" t="str">
            <v>JEP-EGW-05</v>
          </cell>
          <cell r="N172" t="str">
            <v>SWO003176</v>
          </cell>
          <cell r="O172" t="str">
            <v>SWO000933</v>
          </cell>
          <cell r="P172" t="str">
            <v>SWO000933</v>
          </cell>
          <cell r="Q172" t="str">
            <v>SWO000933</v>
          </cell>
          <cell r="R172" t="str">
            <v>SWO000933</v>
          </cell>
          <cell r="S172">
            <v>22445</v>
          </cell>
          <cell r="T172" t="str">
            <v>0470</v>
          </cell>
          <cell r="U172" t="str">
            <v>JEP</v>
          </cell>
          <cell r="W172" t="str">
            <v xml:space="preserve">JEP: UTILITIES G/W/E </v>
          </cell>
          <cell r="X172" t="str">
            <v>N</v>
          </cell>
        </row>
        <row r="173">
          <cell r="A173" t="str">
            <v>JEP: UTILITIES CHILLED WATER FY15</v>
          </cell>
          <cell r="B173" t="str">
            <v>JEP</v>
          </cell>
          <cell r="C173" t="str">
            <v>JEP-UCW</v>
          </cell>
          <cell r="D173" t="str">
            <v>JEP-UCW14</v>
          </cell>
          <cell r="E173" t="str">
            <v>JEP-UCW13</v>
          </cell>
          <cell r="F173" t="str">
            <v>JEP-UCW12</v>
          </cell>
          <cell r="G173" t="str">
            <v>JEP-UCW11</v>
          </cell>
          <cell r="H173" t="str">
            <v>JEP-UCW10</v>
          </cell>
          <cell r="I173" t="str">
            <v>JEP-UCW09</v>
          </cell>
          <cell r="J173" t="str">
            <v>JEP-UCW08</v>
          </cell>
          <cell r="K173" t="str">
            <v>JEP-UCW07</v>
          </cell>
          <cell r="L173" t="str">
            <v>JEP-UCW06</v>
          </cell>
          <cell r="M173" t="str">
            <v>JEP-UCW05</v>
          </cell>
          <cell r="W173" t="str">
            <v xml:space="preserve">JEP: UTILITIES CHILLED WATER </v>
          </cell>
        </row>
        <row r="174">
          <cell r="A174" t="str">
            <v>JEP: UTILITIES DEBT SERVICE FY15</v>
          </cell>
          <cell r="B174" t="str">
            <v>JEP</v>
          </cell>
          <cell r="C174" t="str">
            <v>JEP-UDS</v>
          </cell>
          <cell r="D174" t="str">
            <v>JEP-UDS14</v>
          </cell>
          <cell r="E174" t="str">
            <v>JEP-UDS13</v>
          </cell>
          <cell r="F174" t="str">
            <v>JEP-UDS12</v>
          </cell>
          <cell r="G174" t="str">
            <v>JEP-UDS11</v>
          </cell>
          <cell r="H174" t="str">
            <v>JEP-UDS10</v>
          </cell>
          <cell r="I174" t="str">
            <v>JEP-UDS09</v>
          </cell>
          <cell r="J174" t="str">
            <v>JEP-UDS08</v>
          </cell>
          <cell r="K174" t="str">
            <v>JEP-UDS07</v>
          </cell>
          <cell r="L174" t="str">
            <v>JEP-UDS06</v>
          </cell>
          <cell r="M174" t="str">
            <v>JEP-UDS05</v>
          </cell>
          <cell r="W174" t="str">
            <v xml:space="preserve">JEP: UTILITIES DEBT SERVICE </v>
          </cell>
        </row>
        <row r="175">
          <cell r="A175" t="str">
            <v>JEP: UTILITIES MAINT FY15</v>
          </cell>
          <cell r="B175">
            <v>0</v>
          </cell>
          <cell r="C175" t="str">
            <v>JEP-UMT</v>
          </cell>
          <cell r="D175" t="str">
            <v>JEP-UMT14</v>
          </cell>
          <cell r="E175" t="str">
            <v>JEP-UMT13</v>
          </cell>
          <cell r="F175" t="str">
            <v>JEP-UMT12</v>
          </cell>
          <cell r="G175" t="str">
            <v>JEP-UMT11</v>
          </cell>
          <cell r="H175" t="str">
            <v>JEP-UMT10</v>
          </cell>
          <cell r="I175" t="str">
            <v>JEP-UMT09</v>
          </cell>
          <cell r="J175" t="str">
            <v>JEP-UMT08</v>
          </cell>
          <cell r="K175" t="str">
            <v>JEP-UMT07</v>
          </cell>
          <cell r="L175" t="str">
            <v>JEP-UMT06</v>
          </cell>
          <cell r="M175" t="str">
            <v>JEP-UMT05</v>
          </cell>
          <cell r="W175" t="str">
            <v xml:space="preserve">JEP: UTILITIES MAINT </v>
          </cell>
        </row>
        <row r="176">
          <cell r="A176" t="str">
            <v>SSC: UTILITIES FY15 - GAS/WATER/ELECTRIC</v>
          </cell>
          <cell r="B176" t="str">
            <v>SSC</v>
          </cell>
          <cell r="C176" t="str">
            <v>SSC-EGW</v>
          </cell>
          <cell r="D176" t="str">
            <v>SSC-EGW-14</v>
          </cell>
          <cell r="E176" t="str">
            <v>SSC-EGW-13</v>
          </cell>
          <cell r="F176" t="str">
            <v>SSC-EGW-12</v>
          </cell>
          <cell r="G176" t="str">
            <v>SSC-EGW-11</v>
          </cell>
          <cell r="H176" t="str">
            <v>SSC-EGW-10</v>
          </cell>
          <cell r="I176" t="str">
            <v>SSC-EGW-09</v>
          </cell>
          <cell r="J176" t="str">
            <v>SSC-EGW-08</v>
          </cell>
          <cell r="K176" t="str">
            <v>SSC-EGW-07</v>
          </cell>
          <cell r="L176" t="str">
            <v>SSC-EGW-06</v>
          </cell>
          <cell r="M176" t="str">
            <v>SSC-EGW-05</v>
          </cell>
          <cell r="N176" t="str">
            <v>SWO003254</v>
          </cell>
          <cell r="O176" t="str">
            <v>SWO000934</v>
          </cell>
          <cell r="P176" t="str">
            <v>SWO000934</v>
          </cell>
          <cell r="Q176" t="str">
            <v>SWO000934</v>
          </cell>
          <cell r="R176" t="str">
            <v>SWO000934</v>
          </cell>
          <cell r="S176">
            <v>22446</v>
          </cell>
          <cell r="T176" t="str">
            <v>0480</v>
          </cell>
          <cell r="U176" t="str">
            <v>SSC</v>
          </cell>
          <cell r="W176" t="str">
            <v xml:space="preserve">SSC: UTILITIES G/W/E </v>
          </cell>
          <cell r="X176" t="str">
            <v>N</v>
          </cell>
        </row>
        <row r="177">
          <cell r="A177" t="str">
            <v>SSC: UTILITIES CHILLED WATER FY15</v>
          </cell>
          <cell r="B177" t="str">
            <v>SSC</v>
          </cell>
          <cell r="C177" t="str">
            <v>SSC-UCW</v>
          </cell>
          <cell r="D177" t="str">
            <v>SSC-UCW14</v>
          </cell>
          <cell r="E177" t="str">
            <v>SSC-UCW13</v>
          </cell>
          <cell r="F177" t="str">
            <v>SSC-UCW12</v>
          </cell>
          <cell r="G177" t="str">
            <v>SSC-UCW11</v>
          </cell>
          <cell r="H177" t="str">
            <v>SSC-UCW10</v>
          </cell>
          <cell r="I177" t="str">
            <v>SSC-UCW09</v>
          </cell>
          <cell r="J177" t="str">
            <v>SSC-UCW08</v>
          </cell>
          <cell r="K177" t="str">
            <v>SSC-UCW07</v>
          </cell>
          <cell r="L177" t="str">
            <v>SSC-UCW06</v>
          </cell>
          <cell r="M177" t="str">
            <v>SSC-UCW05</v>
          </cell>
          <cell r="W177" t="str">
            <v xml:space="preserve">SSC: UTILITIES CHILLED WATER </v>
          </cell>
        </row>
        <row r="178">
          <cell r="A178" t="str">
            <v>SSC: UTILITIES DEBT SERVICE FY15</v>
          </cell>
          <cell r="B178" t="str">
            <v>SSC</v>
          </cell>
          <cell r="C178" t="str">
            <v>SSC-UDS</v>
          </cell>
          <cell r="D178" t="str">
            <v>SSC-UDS14</v>
          </cell>
          <cell r="E178" t="str">
            <v>SSC-UDS13</v>
          </cell>
          <cell r="F178" t="str">
            <v>SSC-UDS12</v>
          </cell>
          <cell r="G178" t="str">
            <v>SSC-UDS11</v>
          </cell>
          <cell r="H178" t="str">
            <v>SSC-UDS10</v>
          </cell>
          <cell r="I178" t="str">
            <v>SSC-UDS09</v>
          </cell>
          <cell r="J178" t="str">
            <v>SSC-UDS08</v>
          </cell>
          <cell r="K178" t="str">
            <v>SSC-UDS07</v>
          </cell>
          <cell r="L178" t="str">
            <v>SSC-UDS06</v>
          </cell>
          <cell r="M178" t="str">
            <v>SSC-UDS05</v>
          </cell>
          <cell r="W178" t="str">
            <v xml:space="preserve">SSC: UTILITIES DEBT SERVICE </v>
          </cell>
        </row>
        <row r="179">
          <cell r="A179" t="str">
            <v>SSC: UTILITIES MAINT FY15</v>
          </cell>
          <cell r="B179">
            <v>0</v>
          </cell>
          <cell r="C179" t="str">
            <v>SSC-UMT</v>
          </cell>
          <cell r="D179" t="str">
            <v>SSC-UMT14</v>
          </cell>
          <cell r="E179" t="str">
            <v>SSC-UMT13</v>
          </cell>
          <cell r="F179" t="str">
            <v>SSC-UMT12</v>
          </cell>
          <cell r="G179" t="str">
            <v>SSC-UMT11</v>
          </cell>
          <cell r="H179" t="str">
            <v>SSC-UMT10</v>
          </cell>
          <cell r="I179" t="str">
            <v>SSC-UMT09</v>
          </cell>
          <cell r="J179" t="str">
            <v>SSC-UMT08</v>
          </cell>
          <cell r="K179" t="str">
            <v>SSC-UMT07</v>
          </cell>
          <cell r="L179" t="str">
            <v>SSC-UMT06</v>
          </cell>
          <cell r="M179" t="str">
            <v>SSC-UMT05</v>
          </cell>
          <cell r="W179" t="str">
            <v xml:space="preserve">SSC: UTILITIES MAINT </v>
          </cell>
        </row>
        <row r="180">
          <cell r="A180" t="str">
            <v>SSC: CHILLER/CONTRACT PM FY15 - EQUIPMENT, D3030</v>
          </cell>
          <cell r="B180">
            <v>0</v>
          </cell>
          <cell r="C180">
            <v>0</v>
          </cell>
          <cell r="D180" t="str">
            <v>SSC-CMC-14</v>
          </cell>
          <cell r="E180" t="str">
            <v>SSC-CMC-13</v>
          </cell>
          <cell r="W180" t="str">
            <v>SSC: CHILLER/CONTRACT PM FY13 - EQUIPMENT, D3030</v>
          </cell>
        </row>
        <row r="181">
          <cell r="A181" t="str">
            <v>SSC1: UTILITIES FY15 - GAS/WATER/ELECTRIC</v>
          </cell>
          <cell r="B181" t="str">
            <v>SSC1</v>
          </cell>
          <cell r="C181" t="str">
            <v>SSC1-EG</v>
          </cell>
          <cell r="D181" t="str">
            <v>SSC1-EG-14</v>
          </cell>
          <cell r="E181" t="str">
            <v>SSC1-EG-13</v>
          </cell>
          <cell r="F181" t="str">
            <v>SSC1-EG-12</v>
          </cell>
          <cell r="G181" t="str">
            <v>SSC1-EG-11</v>
          </cell>
          <cell r="H181" t="str">
            <v>SSC1-EG-10</v>
          </cell>
          <cell r="I181" t="str">
            <v>SSC1-EG-09</v>
          </cell>
          <cell r="J181" t="str">
            <v>SSC1-EG-08</v>
          </cell>
          <cell r="K181" t="str">
            <v>SSC1-EG-07</v>
          </cell>
          <cell r="L181" t="str">
            <v>SSC1-EG-06</v>
          </cell>
          <cell r="M181" t="str">
            <v>SSC1-EG-05</v>
          </cell>
          <cell r="N181" t="str">
            <v>SWO003695</v>
          </cell>
          <cell r="T181">
            <v>481</v>
          </cell>
          <cell r="U181" t="str">
            <v>SSC1</v>
          </cell>
          <cell r="W181" t="str">
            <v xml:space="preserve">SSC1: UTILITIES G/W/E </v>
          </cell>
          <cell r="X181" t="str">
            <v>N</v>
          </cell>
        </row>
        <row r="182">
          <cell r="A182" t="str">
            <v>SSC1: CHILLER/CONTRACT PM FY15 - EQUIPMENT, D3030</v>
          </cell>
          <cell r="B182">
            <v>0</v>
          </cell>
          <cell r="C182">
            <v>0</v>
          </cell>
          <cell r="D182" t="str">
            <v>SSC1-CMC14</v>
          </cell>
          <cell r="E182" t="str">
            <v>SSC1-CMC13</v>
          </cell>
          <cell r="I182">
            <v>0</v>
          </cell>
          <cell r="J182" t="str">
            <v>SWO015066</v>
          </cell>
          <cell r="K182" t="str">
            <v>SWO012330</v>
          </cell>
          <cell r="T182">
            <v>481</v>
          </cell>
          <cell r="W182" t="str">
            <v>SSC1: CHILLER/CONTRACT PM FY13 - EQUIPMENT, D3030</v>
          </cell>
        </row>
        <row r="183">
          <cell r="A183" t="str">
            <v>SSL: UTILITIES FY15 - GAS/WATER/ELECTRIC</v>
          </cell>
          <cell r="B183" t="str">
            <v>SSL</v>
          </cell>
          <cell r="C183" t="str">
            <v>SSL-EGW</v>
          </cell>
          <cell r="D183" t="str">
            <v>SSL-EGW-14</v>
          </cell>
          <cell r="E183" t="str">
            <v>SSL-EGW-13</v>
          </cell>
          <cell r="F183" t="str">
            <v>SSL-EGW-12</v>
          </cell>
          <cell r="G183" t="str">
            <v>SSL-EGW-11</v>
          </cell>
          <cell r="H183" t="str">
            <v>SSL-EGW-10</v>
          </cell>
          <cell r="I183" t="str">
            <v>SSL-EGW-09</v>
          </cell>
          <cell r="J183" t="str">
            <v>SSL-EGW-08</v>
          </cell>
          <cell r="K183" t="str">
            <v>SSL-EGW-07</v>
          </cell>
          <cell r="L183" t="str">
            <v>SSL-EGW-06</v>
          </cell>
          <cell r="M183" t="str">
            <v>SSL-EGW-05</v>
          </cell>
          <cell r="N183" t="str">
            <v>SWO003256</v>
          </cell>
          <cell r="O183" t="str">
            <v>SWO000935</v>
          </cell>
          <cell r="P183" t="str">
            <v>SWO000935</v>
          </cell>
          <cell r="Q183" t="str">
            <v>SWO000935</v>
          </cell>
          <cell r="R183" t="str">
            <v>SWO000935</v>
          </cell>
          <cell r="S183">
            <v>22447</v>
          </cell>
          <cell r="T183" t="str">
            <v>0490</v>
          </cell>
          <cell r="U183" t="str">
            <v>SSL</v>
          </cell>
          <cell r="W183" t="str">
            <v xml:space="preserve">SSL: UTILITIES G/W/E </v>
          </cell>
          <cell r="X183" t="str">
            <v>N</v>
          </cell>
        </row>
        <row r="184">
          <cell r="A184" t="str">
            <v>SSL: UTILITIES CHILLED WATER FY15</v>
          </cell>
          <cell r="B184" t="str">
            <v>SSL</v>
          </cell>
          <cell r="C184" t="str">
            <v>SSL-UCW</v>
          </cell>
          <cell r="D184" t="str">
            <v>SSL-UCW14</v>
          </cell>
          <cell r="E184" t="str">
            <v>SSL-UCW13</v>
          </cell>
          <cell r="F184" t="str">
            <v>SSL-UCW12</v>
          </cell>
          <cell r="G184" t="str">
            <v>SSL-UCW11</v>
          </cell>
          <cell r="H184" t="str">
            <v>SSL-UCW10</v>
          </cell>
          <cell r="I184" t="str">
            <v>SSL-UCW09</v>
          </cell>
          <cell r="J184" t="str">
            <v>SSL-UCW08</v>
          </cell>
          <cell r="K184" t="str">
            <v>SSL-UCW07</v>
          </cell>
          <cell r="L184" t="str">
            <v>SSL-UCW06</v>
          </cell>
          <cell r="M184" t="str">
            <v>SSL-UCW05</v>
          </cell>
          <cell r="W184" t="str">
            <v xml:space="preserve">SSL: UTILITIES CHILLED WATER </v>
          </cell>
        </row>
        <row r="185">
          <cell r="A185" t="str">
            <v>SSL: UTILITIES DEBT SERVICE FY15</v>
          </cell>
          <cell r="B185" t="str">
            <v>SSL</v>
          </cell>
          <cell r="C185" t="str">
            <v>SSL-UDS</v>
          </cell>
          <cell r="D185" t="str">
            <v>SSL-UDS14</v>
          </cell>
          <cell r="E185" t="str">
            <v>SSL-UDS13</v>
          </cell>
          <cell r="F185" t="str">
            <v>SSL-UDS12</v>
          </cell>
          <cell r="G185" t="str">
            <v>SSL-UDS11</v>
          </cell>
          <cell r="H185" t="str">
            <v>SSL-UDS10</v>
          </cell>
          <cell r="I185" t="str">
            <v>SSL-UDS09</v>
          </cell>
          <cell r="J185" t="str">
            <v>SSL-UDS08</v>
          </cell>
          <cell r="K185" t="str">
            <v>SSL-UDS07</v>
          </cell>
          <cell r="L185" t="str">
            <v>SSL-UDS06</v>
          </cell>
          <cell r="M185" t="str">
            <v>SSL-UDS05</v>
          </cell>
          <cell r="W185" t="str">
            <v xml:space="preserve">SSL: UTILITIES DEBT SERVICE </v>
          </cell>
        </row>
        <row r="186">
          <cell r="A186" t="str">
            <v>SSL: UTILITIES MAINT FY15</v>
          </cell>
          <cell r="B186">
            <v>0</v>
          </cell>
          <cell r="C186" t="str">
            <v>SSL-UMT</v>
          </cell>
          <cell r="D186" t="str">
            <v>SSL-UMT14</v>
          </cell>
          <cell r="E186" t="str">
            <v>SSL-UMT13</v>
          </cell>
          <cell r="F186" t="str">
            <v>SSL-UMT12</v>
          </cell>
          <cell r="G186" t="str">
            <v>SSL-UMT11</v>
          </cell>
          <cell r="H186" t="str">
            <v>SSL-UMT10</v>
          </cell>
          <cell r="I186" t="str">
            <v>SSL-UMT09</v>
          </cell>
          <cell r="J186" t="str">
            <v>SSL-UMT08</v>
          </cell>
          <cell r="K186" t="str">
            <v>SSL-UMT07</v>
          </cell>
          <cell r="L186" t="str">
            <v>SSL-UMT06</v>
          </cell>
          <cell r="M186" t="str">
            <v>SSL-UMT05</v>
          </cell>
          <cell r="W186" t="str">
            <v xml:space="preserve">SSL: UTILITIES MAINT </v>
          </cell>
        </row>
        <row r="187">
          <cell r="A187" t="str">
            <v>ECT: UTILITIES FY15 - GAS/WATER/ELECTRIC</v>
          </cell>
          <cell r="B187" t="str">
            <v>ECT</v>
          </cell>
          <cell r="C187" t="str">
            <v>ECT-EGW</v>
          </cell>
          <cell r="D187" t="str">
            <v>ECT-EGW-14</v>
          </cell>
          <cell r="E187" t="str">
            <v>ECT-EGW-13</v>
          </cell>
          <cell r="F187" t="str">
            <v>ECT-EGW-12</v>
          </cell>
          <cell r="G187" t="str">
            <v>ECT-EGW-11</v>
          </cell>
          <cell r="H187" t="str">
            <v>ECT-EGW-10</v>
          </cell>
          <cell r="I187" t="str">
            <v>ECT-EGW-09</v>
          </cell>
          <cell r="J187" t="str">
            <v>ECT-EGW-08</v>
          </cell>
          <cell r="K187" t="str">
            <v>ECT-EGW-07</v>
          </cell>
          <cell r="L187" t="str">
            <v>ECT-EGW-06</v>
          </cell>
          <cell r="M187" t="str">
            <v>ECT-EGW-05</v>
          </cell>
          <cell r="N187" t="str">
            <v>SWO003138</v>
          </cell>
          <cell r="O187" t="str">
            <v>SWO000838</v>
          </cell>
          <cell r="P187" t="str">
            <v>SWO000838</v>
          </cell>
          <cell r="Q187" t="str">
            <v>SWO000838</v>
          </cell>
          <cell r="R187" t="str">
            <v>SWO000838</v>
          </cell>
          <cell r="S187">
            <v>22449</v>
          </cell>
          <cell r="T187" t="str">
            <v>0520</v>
          </cell>
          <cell r="U187" t="str">
            <v>ECT</v>
          </cell>
          <cell r="W187" t="str">
            <v xml:space="preserve">ECT: UTILITIES G/W/E </v>
          </cell>
          <cell r="X187" t="str">
            <v>N</v>
          </cell>
        </row>
        <row r="188">
          <cell r="A188" t="str">
            <v>ECT: UTILITIES CHILLED WATER FY15</v>
          </cell>
          <cell r="B188" t="str">
            <v>ECT</v>
          </cell>
          <cell r="C188" t="str">
            <v>ECT-UCW</v>
          </cell>
          <cell r="D188" t="str">
            <v>ECT-UCW14</v>
          </cell>
          <cell r="E188" t="str">
            <v>ECT-UCW13</v>
          </cell>
          <cell r="F188" t="str">
            <v>ECT-UCW12</v>
          </cell>
          <cell r="G188" t="str">
            <v>ECT-UCW11</v>
          </cell>
          <cell r="H188" t="str">
            <v>ECT-UCW10</v>
          </cell>
          <cell r="I188" t="str">
            <v>ECT-UCW09</v>
          </cell>
          <cell r="J188" t="str">
            <v>ECT-UCW08</v>
          </cell>
          <cell r="K188" t="str">
            <v>ECT-UCW07</v>
          </cell>
          <cell r="L188" t="str">
            <v>ECT-UCW06</v>
          </cell>
          <cell r="M188" t="str">
            <v>ECT-UCW05</v>
          </cell>
          <cell r="W188" t="str">
            <v xml:space="preserve">ECT: UTILITIES CHILLED WATER </v>
          </cell>
        </row>
        <row r="189">
          <cell r="A189" t="str">
            <v>ECT: UTILITIES DEBT SERVICE FY15</v>
          </cell>
          <cell r="B189" t="str">
            <v>ECT</v>
          </cell>
          <cell r="C189" t="str">
            <v>ECT-UDS</v>
          </cell>
          <cell r="D189" t="str">
            <v>ECT-UDS14</v>
          </cell>
          <cell r="E189" t="str">
            <v>ECT-UDS13</v>
          </cell>
          <cell r="F189" t="str">
            <v>ECT-UDS12</v>
          </cell>
          <cell r="G189" t="str">
            <v>ECT-UDS11</v>
          </cell>
          <cell r="H189" t="str">
            <v>ECT-UDS10</v>
          </cell>
          <cell r="I189" t="str">
            <v>ECT-UDS09</v>
          </cell>
          <cell r="J189" t="str">
            <v>ECT-UDS08</v>
          </cell>
          <cell r="K189" t="str">
            <v>ECT-UDS07</v>
          </cell>
          <cell r="L189" t="str">
            <v>ECT-UDS06</v>
          </cell>
          <cell r="M189" t="str">
            <v>ECT-UDS05</v>
          </cell>
          <cell r="W189" t="str">
            <v xml:space="preserve">ECT: UTILITIES DEBT SERVICE </v>
          </cell>
        </row>
        <row r="190">
          <cell r="A190" t="str">
            <v>ECT: UTILITIES MAINT FY15</v>
          </cell>
          <cell r="B190">
            <v>0</v>
          </cell>
          <cell r="C190" t="str">
            <v>ECT-UMT</v>
          </cell>
          <cell r="D190" t="str">
            <v>ECT-UMT14</v>
          </cell>
          <cell r="E190" t="str">
            <v>ECT-EGW-13</v>
          </cell>
          <cell r="F190" t="str">
            <v>ECT-EGW-12</v>
          </cell>
          <cell r="G190" t="str">
            <v>ECT-EGW-11</v>
          </cell>
          <cell r="H190" t="str">
            <v>ECT-EGW-10</v>
          </cell>
          <cell r="I190" t="str">
            <v>ECT-EGW-09</v>
          </cell>
          <cell r="J190" t="str">
            <v>ECT-EGW-08</v>
          </cell>
          <cell r="K190" t="str">
            <v>ECT-EGW-07</v>
          </cell>
          <cell r="L190" t="str">
            <v>ECT-EGW-06</v>
          </cell>
          <cell r="M190" t="str">
            <v>ECT-EGW-05</v>
          </cell>
          <cell r="W190" t="str">
            <v xml:space="preserve">ECT: UTILITIES G/W/E </v>
          </cell>
        </row>
        <row r="191">
          <cell r="A191" t="str">
            <v>WTO: UTILITIES FY15 - ELECTRIC</v>
          </cell>
          <cell r="B191" t="str">
            <v>WTO</v>
          </cell>
          <cell r="C191" t="str">
            <v>WTO-ELC</v>
          </cell>
          <cell r="D191" t="str">
            <v>WTO-ELC-14</v>
          </cell>
          <cell r="E191" t="str">
            <v>WTO-ELC-13</v>
          </cell>
          <cell r="F191" t="str">
            <v>WTO-ELC-12</v>
          </cell>
          <cell r="G191" t="str">
            <v>WTO-ELC-11</v>
          </cell>
          <cell r="H191" t="str">
            <v>WTO-ELC-10</v>
          </cell>
          <cell r="I191" t="str">
            <v>WTO-ELC-09</v>
          </cell>
          <cell r="J191" t="str">
            <v>WTO-ELC-08</v>
          </cell>
          <cell r="K191" t="str">
            <v>WTO-ELC-07</v>
          </cell>
          <cell r="L191" t="str">
            <v>SWO009003</v>
          </cell>
          <cell r="M191" t="str">
            <v>SWO005988</v>
          </cell>
          <cell r="N191" t="str">
            <v>SWO003452</v>
          </cell>
          <cell r="O191" t="str">
            <v>SWO002525</v>
          </cell>
          <cell r="P191" t="str">
            <v>SWO001775</v>
          </cell>
          <cell r="Q191" t="str">
            <v>SWO001280</v>
          </cell>
          <cell r="R191" t="str">
            <v>SWO000936</v>
          </cell>
          <cell r="S191">
            <v>22450</v>
          </cell>
          <cell r="T191" t="str">
            <v>0550</v>
          </cell>
          <cell r="U191" t="str">
            <v>WTO</v>
          </cell>
          <cell r="W191" t="str">
            <v>Webb Tower - Electric</v>
          </cell>
          <cell r="X191" t="str">
            <v>Y</v>
          </cell>
          <cell r="Y191" t="str">
            <v>17-8701-0328</v>
          </cell>
          <cell r="Z191">
            <v>20215</v>
          </cell>
        </row>
        <row r="192">
          <cell r="A192" t="str">
            <v>WTO: UTILITIES FY15 - WATER</v>
          </cell>
          <cell r="B192" t="str">
            <v>WTO</v>
          </cell>
          <cell r="C192" t="str">
            <v>WTO-WTR</v>
          </cell>
          <cell r="D192" t="str">
            <v>WTO-WTR-14</v>
          </cell>
          <cell r="E192" t="str">
            <v>WTO-WTR-13</v>
          </cell>
          <cell r="F192" t="str">
            <v>WTO-WTR-12</v>
          </cell>
          <cell r="G192" t="str">
            <v>WTO-WTR-11</v>
          </cell>
          <cell r="H192" t="str">
            <v>WTO-WTR-10</v>
          </cell>
          <cell r="I192" t="str">
            <v>WTO-WTR-09</v>
          </cell>
          <cell r="J192" t="str">
            <v>WTO-WTR-08</v>
          </cell>
          <cell r="K192" t="str">
            <v>WTO-WTR-07</v>
          </cell>
          <cell r="M192" t="str">
            <v>SWO005987</v>
          </cell>
          <cell r="N192" t="str">
            <v>SWO003453</v>
          </cell>
          <cell r="O192" t="str">
            <v>SWO002514</v>
          </cell>
          <cell r="P192" t="str">
            <v>SWO001765</v>
          </cell>
          <cell r="Q192" t="str">
            <v>SWO001281</v>
          </cell>
          <cell r="R192" t="str">
            <v>SWO000937</v>
          </cell>
          <cell r="S192">
            <v>22451</v>
          </cell>
          <cell r="U192" t="str">
            <v>WTO</v>
          </cell>
          <cell r="W192" t="str">
            <v>Webb Tower - Water  PER kw 7/19/06</v>
          </cell>
          <cell r="X192" t="str">
            <v>Y</v>
          </cell>
          <cell r="Y192" t="str">
            <v>17-8701-0328</v>
          </cell>
          <cell r="Z192">
            <v>20212</v>
          </cell>
        </row>
        <row r="193">
          <cell r="A193" t="str">
            <v>WTO: UTILITIES CHILLED WATER FY15</v>
          </cell>
          <cell r="B193" t="str">
            <v>WTO</v>
          </cell>
          <cell r="C193" t="str">
            <v>WTO-UCW</v>
          </cell>
          <cell r="D193" t="str">
            <v>WTO-UCW14</v>
          </cell>
          <cell r="E193" t="str">
            <v>WTO-UCW13</v>
          </cell>
          <cell r="F193" t="str">
            <v>WTO-UCW12</v>
          </cell>
          <cell r="G193" t="str">
            <v>WTO-UCW11</v>
          </cell>
          <cell r="H193" t="str">
            <v>WTO-UCW10</v>
          </cell>
          <cell r="I193" t="str">
            <v>WTO-UCW09</v>
          </cell>
          <cell r="J193" t="str">
            <v>WTO-UCW08</v>
          </cell>
          <cell r="K193" t="str">
            <v>WTO-UCW07</v>
          </cell>
          <cell r="L193" t="str">
            <v>WTO-UCW06</v>
          </cell>
          <cell r="M193" t="str">
            <v>WTO-UCW05</v>
          </cell>
          <cell r="W193" t="str">
            <v xml:space="preserve">WTO: UTILITIES CHILLED WATER </v>
          </cell>
        </row>
        <row r="194">
          <cell r="A194" t="str">
            <v>WTO: UTILITIES DEBT SERVICE FY15</v>
          </cell>
          <cell r="B194" t="str">
            <v>WTO</v>
          </cell>
          <cell r="C194" t="str">
            <v>WTO-UDS</v>
          </cell>
          <cell r="D194" t="str">
            <v>WTO-UDS14</v>
          </cell>
          <cell r="E194" t="str">
            <v>WTO-UDS13</v>
          </cell>
          <cell r="F194" t="str">
            <v>WTO-UDS12</v>
          </cell>
          <cell r="G194" t="str">
            <v>WTO-UDS11</v>
          </cell>
          <cell r="H194" t="str">
            <v>WTO-UDS10</v>
          </cell>
          <cell r="I194" t="str">
            <v>WTO-UDS09</v>
          </cell>
          <cell r="J194" t="str">
            <v>WTO-UDS08</v>
          </cell>
          <cell r="K194" t="str">
            <v>WTO-UDS07</v>
          </cell>
          <cell r="L194" t="str">
            <v>WTO-UDS06</v>
          </cell>
          <cell r="M194" t="str">
            <v>WTO-UDS05</v>
          </cell>
          <cell r="W194" t="str">
            <v xml:space="preserve">WTO: UTILITIES DEBT SERVICE </v>
          </cell>
        </row>
        <row r="195">
          <cell r="A195" t="str">
            <v>WTO: UTILITIES MAINT FY15</v>
          </cell>
          <cell r="B195">
            <v>0</v>
          </cell>
          <cell r="C195" t="str">
            <v>WTO-UMT</v>
          </cell>
          <cell r="D195" t="str">
            <v>WTO-UMT14</v>
          </cell>
          <cell r="E195" t="str">
            <v>WTO-UMT13</v>
          </cell>
          <cell r="F195" t="str">
            <v>WTO-UMT12</v>
          </cell>
          <cell r="G195" t="str">
            <v>WTO-UMT11</v>
          </cell>
          <cell r="H195" t="str">
            <v>WTO-UMT10</v>
          </cell>
          <cell r="I195" t="str">
            <v>WTO-UMT09</v>
          </cell>
          <cell r="J195" t="str">
            <v>WTO-UMT08</v>
          </cell>
          <cell r="K195" t="str">
            <v>WTO-UMT07</v>
          </cell>
          <cell r="L195" t="str">
            <v>WTO-UMT06</v>
          </cell>
          <cell r="M195" t="str">
            <v>WTO-UMT05</v>
          </cell>
          <cell r="W195" t="str">
            <v xml:space="preserve">WTO: UTILITIES MAINT </v>
          </cell>
        </row>
        <row r="196">
          <cell r="A196" t="str">
            <v>FLT: UTILITIES FY15 - ELECTRIC</v>
          </cell>
          <cell r="B196" t="str">
            <v>FLT</v>
          </cell>
          <cell r="C196" t="str">
            <v>FLT-ELC</v>
          </cell>
          <cell r="D196" t="str">
            <v>FLT-ELC-14</v>
          </cell>
          <cell r="E196" t="str">
            <v>FLT-ELC-13</v>
          </cell>
          <cell r="F196" t="str">
            <v>FLT-ELC-12</v>
          </cell>
          <cell r="G196" t="str">
            <v>FLT-ELC-11</v>
          </cell>
          <cell r="H196" t="str">
            <v>FLT-ELC-10</v>
          </cell>
          <cell r="I196" t="str">
            <v>FLT-ELC-09</v>
          </cell>
          <cell r="J196" t="str">
            <v>FLT-ELC-08</v>
          </cell>
          <cell r="K196" t="str">
            <v>FLT-ELC-07</v>
          </cell>
          <cell r="L196" t="str">
            <v>SWO009005</v>
          </cell>
          <cell r="M196" t="str">
            <v>SWO005990</v>
          </cell>
          <cell r="N196" t="str">
            <v>SWO003413</v>
          </cell>
          <cell r="O196" t="str">
            <v>SWO002519</v>
          </cell>
          <cell r="P196" t="str">
            <v>SWO001769</v>
          </cell>
          <cell r="Q196" t="str">
            <v>SWO001282</v>
          </cell>
          <cell r="R196" t="str">
            <v>SWO000938</v>
          </cell>
          <cell r="S196">
            <v>22452</v>
          </cell>
          <cell r="T196" t="str">
            <v>0560</v>
          </cell>
          <cell r="U196" t="str">
            <v>FLT</v>
          </cell>
          <cell r="W196" t="str">
            <v>Fluor Tower - Electric</v>
          </cell>
          <cell r="X196" t="str">
            <v>Y</v>
          </cell>
          <cell r="Y196" t="str">
            <v>17-8701-0322</v>
          </cell>
          <cell r="Z196">
            <v>20215</v>
          </cell>
        </row>
        <row r="197">
          <cell r="A197" t="str">
            <v>FLT: UTILITIES FY15 - WATER</v>
          </cell>
          <cell r="B197" t="str">
            <v>FLT</v>
          </cell>
          <cell r="C197" t="str">
            <v>FLT-WTR</v>
          </cell>
          <cell r="D197" t="str">
            <v>FLT-WTR-14</v>
          </cell>
          <cell r="E197" t="str">
            <v>FLT-WTR-13</v>
          </cell>
          <cell r="F197" t="str">
            <v>FLT-WTR-12</v>
          </cell>
          <cell r="G197" t="str">
            <v>FLT-WTR-11</v>
          </cell>
          <cell r="H197" t="str">
            <v>FLT-WTR-10</v>
          </cell>
          <cell r="I197" t="str">
            <v>FLT-WTR-09</v>
          </cell>
          <cell r="J197" t="str">
            <v>FLT-WTR-08</v>
          </cell>
          <cell r="K197" t="str">
            <v>FLT-WTR-07</v>
          </cell>
          <cell r="L197" t="str">
            <v>SWO009006</v>
          </cell>
          <cell r="M197" t="str">
            <v>SWO005989</v>
          </cell>
          <cell r="N197" t="str">
            <v>SWO003414</v>
          </cell>
          <cell r="O197" t="str">
            <v>SWO002508</v>
          </cell>
          <cell r="P197" t="str">
            <v>SWO001759</v>
          </cell>
          <cell r="Q197" t="str">
            <v>SWO001283</v>
          </cell>
          <cell r="R197" t="str">
            <v>SWO000939</v>
          </cell>
          <cell r="S197">
            <v>22453</v>
          </cell>
          <cell r="U197" t="str">
            <v>FLT</v>
          </cell>
          <cell r="W197" t="str">
            <v>Fluor Tower - Water</v>
          </cell>
          <cell r="X197" t="str">
            <v>Y</v>
          </cell>
          <cell r="Y197" t="str">
            <v>17-8701-0322</v>
          </cell>
          <cell r="Z197">
            <v>20212</v>
          </cell>
        </row>
        <row r="198">
          <cell r="A198" t="str">
            <v>FLT: UTILITIES CHILLED WATER FY15</v>
          </cell>
          <cell r="B198" t="str">
            <v>FLT</v>
          </cell>
          <cell r="C198" t="str">
            <v>FLT-UCW</v>
          </cell>
          <cell r="D198" t="str">
            <v>FLT-UCW14</v>
          </cell>
          <cell r="E198" t="str">
            <v>FLT-UCW13</v>
          </cell>
          <cell r="F198" t="str">
            <v>FLT-UCW12</v>
          </cell>
          <cell r="G198" t="str">
            <v>FLT-UCW11</v>
          </cell>
          <cell r="H198" t="str">
            <v>FLT-UCW10</v>
          </cell>
          <cell r="I198" t="str">
            <v>FLT-UCW09</v>
          </cell>
          <cell r="J198" t="str">
            <v>FLT-UCW08</v>
          </cell>
          <cell r="K198" t="str">
            <v>FLT-UCW07</v>
          </cell>
          <cell r="L198" t="str">
            <v>FLT-UCW06</v>
          </cell>
          <cell r="M198" t="str">
            <v>FLT-UCW05</v>
          </cell>
          <cell r="W198" t="str">
            <v xml:space="preserve">FLT: UTILITIES CHILLED WATER </v>
          </cell>
        </row>
        <row r="199">
          <cell r="A199" t="str">
            <v>FLT: UTILITIES DEBT SERVICE FY15</v>
          </cell>
          <cell r="B199" t="str">
            <v>FLT</v>
          </cell>
          <cell r="C199" t="str">
            <v>FLT-UDS</v>
          </cell>
          <cell r="D199" t="str">
            <v>FLT-UDS14</v>
          </cell>
          <cell r="E199" t="str">
            <v>FLT-UDS13</v>
          </cell>
          <cell r="F199" t="str">
            <v>FLT-UDS12</v>
          </cell>
          <cell r="G199" t="str">
            <v>FLT-UDS11</v>
          </cell>
          <cell r="H199" t="str">
            <v>FLT-UDS10</v>
          </cell>
          <cell r="I199" t="str">
            <v>FLT-UDS09</v>
          </cell>
          <cell r="J199" t="str">
            <v>FLT-UDS08</v>
          </cell>
          <cell r="K199" t="str">
            <v>FLT-UDS07</v>
          </cell>
          <cell r="L199" t="str">
            <v>FLT-UDS06</v>
          </cell>
          <cell r="M199" t="str">
            <v>FLT-UDS05</v>
          </cell>
          <cell r="W199" t="str">
            <v xml:space="preserve">FLT: UTILITIES DEBT SERVICE </v>
          </cell>
        </row>
        <row r="200">
          <cell r="A200" t="str">
            <v>FLT: UTILITIES MAINT FY15</v>
          </cell>
          <cell r="B200">
            <v>0</v>
          </cell>
          <cell r="C200" t="str">
            <v>FLT-UMT</v>
          </cell>
          <cell r="D200" t="str">
            <v>FLT-UMT14</v>
          </cell>
          <cell r="E200" t="str">
            <v>FLT-UMT13</v>
          </cell>
          <cell r="F200" t="str">
            <v>FLT-UMT12</v>
          </cell>
          <cell r="G200" t="str">
            <v>FLT-UMT11</v>
          </cell>
          <cell r="H200" t="str">
            <v>FLT-UMT10</v>
          </cell>
          <cell r="I200" t="str">
            <v>FLT-UMT09</v>
          </cell>
          <cell r="J200" t="str">
            <v>FLT-UMT08</v>
          </cell>
          <cell r="K200" t="str">
            <v>FLT-UMT07</v>
          </cell>
          <cell r="L200" t="str">
            <v>FLT-UMT06</v>
          </cell>
          <cell r="M200" t="str">
            <v>FLT-UMT05</v>
          </cell>
          <cell r="W200" t="str">
            <v xml:space="preserve">FLT: UTILITIES MAINT </v>
          </cell>
        </row>
        <row r="201">
          <cell r="A201" t="str">
            <v>CWT: UTILITIES FY15 - GAS/WATER/ELECTRIC</v>
          </cell>
          <cell r="B201" t="str">
            <v>CWT</v>
          </cell>
          <cell r="C201" t="str">
            <v>CWT-EGW</v>
          </cell>
          <cell r="D201" t="str">
            <v>CWT-EGW-14</v>
          </cell>
          <cell r="E201" t="str">
            <v>CWT-EGW-13</v>
          </cell>
          <cell r="F201" t="str">
            <v>CWT-EGW-12</v>
          </cell>
          <cell r="G201" t="str">
            <v>CWT-EGW-11</v>
          </cell>
          <cell r="H201" t="str">
            <v>CWT-EGW-10</v>
          </cell>
          <cell r="I201" t="str">
            <v>CWT-EGW-09</v>
          </cell>
          <cell r="J201" t="str">
            <v>CWT-EGW-08</v>
          </cell>
          <cell r="K201" t="str">
            <v>CWT-EGW-07</v>
          </cell>
          <cell r="L201" t="str">
            <v>CWT-EGW-06</v>
          </cell>
          <cell r="M201" t="str">
            <v>CWT-EGW-05</v>
          </cell>
          <cell r="N201" t="str">
            <v>SWO003126</v>
          </cell>
          <cell r="O201" t="str">
            <v>SWO000839</v>
          </cell>
          <cell r="P201" t="str">
            <v>SWO000839</v>
          </cell>
          <cell r="Q201" t="str">
            <v>SWO000839</v>
          </cell>
          <cell r="R201" t="str">
            <v>SWO000839</v>
          </cell>
          <cell r="S201">
            <v>22454</v>
          </cell>
          <cell r="T201" t="str">
            <v>0590</v>
          </cell>
          <cell r="U201" t="str">
            <v>CWT</v>
          </cell>
          <cell r="W201" t="str">
            <v xml:space="preserve">CWT: UTILITIES G/W/E </v>
          </cell>
          <cell r="X201" t="str">
            <v>N</v>
          </cell>
        </row>
        <row r="202">
          <cell r="A202" t="str">
            <v>CWT: UTILITIES CHILLED WATER FY15</v>
          </cell>
          <cell r="B202" t="str">
            <v>CWT</v>
          </cell>
          <cell r="C202" t="str">
            <v>CWT-UCW</v>
          </cell>
          <cell r="D202" t="str">
            <v>CWT-UCW14</v>
          </cell>
          <cell r="E202" t="str">
            <v>CWT-UCW13</v>
          </cell>
          <cell r="F202" t="str">
            <v>CWT-UCW12</v>
          </cell>
          <cell r="G202" t="str">
            <v>CWT-UCW11</v>
          </cell>
          <cell r="H202" t="str">
            <v>CWT-UCW10</v>
          </cell>
          <cell r="I202" t="str">
            <v>CWT-UCW09</v>
          </cell>
          <cell r="J202" t="str">
            <v>CWT-UCW08</v>
          </cell>
          <cell r="K202" t="str">
            <v>CWT-UCW07</v>
          </cell>
          <cell r="L202" t="str">
            <v>CWT-UCW06</v>
          </cell>
          <cell r="M202" t="str">
            <v>CWT-UCW05</v>
          </cell>
          <cell r="W202" t="str">
            <v xml:space="preserve">CWT: UTILITIES CHILLED WATER </v>
          </cell>
        </row>
        <row r="203">
          <cell r="A203" t="str">
            <v>CWT: UTILITIES DEBT SERVICE FY15</v>
          </cell>
          <cell r="B203" t="str">
            <v>CWT</v>
          </cell>
          <cell r="C203" t="str">
            <v>CWT-UDS</v>
          </cell>
          <cell r="D203" t="str">
            <v>CWT-UDS14</v>
          </cell>
          <cell r="E203" t="str">
            <v>CWT-UDS13</v>
          </cell>
          <cell r="F203" t="str">
            <v>CWT-UDS12</v>
          </cell>
          <cell r="G203" t="str">
            <v>CWT-UDS11</v>
          </cell>
          <cell r="H203" t="str">
            <v>CWT-UDS10</v>
          </cell>
          <cell r="I203" t="str">
            <v>CWT-UDS09</v>
          </cell>
          <cell r="J203" t="str">
            <v>CWT-UDS08</v>
          </cell>
          <cell r="K203" t="str">
            <v>CWT-UDS07</v>
          </cell>
          <cell r="L203" t="str">
            <v>CWT-UDS06</v>
          </cell>
          <cell r="M203" t="str">
            <v>CWT-UDS05</v>
          </cell>
          <cell r="W203" t="str">
            <v xml:space="preserve">CWT: UTILITIES DEBT SERVICE </v>
          </cell>
        </row>
        <row r="204">
          <cell r="A204" t="str">
            <v>CWT: UTILITIES MAINT FY15</v>
          </cell>
          <cell r="B204">
            <v>0</v>
          </cell>
          <cell r="C204" t="str">
            <v>CWT-UMT</v>
          </cell>
          <cell r="D204" t="str">
            <v>CWT-UMT14</v>
          </cell>
          <cell r="E204" t="str">
            <v>CWT-UMT13</v>
          </cell>
          <cell r="F204" t="str">
            <v>CWT-UMT12</v>
          </cell>
          <cell r="G204" t="str">
            <v>CWT-UMT11</v>
          </cell>
          <cell r="H204" t="str">
            <v>CWT-UMT10</v>
          </cell>
          <cell r="I204" t="str">
            <v>CWT-UMT09</v>
          </cell>
          <cell r="J204" t="str">
            <v>CWT-UMT08</v>
          </cell>
          <cell r="K204" t="str">
            <v>CWT-UMT07</v>
          </cell>
          <cell r="L204" t="str">
            <v>CWT-UMT06</v>
          </cell>
          <cell r="M204" t="str">
            <v>CWT-UMT05</v>
          </cell>
          <cell r="W204" t="str">
            <v xml:space="preserve">CWT: UTILITIES MAINT </v>
          </cell>
        </row>
        <row r="205">
          <cell r="B205" t="str">
            <v>PPU</v>
          </cell>
          <cell r="I205">
            <v>0</v>
          </cell>
          <cell r="J205" t="str">
            <v>PPU-EGW-08</v>
          </cell>
          <cell r="K205" t="str">
            <v>PPU-EGW-07</v>
          </cell>
          <cell r="L205" t="str">
            <v>PPU-EGW-06</v>
          </cell>
          <cell r="M205" t="str">
            <v>PPU-EGW-05</v>
          </cell>
          <cell r="N205" t="str">
            <v>SWO003223</v>
          </cell>
          <cell r="O205" t="str">
            <v>SWO000940</v>
          </cell>
          <cell r="P205" t="str">
            <v>SWO000940</v>
          </cell>
          <cell r="Q205" t="str">
            <v>SWO000940</v>
          </cell>
          <cell r="R205" t="str">
            <v>SWO000940</v>
          </cell>
          <cell r="S205">
            <v>22455</v>
          </cell>
          <cell r="T205" t="str">
            <v>0600</v>
          </cell>
          <cell r="U205" t="str">
            <v>PPU</v>
          </cell>
          <cell r="W205" t="str">
            <v>PPU: UTILITIES G/W/E  (CLOSED 2/11/07)</v>
          </cell>
          <cell r="X205" t="str">
            <v>N</v>
          </cell>
          <cell r="Y205" t="str">
            <v>DEMOLISHED 6/30/2009</v>
          </cell>
        </row>
        <row r="206">
          <cell r="B206" t="str">
            <v>PPG</v>
          </cell>
          <cell r="I206" t="str">
            <v>PPG-EGW-09</v>
          </cell>
          <cell r="J206" t="str">
            <v>PPG-EGW-08</v>
          </cell>
          <cell r="K206" t="str">
            <v>PPG-EGW-07</v>
          </cell>
          <cell r="L206" t="str">
            <v>PPG-EGW-06</v>
          </cell>
          <cell r="M206" t="str">
            <v>PPG-EGW-05</v>
          </cell>
          <cell r="N206" t="str">
            <v>SWO003222</v>
          </cell>
          <cell r="O206" t="str">
            <v>SWO000941</v>
          </cell>
          <cell r="P206" t="str">
            <v>SWO000941</v>
          </cell>
          <cell r="Q206" t="str">
            <v>SWO000941</v>
          </cell>
          <cell r="R206" t="str">
            <v>SWO000941</v>
          </cell>
          <cell r="S206">
            <v>22456</v>
          </cell>
          <cell r="T206" t="str">
            <v>0610</v>
          </cell>
          <cell r="U206" t="str">
            <v>PPG</v>
          </cell>
          <cell r="W206" t="str">
            <v xml:space="preserve">PPG: UTILITIES G/W/E </v>
          </cell>
          <cell r="X206" t="str">
            <v>N</v>
          </cell>
          <cell r="Y206" t="str">
            <v>DEMOLISHED 6/30/2009</v>
          </cell>
        </row>
        <row r="207">
          <cell r="A207" t="str">
            <v>FAM: UTILITIES FY15 - GAS/WATER/ELECTRIC</v>
          </cell>
          <cell r="B207" t="str">
            <v>FAM</v>
          </cell>
          <cell r="C207" t="str">
            <v>FAM-EGW</v>
          </cell>
          <cell r="D207" t="str">
            <v>FAM-EGW-14</v>
          </cell>
          <cell r="E207" t="str">
            <v>FAM-EGW-13</v>
          </cell>
          <cell r="F207" t="str">
            <v>FAM-EGW-12</v>
          </cell>
          <cell r="G207" t="str">
            <v>FAM-EGW-11</v>
          </cell>
          <cell r="H207" t="str">
            <v>FAM-EGW-10</v>
          </cell>
          <cell r="I207" t="str">
            <v>FAM-EGW-09</v>
          </cell>
          <cell r="J207" t="str">
            <v>FAM-EGW-08</v>
          </cell>
          <cell r="K207" t="str">
            <v>FAM-EGW-07</v>
          </cell>
          <cell r="L207" t="str">
            <v>FAM-EGW-06</v>
          </cell>
          <cell r="M207" t="str">
            <v>FAM-EGW-05</v>
          </cell>
          <cell r="N207" t="str">
            <v>SWO003147</v>
          </cell>
          <cell r="O207" t="str">
            <v>SWO000942</v>
          </cell>
          <cell r="P207" t="str">
            <v>SWO000942</v>
          </cell>
          <cell r="Q207" t="str">
            <v>SWO000942</v>
          </cell>
          <cell r="R207" t="str">
            <v>SWO000942</v>
          </cell>
          <cell r="S207">
            <v>22457</v>
          </cell>
          <cell r="T207" t="str">
            <v>0630</v>
          </cell>
          <cell r="U207" t="str">
            <v>FAM</v>
          </cell>
          <cell r="W207" t="str">
            <v xml:space="preserve">FAM: UTILITIES G/W/E </v>
          </cell>
          <cell r="X207" t="str">
            <v>N</v>
          </cell>
          <cell r="Y207" t="str">
            <v>DEMOLISHED 8/1/2011</v>
          </cell>
        </row>
        <row r="208">
          <cell r="A208" t="str">
            <v>DEN: UTILITIES FY15 - GAS/WATER/ELECTRIC</v>
          </cell>
          <cell r="B208" t="str">
            <v>DEN</v>
          </cell>
          <cell r="C208" t="str">
            <v>DEN-EGW</v>
          </cell>
          <cell r="D208" t="str">
            <v>DEN-EGW-14</v>
          </cell>
          <cell r="E208" t="str">
            <v>DEN-EGW-13</v>
          </cell>
          <cell r="F208" t="str">
            <v>DEN-EGW-12</v>
          </cell>
          <cell r="G208" t="str">
            <v>DEN-EGW-11</v>
          </cell>
          <cell r="H208" t="str">
            <v>DEN-EGW-10</v>
          </cell>
          <cell r="I208" t="str">
            <v>DEN-EGW-09</v>
          </cell>
          <cell r="J208" t="str">
            <v>DEN-EGW-08</v>
          </cell>
          <cell r="K208" t="str">
            <v>DEN-EGW-07</v>
          </cell>
          <cell r="L208" t="str">
            <v>DEN-EGW-06</v>
          </cell>
          <cell r="M208" t="str">
            <v>DEN-EGW-05</v>
          </cell>
          <cell r="N208" t="str">
            <v>SWO003128</v>
          </cell>
          <cell r="O208" t="str">
            <v>SWO000840</v>
          </cell>
          <cell r="P208" t="str">
            <v>SWO000840</v>
          </cell>
          <cell r="Q208" t="str">
            <v>SWO000840</v>
          </cell>
          <cell r="R208" t="str">
            <v>SWO000840</v>
          </cell>
          <cell r="S208">
            <v>22458</v>
          </cell>
          <cell r="T208" t="str">
            <v>0640</v>
          </cell>
          <cell r="U208" t="str">
            <v>DEN</v>
          </cell>
          <cell r="W208" t="str">
            <v xml:space="preserve">DEN: UTILITIES G/W/E </v>
          </cell>
          <cell r="X208" t="str">
            <v>N</v>
          </cell>
        </row>
        <row r="209">
          <cell r="A209" t="str">
            <v>DEN: UTILITIES CHILLED WATER FY15</v>
          </cell>
          <cell r="B209" t="str">
            <v>DEN</v>
          </cell>
          <cell r="C209" t="str">
            <v>DEN-UCW</v>
          </cell>
          <cell r="D209" t="str">
            <v>DEN-UCW14</v>
          </cell>
          <cell r="E209" t="str">
            <v>DEN-UCW13</v>
          </cell>
          <cell r="F209" t="str">
            <v>DEN-UCW12</v>
          </cell>
          <cell r="G209" t="str">
            <v>DEN-UCW11</v>
          </cell>
          <cell r="H209" t="str">
            <v>DEN-UCW10</v>
          </cell>
          <cell r="I209" t="str">
            <v>DEN-UCW09</v>
          </cell>
          <cell r="J209" t="str">
            <v>DEN-UCW08</v>
          </cell>
          <cell r="K209" t="str">
            <v>DEN-UCW07</v>
          </cell>
          <cell r="L209" t="str">
            <v>DEN-UCW06</v>
          </cell>
          <cell r="M209" t="str">
            <v>DEN-UCW05</v>
          </cell>
          <cell r="W209" t="str">
            <v xml:space="preserve">DEN: UTILITIES CHILLED WATER </v>
          </cell>
        </row>
        <row r="210">
          <cell r="A210" t="str">
            <v>DEN: UTILITIES DEBT SERVICE FY15</v>
          </cell>
          <cell r="B210" t="str">
            <v>DEN</v>
          </cell>
          <cell r="C210" t="str">
            <v>DEN-UDS</v>
          </cell>
          <cell r="D210" t="str">
            <v>DEN-UDS14</v>
          </cell>
          <cell r="E210" t="str">
            <v>DEN-UDS13</v>
          </cell>
          <cell r="F210" t="str">
            <v>DEN-UDS12</v>
          </cell>
          <cell r="G210" t="str">
            <v>DEN-UDS11</v>
          </cell>
          <cell r="H210" t="str">
            <v>DEN-UDS10</v>
          </cell>
          <cell r="I210" t="str">
            <v>DEN-UDS09</v>
          </cell>
          <cell r="J210" t="str">
            <v>DEN-UDS08</v>
          </cell>
          <cell r="K210" t="str">
            <v>DEN-UDS07</v>
          </cell>
          <cell r="L210" t="str">
            <v>DEN-UDS06</v>
          </cell>
          <cell r="M210" t="str">
            <v>DEN-UDS05</v>
          </cell>
          <cell r="W210" t="str">
            <v xml:space="preserve">DEN: UTILITIES DEBT SERVICE </v>
          </cell>
        </row>
        <row r="211">
          <cell r="A211" t="str">
            <v>DEN: UTILITIES MAINT FY15</v>
          </cell>
          <cell r="B211">
            <v>0</v>
          </cell>
          <cell r="C211" t="str">
            <v>DEN-UMT</v>
          </cell>
          <cell r="D211" t="str">
            <v>DEN-UMT14</v>
          </cell>
          <cell r="E211" t="str">
            <v>DEN-UMT13</v>
          </cell>
          <cell r="F211" t="str">
            <v>DEN-UMT12</v>
          </cell>
          <cell r="G211" t="str">
            <v>DEN-UMT11</v>
          </cell>
          <cell r="H211" t="str">
            <v>DEN-UMT10</v>
          </cell>
          <cell r="I211" t="str">
            <v>DEN-UMT09</v>
          </cell>
          <cell r="J211" t="str">
            <v>DEN-UMT08</v>
          </cell>
          <cell r="K211" t="str">
            <v>DEN-UMT07</v>
          </cell>
          <cell r="L211" t="str">
            <v>DEN-UMT06</v>
          </cell>
          <cell r="M211" t="str">
            <v>DEN-UMT05</v>
          </cell>
          <cell r="W211" t="str">
            <v xml:space="preserve">DEN: UTILITIES MAINT </v>
          </cell>
        </row>
        <row r="212">
          <cell r="A212" t="str">
            <v>DEN9: UTILITIES FY15 - ELECTRIC, CELL SITE</v>
          </cell>
          <cell r="B212">
            <v>0</v>
          </cell>
          <cell r="C212" t="str">
            <v>DEN9NELC</v>
          </cell>
          <cell r="D212" t="str">
            <v>DEN-CMC-14</v>
          </cell>
          <cell r="E212" t="str">
            <v>DEN-CMC-13</v>
          </cell>
          <cell r="T212" t="str">
            <v>0649</v>
          </cell>
          <cell r="W212" t="str">
            <v>DEN CELL SITE - ELECTRIC</v>
          </cell>
        </row>
        <row r="213">
          <cell r="A213" t="str">
            <v>PED: UTILITIES FY15 - GAS/WATER/ELECTRIC</v>
          </cell>
          <cell r="B213" t="str">
            <v>PED</v>
          </cell>
          <cell r="C213" t="str">
            <v>PED-EGW</v>
          </cell>
          <cell r="D213" t="str">
            <v>PED-EGW-14</v>
          </cell>
          <cell r="E213" t="str">
            <v>PED-EGW-13</v>
          </cell>
          <cell r="F213" t="str">
            <v>PED-EGW-12</v>
          </cell>
          <cell r="G213" t="str">
            <v>PED-EGW-11</v>
          </cell>
          <cell r="H213" t="str">
            <v>PED-EGW-10</v>
          </cell>
          <cell r="I213" t="str">
            <v>PED-EGW-09</v>
          </cell>
          <cell r="J213" t="str">
            <v>PED-EGW-08</v>
          </cell>
          <cell r="K213" t="str">
            <v>PED-EGW-07</v>
          </cell>
          <cell r="L213" t="str">
            <v>PED-EGW-06</v>
          </cell>
          <cell r="M213" t="str">
            <v>PED-EGW-05</v>
          </cell>
          <cell r="N213" t="str">
            <v>SWO003214</v>
          </cell>
          <cell r="O213" t="str">
            <v>SWO000943</v>
          </cell>
          <cell r="P213" t="str">
            <v>SWO000943</v>
          </cell>
          <cell r="Q213" t="str">
            <v>SWO000943</v>
          </cell>
          <cell r="R213" t="str">
            <v>SWO000943</v>
          </cell>
          <cell r="S213">
            <v>22459</v>
          </cell>
          <cell r="T213" t="str">
            <v>0650</v>
          </cell>
          <cell r="U213" t="str">
            <v>PED</v>
          </cell>
          <cell r="W213" t="str">
            <v xml:space="preserve">PED: UTILITIES G/W/E </v>
          </cell>
          <cell r="X213" t="str">
            <v>N</v>
          </cell>
        </row>
        <row r="214">
          <cell r="A214" t="str">
            <v>PED: UTILITIES CHILLED WATER FY15</v>
          </cell>
          <cell r="B214" t="str">
            <v>PED</v>
          </cell>
          <cell r="C214" t="str">
            <v>PED-UCW</v>
          </cell>
          <cell r="D214" t="str">
            <v>PED-UCW14</v>
          </cell>
          <cell r="E214" t="str">
            <v>PED-UCW13</v>
          </cell>
          <cell r="F214" t="str">
            <v>PED-UCW12</v>
          </cell>
          <cell r="G214" t="str">
            <v>PED-UCW11</v>
          </cell>
          <cell r="H214" t="str">
            <v>PED-UCW10</v>
          </cell>
          <cell r="I214" t="str">
            <v>PED-UCW09</v>
          </cell>
          <cell r="J214" t="str">
            <v>PED-UCW08</v>
          </cell>
          <cell r="K214" t="str">
            <v>PED-UCW07</v>
          </cell>
          <cell r="L214" t="str">
            <v>PED-UCW06</v>
          </cell>
          <cell r="M214" t="str">
            <v>PED-UCW05</v>
          </cell>
          <cell r="W214" t="str">
            <v xml:space="preserve">PED: UTILITIES CHILLED WATER </v>
          </cell>
        </row>
        <row r="215">
          <cell r="A215" t="str">
            <v>PED: UTILITIES DEBT SERVICE FY15</v>
          </cell>
          <cell r="B215" t="str">
            <v>PED</v>
          </cell>
          <cell r="C215" t="str">
            <v>PED-UDS</v>
          </cell>
          <cell r="D215" t="str">
            <v>PED-UDS14</v>
          </cell>
          <cell r="E215" t="str">
            <v>PED-UDS13</v>
          </cell>
          <cell r="F215" t="str">
            <v>PED-UDS12</v>
          </cell>
          <cell r="G215" t="str">
            <v>PED-UDS11</v>
          </cell>
          <cell r="H215" t="str">
            <v>PED-UDS10</v>
          </cell>
          <cell r="I215" t="str">
            <v>PED-UDS09</v>
          </cell>
          <cell r="J215" t="str">
            <v>PED-UDS08</v>
          </cell>
          <cell r="K215" t="str">
            <v>PED-UDS07</v>
          </cell>
          <cell r="L215" t="str">
            <v>PED-UDS06</v>
          </cell>
          <cell r="M215" t="str">
            <v>PED-UDS05</v>
          </cell>
          <cell r="W215" t="str">
            <v xml:space="preserve">PED: UTILITIES DEBT SERVICE </v>
          </cell>
        </row>
        <row r="216">
          <cell r="A216" t="str">
            <v>PED: UTILITIES MAINT FY15</v>
          </cell>
          <cell r="B216">
            <v>0</v>
          </cell>
          <cell r="C216" t="str">
            <v>PED-UMT</v>
          </cell>
          <cell r="D216" t="str">
            <v>PED-UMT14</v>
          </cell>
          <cell r="E216" t="str">
            <v>PED-UMT13</v>
          </cell>
          <cell r="F216" t="str">
            <v>PED-UMT12</v>
          </cell>
          <cell r="G216" t="str">
            <v>PED-UMT11</v>
          </cell>
          <cell r="H216" t="str">
            <v>PED-UMT10</v>
          </cell>
          <cell r="I216" t="str">
            <v>PED-UMT09</v>
          </cell>
          <cell r="J216" t="str">
            <v>PED-UMT08</v>
          </cell>
          <cell r="K216" t="str">
            <v>PED-UMT07</v>
          </cell>
          <cell r="L216" t="str">
            <v>PED-UMT06</v>
          </cell>
          <cell r="M216" t="str">
            <v>PED-UMT05</v>
          </cell>
          <cell r="W216" t="str">
            <v xml:space="preserve">PED: UTILITIES MAINT </v>
          </cell>
        </row>
        <row r="217">
          <cell r="A217" t="str">
            <v>PED1: UTILITIES FY15 - ELECTRIC ONLY</v>
          </cell>
          <cell r="B217" t="str">
            <v>PED1</v>
          </cell>
          <cell r="C217" t="str">
            <v>PED1-EL</v>
          </cell>
          <cell r="D217" t="str">
            <v>PED1-EL-14</v>
          </cell>
          <cell r="E217" t="str">
            <v>PED1-EL-13</v>
          </cell>
          <cell r="F217" t="str">
            <v>PED1-EL-12</v>
          </cell>
          <cell r="G217" t="str">
            <v>PED1-EL-11</v>
          </cell>
          <cell r="H217" t="str">
            <v>PED1-EL-10</v>
          </cell>
          <cell r="I217" t="str">
            <v>PED1-EL-09</v>
          </cell>
          <cell r="J217" t="str">
            <v>PED1-EL-08</v>
          </cell>
          <cell r="K217" t="str">
            <v>PED1-EL-07</v>
          </cell>
          <cell r="L217" t="str">
            <v>PED1-EL-06</v>
          </cell>
          <cell r="M217" t="str">
            <v>PED1-EL-05</v>
          </cell>
          <cell r="N217" t="str">
            <v>SWO003215</v>
          </cell>
          <cell r="O217" t="str">
            <v>SWO000943</v>
          </cell>
          <cell r="P217" t="str">
            <v>SWO000943</v>
          </cell>
          <cell r="Q217" t="str">
            <v>SWO000943</v>
          </cell>
          <cell r="R217" t="str">
            <v>SWO000943</v>
          </cell>
          <cell r="S217">
            <v>22460</v>
          </cell>
          <cell r="T217" t="str">
            <v>0651</v>
          </cell>
          <cell r="U217" t="str">
            <v>PED1</v>
          </cell>
          <cell r="W217" t="str">
            <v>PED1: UTILITIES G/W/E  - ELECTRIC ONLY</v>
          </cell>
          <cell r="X217" t="str">
            <v>N</v>
          </cell>
        </row>
        <row r="218">
          <cell r="D218" t="str">
            <v>PED1-CMC14</v>
          </cell>
          <cell r="E218" t="str">
            <v>PED1-CMC13</v>
          </cell>
          <cell r="I218">
            <v>0</v>
          </cell>
          <cell r="J218" t="str">
            <v>SWO014609</v>
          </cell>
          <cell r="K218" t="str">
            <v>SWO012329</v>
          </cell>
          <cell r="W218" t="str">
            <v>PED1: CHILLER/CONTRACT PM FY13 - EQUIPMENT, D3030</v>
          </cell>
        </row>
        <row r="219">
          <cell r="A219" t="str">
            <v>RMR: UTILITIES FY15 - GAS/WATER/ELECTRIC</v>
          </cell>
          <cell r="B219" t="str">
            <v>RMR</v>
          </cell>
          <cell r="C219" t="str">
            <v>RMR-EGW</v>
          </cell>
          <cell r="D219" t="str">
            <v>RMR-EGW-14</v>
          </cell>
          <cell r="E219" t="str">
            <v>RMR-EGW-13</v>
          </cell>
          <cell r="F219" t="str">
            <v>RMR-EGW-12</v>
          </cell>
          <cell r="G219" t="str">
            <v>RMR-EGW-11</v>
          </cell>
          <cell r="H219" t="str">
            <v>RMR-EGW-10</v>
          </cell>
          <cell r="I219" t="str">
            <v>RMR-EGW-09</v>
          </cell>
          <cell r="J219" t="str">
            <v>RMR-EGW-08</v>
          </cell>
          <cell r="K219" t="str">
            <v>RMR-EGW-07</v>
          </cell>
          <cell r="L219" t="str">
            <v>RMR-EGW-06</v>
          </cell>
          <cell r="M219" t="str">
            <v>RMR-EGW-05</v>
          </cell>
          <cell r="N219" t="str">
            <v>SWO003237</v>
          </cell>
          <cell r="O219" t="str">
            <v>SWO000944</v>
          </cell>
          <cell r="P219" t="str">
            <v>SWO000944</v>
          </cell>
          <cell r="Q219" t="str">
            <v>SWO000944</v>
          </cell>
          <cell r="R219" t="str">
            <v>SWO000944</v>
          </cell>
          <cell r="S219">
            <v>22460</v>
          </cell>
          <cell r="T219" t="str">
            <v>0670</v>
          </cell>
          <cell r="U219" t="str">
            <v>RMR</v>
          </cell>
          <cell r="V219" t="str">
            <v>HSC</v>
          </cell>
          <cell r="W219" t="str">
            <v xml:space="preserve">RMR: UTILITIES G/W/E </v>
          </cell>
          <cell r="X219" t="str">
            <v>N</v>
          </cell>
        </row>
        <row r="220">
          <cell r="A220" t="str">
            <v>RMR: UTILITIES CHILLED WATER FY15</v>
          </cell>
          <cell r="B220" t="str">
            <v>RMR</v>
          </cell>
          <cell r="C220" t="str">
            <v>RMR-UCW</v>
          </cell>
          <cell r="D220" t="str">
            <v>RMR-UCW14</v>
          </cell>
          <cell r="E220" t="str">
            <v>RMR-UCW13</v>
          </cell>
          <cell r="F220" t="str">
            <v>RMR-UCW12</v>
          </cell>
          <cell r="G220" t="str">
            <v>RMR-UCW11</v>
          </cell>
          <cell r="H220" t="str">
            <v>RMR-UCW10</v>
          </cell>
          <cell r="I220" t="str">
            <v>RMR-UCW09</v>
          </cell>
          <cell r="J220" t="str">
            <v>RMR-UCW08</v>
          </cell>
          <cell r="K220" t="str">
            <v>RMR-UCW07</v>
          </cell>
          <cell r="L220" t="str">
            <v>RMR-UCW06</v>
          </cell>
          <cell r="M220" t="str">
            <v>RMR-UCW05</v>
          </cell>
          <cell r="W220" t="str">
            <v xml:space="preserve">RMR: UTILITIES CHILLED WATER </v>
          </cell>
        </row>
        <row r="221">
          <cell r="A221" t="str">
            <v>RMR: UTILITIES DEBT SERVICE FY15</v>
          </cell>
          <cell r="B221" t="str">
            <v>RMR</v>
          </cell>
          <cell r="C221" t="str">
            <v>RMR-UDS</v>
          </cell>
          <cell r="D221" t="str">
            <v>RMR-UDS14</v>
          </cell>
          <cell r="E221" t="str">
            <v>RMR-UDS13</v>
          </cell>
          <cell r="F221" t="str">
            <v>RMR-UDS12</v>
          </cell>
          <cell r="G221" t="str">
            <v>RMR-UDS11</v>
          </cell>
          <cell r="H221" t="str">
            <v>RMR-UDS10</v>
          </cell>
          <cell r="I221" t="str">
            <v>RMR-UDS09</v>
          </cell>
          <cell r="J221" t="str">
            <v>RMR-UDS08</v>
          </cell>
          <cell r="K221" t="str">
            <v>RMR-UDS07</v>
          </cell>
          <cell r="L221" t="str">
            <v>RMR-UDS06</v>
          </cell>
          <cell r="M221" t="str">
            <v>RMR-UDS05</v>
          </cell>
          <cell r="W221" t="str">
            <v xml:space="preserve">RMR: UTILITIES DEBT SERVICE </v>
          </cell>
        </row>
        <row r="222">
          <cell r="A222" t="str">
            <v>RMR: UTILITIES MAINT FY15</v>
          </cell>
          <cell r="B222">
            <v>0</v>
          </cell>
          <cell r="C222" t="str">
            <v>RMR-UMT</v>
          </cell>
          <cell r="D222" t="str">
            <v>RMR-UMT14</v>
          </cell>
          <cell r="E222" t="str">
            <v>RMR-UMT13</v>
          </cell>
          <cell r="F222" t="str">
            <v>RMR-UMT12</v>
          </cell>
          <cell r="G222" t="str">
            <v>RMR-UMT11</v>
          </cell>
          <cell r="H222" t="str">
            <v>RMR-UMT10</v>
          </cell>
          <cell r="I222" t="str">
            <v>RMR-UMT09</v>
          </cell>
          <cell r="J222" t="str">
            <v>RMR-UMT08</v>
          </cell>
          <cell r="K222" t="str">
            <v>RMR-UMT07</v>
          </cell>
          <cell r="L222" t="str">
            <v>RMR-UMT06</v>
          </cell>
          <cell r="M222" t="str">
            <v>RMR-UMT05</v>
          </cell>
          <cell r="W222" t="str">
            <v xml:space="preserve">RMR: UTILITIES MAINT </v>
          </cell>
        </row>
        <row r="223">
          <cell r="A223" t="str">
            <v>BMT: UTILITIES FY15 - GAS/WATER/ELECTRIC</v>
          </cell>
          <cell r="B223" t="str">
            <v>BMT</v>
          </cell>
          <cell r="C223" t="str">
            <v>BMT-EGW</v>
          </cell>
          <cell r="D223" t="str">
            <v>BMT-EGW-14</v>
          </cell>
          <cell r="E223" t="str">
            <v>BMT-EGW-13</v>
          </cell>
          <cell r="F223" t="str">
            <v>BMT-EGW-12</v>
          </cell>
          <cell r="G223" t="str">
            <v>BMT-EGW-11</v>
          </cell>
          <cell r="H223" t="str">
            <v>BMT-EGW-10</v>
          </cell>
          <cell r="I223" t="str">
            <v>BMT-EGW-09</v>
          </cell>
          <cell r="J223" t="str">
            <v>BMT-EGW-08</v>
          </cell>
          <cell r="K223" t="str">
            <v>BMT-EGW-07</v>
          </cell>
          <cell r="L223" t="str">
            <v>BMT-EGW-06</v>
          </cell>
          <cell r="M223" t="str">
            <v>BMT-EGW-05</v>
          </cell>
          <cell r="N223" t="str">
            <v>SWO003105</v>
          </cell>
          <cell r="O223" t="str">
            <v>SWO000945</v>
          </cell>
          <cell r="P223" t="str">
            <v>SWO000945</v>
          </cell>
          <cell r="Q223" t="str">
            <v>SWO000945</v>
          </cell>
          <cell r="R223" t="str">
            <v>SWO000945</v>
          </cell>
          <cell r="S223">
            <v>22461</v>
          </cell>
          <cell r="T223" t="str">
            <v>0680</v>
          </cell>
          <cell r="U223" t="str">
            <v>BMT</v>
          </cell>
          <cell r="V223" t="str">
            <v>HSC</v>
          </cell>
          <cell r="W223" t="str">
            <v xml:space="preserve">BMT: UTILITIES G/W/E </v>
          </cell>
          <cell r="X223" t="str">
            <v>N</v>
          </cell>
        </row>
        <row r="224">
          <cell r="A224" t="str">
            <v>BMT: UTILITIES CHILLED WATER FY15</v>
          </cell>
          <cell r="B224" t="str">
            <v>BMT</v>
          </cell>
          <cell r="C224" t="str">
            <v>BMT-UCW</v>
          </cell>
          <cell r="D224" t="str">
            <v>BMT-UCW14</v>
          </cell>
          <cell r="E224" t="str">
            <v>BMT-UCW13</v>
          </cell>
          <cell r="F224" t="str">
            <v>BMT-UCW12</v>
          </cell>
          <cell r="G224" t="str">
            <v>BMT-UCW11</v>
          </cell>
          <cell r="H224" t="str">
            <v>BMT-UCW10</v>
          </cell>
          <cell r="I224" t="str">
            <v>BMT-UCW09</v>
          </cell>
          <cell r="J224" t="str">
            <v>BMT-UCW08</v>
          </cell>
          <cell r="K224" t="str">
            <v>BMT-UCW07</v>
          </cell>
          <cell r="L224" t="str">
            <v>BMT-UCW06</v>
          </cell>
          <cell r="M224" t="str">
            <v>BMT-UCW05</v>
          </cell>
          <cell r="W224" t="str">
            <v xml:space="preserve">BMT: UTILITIES CHILLED WATER </v>
          </cell>
        </row>
        <row r="225">
          <cell r="A225" t="str">
            <v>BMT: UTILITIES DEBT SERVICE FY15</v>
          </cell>
          <cell r="B225" t="str">
            <v>BMT</v>
          </cell>
          <cell r="C225" t="str">
            <v>BMT-UDS</v>
          </cell>
          <cell r="D225" t="str">
            <v>BMT-UDS14</v>
          </cell>
          <cell r="E225" t="str">
            <v>BMT-UDS13</v>
          </cell>
          <cell r="F225" t="str">
            <v>BMT-UDS12</v>
          </cell>
          <cell r="G225" t="str">
            <v>BMT-UDS11</v>
          </cell>
          <cell r="H225" t="str">
            <v>BMT-UDS10</v>
          </cell>
          <cell r="I225" t="str">
            <v>BMT-UDS09</v>
          </cell>
          <cell r="J225" t="str">
            <v>BMT-UDS08</v>
          </cell>
          <cell r="K225" t="str">
            <v>BMT-UDS07</v>
          </cell>
          <cell r="L225" t="str">
            <v>BMT-UDS06</v>
          </cell>
          <cell r="M225" t="str">
            <v>BMT-UDS05</v>
          </cell>
          <cell r="W225" t="str">
            <v xml:space="preserve">BMT: UTILITIES DEBT SERVICE </v>
          </cell>
        </row>
        <row r="226">
          <cell r="A226" t="str">
            <v>BMT: UTILITIES MAINT FY15</v>
          </cell>
          <cell r="B226">
            <v>0</v>
          </cell>
          <cell r="C226" t="str">
            <v>BMT-UMT</v>
          </cell>
          <cell r="D226" t="str">
            <v>BMT-UMT14</v>
          </cell>
          <cell r="E226" t="str">
            <v>BMT-UMT13</v>
          </cell>
          <cell r="F226" t="str">
            <v>BMT-UMT12</v>
          </cell>
          <cell r="G226" t="str">
            <v>BMT-UMT11</v>
          </cell>
          <cell r="H226" t="str">
            <v>BMT-UMT10</v>
          </cell>
          <cell r="I226" t="str">
            <v>BMT-UMT09</v>
          </cell>
          <cell r="J226" t="str">
            <v>BMT-UMT08</v>
          </cell>
          <cell r="K226" t="str">
            <v>BMT-UMT07</v>
          </cell>
          <cell r="L226" t="str">
            <v>BMT-UMT06</v>
          </cell>
          <cell r="M226" t="str">
            <v>BMT-UMT05</v>
          </cell>
          <cell r="W226" t="str">
            <v xml:space="preserve">BMT: UTILITIES MAINT </v>
          </cell>
        </row>
        <row r="227">
          <cell r="A227" t="str">
            <v>NML: UTILITIES FY15 - GAS/WATER/ELECTRIC</v>
          </cell>
          <cell r="B227" t="str">
            <v>NML</v>
          </cell>
          <cell r="C227" t="str">
            <v>NML-EGW</v>
          </cell>
          <cell r="D227" t="str">
            <v>NML-EGW-14</v>
          </cell>
          <cell r="E227" t="str">
            <v>NML-EGW-13</v>
          </cell>
          <cell r="F227" t="str">
            <v>NML-EGW-12</v>
          </cell>
          <cell r="G227" t="str">
            <v>NML-EGW-11</v>
          </cell>
          <cell r="H227" t="str">
            <v>NML-EGW-10</v>
          </cell>
          <cell r="I227" t="str">
            <v>NML-EGW-09</v>
          </cell>
          <cell r="J227" t="str">
            <v>NML-EGW-08</v>
          </cell>
          <cell r="K227" t="str">
            <v>NML-EGW-07</v>
          </cell>
          <cell r="L227" t="str">
            <v>NML-EGW-06</v>
          </cell>
          <cell r="M227" t="str">
            <v>NML-EGW-05</v>
          </cell>
          <cell r="N227" t="str">
            <v>SWO003205</v>
          </cell>
          <cell r="O227" t="str">
            <v>SWO000841</v>
          </cell>
          <cell r="P227" t="str">
            <v>SWO000841</v>
          </cell>
          <cell r="Q227" t="str">
            <v>SWO000841</v>
          </cell>
          <cell r="R227" t="str">
            <v>SWO000841</v>
          </cell>
          <cell r="S227">
            <v>22462</v>
          </cell>
          <cell r="T227" t="str">
            <v>0690</v>
          </cell>
          <cell r="U227" t="str">
            <v>NML</v>
          </cell>
          <cell r="V227" t="str">
            <v>HSC</v>
          </cell>
          <cell r="W227" t="str">
            <v xml:space="preserve">NML: UTILITIES G/W/E </v>
          </cell>
          <cell r="X227" t="str">
            <v>N</v>
          </cell>
        </row>
        <row r="228">
          <cell r="A228" t="str">
            <v>NML: UTILITIES CHILLED WATER FY15</v>
          </cell>
          <cell r="B228" t="str">
            <v>NML</v>
          </cell>
          <cell r="C228" t="str">
            <v>NML-UCW</v>
          </cell>
          <cell r="D228" t="str">
            <v>NML-UCW14</v>
          </cell>
          <cell r="E228" t="str">
            <v>NML-UCW13</v>
          </cell>
          <cell r="F228" t="str">
            <v>NML-UCW12</v>
          </cell>
          <cell r="G228" t="str">
            <v>NML-UCW11</v>
          </cell>
          <cell r="H228" t="str">
            <v>NML-UCW10</v>
          </cell>
          <cell r="I228" t="str">
            <v>NML-UCW09</v>
          </cell>
          <cell r="J228" t="str">
            <v>NML-UCW08</v>
          </cell>
          <cell r="K228" t="str">
            <v>NML-UCW07</v>
          </cell>
          <cell r="L228" t="str">
            <v>NML-UCW06</v>
          </cell>
          <cell r="M228" t="str">
            <v>NML-UCW05</v>
          </cell>
          <cell r="W228" t="str">
            <v xml:space="preserve">NML: UTILITIES CHILLED WATER </v>
          </cell>
        </row>
        <row r="229">
          <cell r="A229" t="str">
            <v>NML: UTILITIES DEBT SERVICE FY15</v>
          </cell>
          <cell r="B229" t="str">
            <v>NML</v>
          </cell>
          <cell r="C229" t="str">
            <v>NML-UDS</v>
          </cell>
          <cell r="D229" t="str">
            <v>NML-UDS14</v>
          </cell>
          <cell r="E229" t="str">
            <v>NML-UDS13</v>
          </cell>
          <cell r="F229" t="str">
            <v>NML-UDS12</v>
          </cell>
          <cell r="G229" t="str">
            <v>NML-UDS11</v>
          </cell>
          <cell r="H229" t="str">
            <v>NML-UDS10</v>
          </cell>
          <cell r="I229" t="str">
            <v>NML-UDS09</v>
          </cell>
          <cell r="J229" t="str">
            <v>NML-UDS08</v>
          </cell>
          <cell r="K229" t="str">
            <v>NML-UDS07</v>
          </cell>
          <cell r="L229" t="str">
            <v>NML-UDS06</v>
          </cell>
          <cell r="M229" t="str">
            <v>NML-UDS05</v>
          </cell>
          <cell r="W229" t="str">
            <v xml:space="preserve">NML: UTILITIES DEBT SERVICE </v>
          </cell>
        </row>
        <row r="230">
          <cell r="A230" t="str">
            <v>NML: UTILITIES MAINT FY15</v>
          </cell>
          <cell r="B230">
            <v>0</v>
          </cell>
          <cell r="C230" t="str">
            <v>NML-UMT</v>
          </cell>
          <cell r="D230" t="str">
            <v>NML-UMT14</v>
          </cell>
          <cell r="E230" t="str">
            <v>NML-UMT13</v>
          </cell>
          <cell r="F230" t="str">
            <v>NML-UMT12</v>
          </cell>
          <cell r="G230" t="str">
            <v>NML-UMT11</v>
          </cell>
          <cell r="H230" t="str">
            <v>NML-UMT10</v>
          </cell>
          <cell r="I230" t="str">
            <v>NML-UMT09</v>
          </cell>
          <cell r="J230" t="str">
            <v>NML-UMT08</v>
          </cell>
          <cell r="K230" t="str">
            <v>NML-UMT07</v>
          </cell>
          <cell r="L230" t="str">
            <v>NML-UMT06</v>
          </cell>
          <cell r="M230" t="str">
            <v>NML-UMT05</v>
          </cell>
          <cell r="W230" t="str">
            <v xml:space="preserve">NML: UTILITIES MAINT </v>
          </cell>
        </row>
        <row r="231">
          <cell r="A231" t="str">
            <v>KAM: UTILITIES FY15 - GAS/WATER/ELECTRIC</v>
          </cell>
          <cell r="B231" t="str">
            <v>KAM</v>
          </cell>
          <cell r="C231" t="str">
            <v>KAM-EGW</v>
          </cell>
          <cell r="D231" t="str">
            <v>KAM-EGW-14</v>
          </cell>
          <cell r="E231" t="str">
            <v>KAM-EGW-13</v>
          </cell>
          <cell r="F231" t="str">
            <v>KAM-EGW-12</v>
          </cell>
          <cell r="G231" t="str">
            <v>KAM-EGW-11</v>
          </cell>
          <cell r="H231" t="str">
            <v>KAM-EGW-10</v>
          </cell>
          <cell r="I231" t="str">
            <v>KAM-EGW-09</v>
          </cell>
          <cell r="J231" t="str">
            <v>KAM-EGW-08</v>
          </cell>
          <cell r="K231" t="str">
            <v>KAM-EGW-07</v>
          </cell>
          <cell r="L231" t="str">
            <v>KAM-EGW-06</v>
          </cell>
          <cell r="M231" t="str">
            <v>KAM-EGW-05</v>
          </cell>
          <cell r="N231" t="str">
            <v>SWO003179</v>
          </cell>
          <cell r="O231" t="str">
            <v>SWO000946</v>
          </cell>
          <cell r="P231" t="str">
            <v>SWO000946</v>
          </cell>
          <cell r="Q231" t="str">
            <v>SWO000946</v>
          </cell>
          <cell r="R231" t="str">
            <v>SWO000946</v>
          </cell>
          <cell r="S231">
            <v>22463</v>
          </cell>
          <cell r="T231" t="str">
            <v>0700</v>
          </cell>
          <cell r="U231" t="str">
            <v>KAM</v>
          </cell>
          <cell r="V231" t="str">
            <v>HSC</v>
          </cell>
          <cell r="W231" t="str">
            <v xml:space="preserve">KAM: UTILITIES G/W/E </v>
          </cell>
          <cell r="X231" t="str">
            <v>N</v>
          </cell>
        </row>
        <row r="232">
          <cell r="A232" t="str">
            <v>KAM: UTILITIES CHILLED WATER FY15</v>
          </cell>
          <cell r="B232" t="str">
            <v>KAM</v>
          </cell>
          <cell r="C232" t="str">
            <v>KAM-UCW</v>
          </cell>
          <cell r="D232" t="str">
            <v>KAM-UCW14</v>
          </cell>
          <cell r="E232" t="str">
            <v>KAM-UCW13</v>
          </cell>
          <cell r="F232" t="str">
            <v>KAM-UCW12</v>
          </cell>
          <cell r="G232" t="str">
            <v>KAM-UCW11</v>
          </cell>
          <cell r="H232" t="str">
            <v>KAM-UCW10</v>
          </cell>
          <cell r="I232" t="str">
            <v>KAM-UCW09</v>
          </cell>
          <cell r="J232" t="str">
            <v>KAM-UCW08</v>
          </cell>
          <cell r="K232" t="str">
            <v>KAM-UCW07</v>
          </cell>
          <cell r="L232" t="str">
            <v>KAM-UCW06</v>
          </cell>
          <cell r="M232" t="str">
            <v>KAM-UCW05</v>
          </cell>
          <cell r="W232" t="str">
            <v xml:space="preserve">KAM: UTILITIES CHILLED WATER </v>
          </cell>
        </row>
        <row r="233">
          <cell r="A233" t="str">
            <v>KAM: UTILITIES DEBT SERVICE FY15</v>
          </cell>
          <cell r="B233" t="str">
            <v>KAM</v>
          </cell>
          <cell r="C233" t="str">
            <v>KAM-UDS</v>
          </cell>
          <cell r="D233" t="str">
            <v>KAM-UDS14</v>
          </cell>
          <cell r="E233" t="str">
            <v>KAM-UDS13</v>
          </cell>
          <cell r="F233" t="str">
            <v>KAM-UDS12</v>
          </cell>
          <cell r="G233" t="str">
            <v>KAM-UDS11</v>
          </cell>
          <cell r="H233" t="str">
            <v>KAM-UDS10</v>
          </cell>
          <cell r="I233" t="str">
            <v>KAM-UDS09</v>
          </cell>
          <cell r="J233" t="str">
            <v>KAM-UDS08</v>
          </cell>
          <cell r="K233" t="str">
            <v>KAM-UDS07</v>
          </cell>
          <cell r="L233" t="str">
            <v>KAM-UDS06</v>
          </cell>
          <cell r="M233" t="str">
            <v>KAM-UDS05</v>
          </cell>
          <cell r="W233" t="str">
            <v xml:space="preserve">KAM: UTILITIES DEBT SERVICE </v>
          </cell>
        </row>
        <row r="234">
          <cell r="A234" t="str">
            <v>KAM: UTILITIES MAINT FY15</v>
          </cell>
          <cell r="B234">
            <v>0</v>
          </cell>
          <cell r="C234" t="str">
            <v>KAM-UMT</v>
          </cell>
          <cell r="D234" t="str">
            <v>KAM-UMT14</v>
          </cell>
          <cell r="E234" t="str">
            <v>KAM-UMT13</v>
          </cell>
          <cell r="F234" t="str">
            <v>KAM-UMT12</v>
          </cell>
          <cell r="G234" t="str">
            <v>KAM-UMT11</v>
          </cell>
          <cell r="H234" t="str">
            <v>KAM-UMT10</v>
          </cell>
          <cell r="I234" t="str">
            <v>KAM-UMT09</v>
          </cell>
          <cell r="J234" t="str">
            <v>KAM-UMT08</v>
          </cell>
          <cell r="K234" t="str">
            <v>KAM-UMT07</v>
          </cell>
          <cell r="L234" t="str">
            <v>KAM-UMT06</v>
          </cell>
          <cell r="M234" t="str">
            <v>KAM-UMT05</v>
          </cell>
          <cell r="W234" t="str">
            <v xml:space="preserve">KAM: UTILITIES MAINT </v>
          </cell>
        </row>
        <row r="235">
          <cell r="A235" t="str">
            <v>KAM: CHILLER/CONTRACT PM FY15 - CONTROL MAINTENANCE, D3060</v>
          </cell>
          <cell r="B235">
            <v>0</v>
          </cell>
          <cell r="D235" t="str">
            <v>SWO033143</v>
          </cell>
          <cell r="E235" t="str">
            <v>SWO031365</v>
          </cell>
          <cell r="W235" t="str">
            <v>KAM: CHILLER/CONTRACT PM FY13 - CONTROL MAINTENANCE, D3060</v>
          </cell>
        </row>
        <row r="236">
          <cell r="A236" t="str">
            <v>PSC: UTILITIES FY15 - GAS/WATER/ELECTRIC</v>
          </cell>
          <cell r="B236" t="str">
            <v>PSC</v>
          </cell>
          <cell r="C236" t="str">
            <v>PSC-EGW</v>
          </cell>
          <cell r="D236" t="str">
            <v>PSC-EGW-14</v>
          </cell>
          <cell r="E236" t="str">
            <v>PSC-EGW-13</v>
          </cell>
          <cell r="F236" t="str">
            <v>PSC-EGW-12</v>
          </cell>
          <cell r="G236" t="str">
            <v>PSC-EGW-11</v>
          </cell>
          <cell r="H236" t="str">
            <v>PSC-EGW-10</v>
          </cell>
          <cell r="I236" t="str">
            <v>PSC-EGW-09</v>
          </cell>
          <cell r="J236" t="str">
            <v>PSC-EGW-08</v>
          </cell>
          <cell r="K236" t="str">
            <v>PSC-EGW-07</v>
          </cell>
          <cell r="L236" t="str">
            <v>PSC-EGW-06</v>
          </cell>
          <cell r="M236" t="str">
            <v>PSC-EGW-05</v>
          </cell>
          <cell r="N236" t="str">
            <v>SWO003228</v>
          </cell>
          <cell r="O236" t="str">
            <v>SWO000947</v>
          </cell>
          <cell r="P236" t="str">
            <v>SWO000947</v>
          </cell>
          <cell r="Q236" t="str">
            <v>SWO000947</v>
          </cell>
          <cell r="R236" t="str">
            <v>SWO000947</v>
          </cell>
          <cell r="S236">
            <v>22464</v>
          </cell>
          <cell r="T236" t="str">
            <v>0710</v>
          </cell>
          <cell r="U236" t="str">
            <v>PSC</v>
          </cell>
          <cell r="V236" t="str">
            <v>HSC</v>
          </cell>
          <cell r="W236" t="str">
            <v xml:space="preserve">PSC: UTILITIES G/W/E </v>
          </cell>
          <cell r="X236" t="str">
            <v>N</v>
          </cell>
        </row>
        <row r="237">
          <cell r="A237" t="str">
            <v>PSC: UTILITIES CHILLED WATER FY15</v>
          </cell>
          <cell r="B237" t="str">
            <v>PSC</v>
          </cell>
          <cell r="C237" t="str">
            <v>PSC-UCW</v>
          </cell>
          <cell r="D237" t="str">
            <v>PSC-UCW14</v>
          </cell>
          <cell r="E237" t="str">
            <v>PSC-UCW13</v>
          </cell>
          <cell r="F237" t="str">
            <v>PSC-UCW12</v>
          </cell>
          <cell r="G237" t="str">
            <v>PSC-UCW11</v>
          </cell>
          <cell r="H237" t="str">
            <v>PSC-UCW10</v>
          </cell>
          <cell r="I237" t="str">
            <v>PSC-UCW09</v>
          </cell>
          <cell r="J237" t="str">
            <v>PSC-UCW08</v>
          </cell>
          <cell r="K237" t="str">
            <v>PSC-UCW07</v>
          </cell>
          <cell r="L237" t="str">
            <v>PSC-UCW06</v>
          </cell>
          <cell r="M237" t="str">
            <v>PSC-UCW05</v>
          </cell>
          <cell r="W237" t="str">
            <v xml:space="preserve">PSC: UTILITIES CHILLED WATER </v>
          </cell>
        </row>
        <row r="238">
          <cell r="A238" t="str">
            <v>PSC: UTILITIES DEBT SERVICE FY15</v>
          </cell>
          <cell r="B238" t="str">
            <v>PSC</v>
          </cell>
          <cell r="C238" t="str">
            <v>PSC-UDS</v>
          </cell>
          <cell r="D238" t="str">
            <v>PSC-UDS14</v>
          </cell>
          <cell r="E238" t="str">
            <v>PSC-UDS13</v>
          </cell>
          <cell r="F238" t="str">
            <v>PSC-UDS12</v>
          </cell>
          <cell r="G238" t="str">
            <v>PSC-UDS11</v>
          </cell>
          <cell r="H238" t="str">
            <v>PSC-UDS10</v>
          </cell>
          <cell r="I238" t="str">
            <v>PSC-UDS09</v>
          </cell>
          <cell r="J238" t="str">
            <v>PSC-UDS08</v>
          </cell>
          <cell r="K238" t="str">
            <v>PSC-UDS07</v>
          </cell>
          <cell r="L238" t="str">
            <v>PSC-UDS06</v>
          </cell>
          <cell r="M238" t="str">
            <v>PSC-UDS05</v>
          </cell>
          <cell r="W238" t="str">
            <v xml:space="preserve">PSC: UTILITIES DEBT SERVICE </v>
          </cell>
        </row>
        <row r="239">
          <cell r="A239" t="str">
            <v>PSC: UTILITIES MAINT FY15</v>
          </cell>
          <cell r="B239">
            <v>0</v>
          </cell>
          <cell r="C239" t="str">
            <v>PSC-UMT</v>
          </cell>
          <cell r="D239" t="str">
            <v>PSC-UMT14</v>
          </cell>
          <cell r="E239" t="str">
            <v>PSC-UMT13</v>
          </cell>
          <cell r="F239" t="str">
            <v>PSC-UMT12</v>
          </cell>
          <cell r="G239" t="str">
            <v>PSC-UMT11</v>
          </cell>
          <cell r="H239" t="str">
            <v>PSC-UMT10</v>
          </cell>
          <cell r="I239" t="str">
            <v>PSC-UMT09</v>
          </cell>
          <cell r="J239" t="str">
            <v>PSC-UMT08</v>
          </cell>
          <cell r="K239" t="str">
            <v>PSC-UMT07</v>
          </cell>
          <cell r="L239" t="str">
            <v>PSC-UMT06</v>
          </cell>
          <cell r="M239" t="str">
            <v>PSC-UMT05</v>
          </cell>
          <cell r="W239" t="str">
            <v xml:space="preserve">PSC: UTILITIES MAINT </v>
          </cell>
        </row>
        <row r="240">
          <cell r="A240" t="str">
            <v>HED: UTILITIES FY15 - GAS/WATER/ELECTRIC</v>
          </cell>
          <cell r="B240" t="str">
            <v>HED</v>
          </cell>
          <cell r="C240" t="str">
            <v>HED-EGW</v>
          </cell>
          <cell r="D240" t="str">
            <v>HED-EGW-14</v>
          </cell>
          <cell r="E240" t="str">
            <v>HED-EGW-13</v>
          </cell>
          <cell r="F240" t="str">
            <v>HED-EGW-12</v>
          </cell>
          <cell r="G240" t="str">
            <v>HED-EGW-11</v>
          </cell>
          <cell r="H240" t="str">
            <v>HED-EGW-10</v>
          </cell>
          <cell r="I240" t="str">
            <v>HED-EGW-09</v>
          </cell>
          <cell r="J240" t="str">
            <v>HED-EGW-08</v>
          </cell>
          <cell r="K240" t="str">
            <v>HED-EGW-07</v>
          </cell>
          <cell r="L240" t="str">
            <v>HED-EGW-06</v>
          </cell>
          <cell r="M240" t="str">
            <v>HED-EGW-05</v>
          </cell>
          <cell r="N240" t="str">
            <v>SWO003159</v>
          </cell>
          <cell r="O240" t="str">
            <v>SWO000948</v>
          </cell>
          <cell r="P240" t="str">
            <v>SWO000948</v>
          </cell>
          <cell r="Q240" t="str">
            <v>SWO000948</v>
          </cell>
          <cell r="R240" t="str">
            <v>SWO000948</v>
          </cell>
          <cell r="S240">
            <v>22465</v>
          </cell>
          <cell r="T240" t="str">
            <v>0720</v>
          </cell>
          <cell r="U240" t="str">
            <v>HED</v>
          </cell>
          <cell r="W240" t="str">
            <v xml:space="preserve">HED: UTILITIES G/W/E </v>
          </cell>
          <cell r="X240" t="str">
            <v>N</v>
          </cell>
        </row>
        <row r="241">
          <cell r="A241" t="str">
            <v>HED: UTILITIES CHILLED WATER FY15</v>
          </cell>
          <cell r="B241" t="str">
            <v>HED</v>
          </cell>
          <cell r="C241" t="str">
            <v>HED-UCW</v>
          </cell>
          <cell r="D241" t="str">
            <v>HED-UCW14</v>
          </cell>
          <cell r="E241" t="str">
            <v>HED-UCW13</v>
          </cell>
          <cell r="F241" t="str">
            <v>HED-UCW12</v>
          </cell>
          <cell r="G241" t="str">
            <v>HED-UCW11</v>
          </cell>
          <cell r="H241" t="str">
            <v>HED-UCW10</v>
          </cell>
          <cell r="I241" t="str">
            <v>HED-UCW09</v>
          </cell>
          <cell r="J241" t="str">
            <v>HED-UCW08</v>
          </cell>
          <cell r="K241" t="str">
            <v>HED-UCW07</v>
          </cell>
          <cell r="L241" t="str">
            <v>HED-UCW06</v>
          </cell>
          <cell r="M241" t="str">
            <v>HED-UCW05</v>
          </cell>
          <cell r="W241" t="str">
            <v xml:space="preserve">HED: UTILITIES CHILLED WATER </v>
          </cell>
        </row>
        <row r="242">
          <cell r="A242" t="str">
            <v>HED: UTILITIES DEBT SERVICE FY15</v>
          </cell>
          <cell r="B242" t="str">
            <v>HED</v>
          </cell>
          <cell r="C242" t="str">
            <v>HED-UDS</v>
          </cell>
          <cell r="D242" t="str">
            <v>HED-UDS14</v>
          </cell>
          <cell r="E242" t="str">
            <v>HED-UDS13</v>
          </cell>
          <cell r="F242" t="str">
            <v>HED-UDS12</v>
          </cell>
          <cell r="G242" t="str">
            <v>HED-UDS11</v>
          </cell>
          <cell r="H242" t="str">
            <v>HED-UDS10</v>
          </cell>
          <cell r="I242" t="str">
            <v>HED-UDS09</v>
          </cell>
          <cell r="J242" t="str">
            <v>HED-UDS08</v>
          </cell>
          <cell r="K242" t="str">
            <v>HED-UDS07</v>
          </cell>
          <cell r="L242" t="str">
            <v>HED-UDS06</v>
          </cell>
          <cell r="M242" t="str">
            <v>HED-UDS05</v>
          </cell>
          <cell r="W242" t="str">
            <v xml:space="preserve">HED: UTILITIES DEBT SERVICE </v>
          </cell>
        </row>
        <row r="243">
          <cell r="A243" t="str">
            <v>HED: UTILITIES MAINT FY15</v>
          </cell>
          <cell r="B243">
            <v>0</v>
          </cell>
          <cell r="C243" t="str">
            <v>HED-UMT</v>
          </cell>
          <cell r="D243" t="str">
            <v>HED-UMT14</v>
          </cell>
          <cell r="E243" t="str">
            <v>HED-UMT13</v>
          </cell>
          <cell r="F243" t="str">
            <v>HED-UMT12</v>
          </cell>
          <cell r="G243" t="str">
            <v>HED-UMT11</v>
          </cell>
          <cell r="H243" t="str">
            <v>HED-UMT10</v>
          </cell>
          <cell r="I243" t="str">
            <v>HED-UMT09</v>
          </cell>
          <cell r="J243" t="str">
            <v>HED-UMT08</v>
          </cell>
          <cell r="K243" t="str">
            <v>HED-UMT07</v>
          </cell>
          <cell r="L243" t="str">
            <v>HED-UMT06</v>
          </cell>
          <cell r="M243" t="str">
            <v>HED-UMT05</v>
          </cell>
          <cell r="W243" t="str">
            <v xml:space="preserve">HED: UTILITIES MAINT </v>
          </cell>
        </row>
        <row r="244">
          <cell r="A244" t="str">
            <v>BDF: UTILITIES FY15 - GAS/WATER/ELECTRIC</v>
          </cell>
          <cell r="B244" t="str">
            <v>BDF</v>
          </cell>
          <cell r="C244" t="str">
            <v>BDF-EGW</v>
          </cell>
          <cell r="D244" t="str">
            <v>BDF-EGW-14</v>
          </cell>
          <cell r="E244" t="str">
            <v>BDF-EGW-13</v>
          </cell>
          <cell r="F244" t="str">
            <v>BDF-EGW-12</v>
          </cell>
          <cell r="G244" t="str">
            <v>BDF-EGW-11</v>
          </cell>
          <cell r="H244" t="str">
            <v>BDF-EGW-10</v>
          </cell>
          <cell r="I244" t="str">
            <v>BDF-EGW-09</v>
          </cell>
          <cell r="J244" t="str">
            <v>BDF-EGW-08</v>
          </cell>
          <cell r="K244" t="str">
            <v>BDF-EGW-07</v>
          </cell>
          <cell r="L244" t="str">
            <v>BDF-EGW-06</v>
          </cell>
          <cell r="M244" t="str">
            <v>BDF-EGW-05</v>
          </cell>
          <cell r="N244" t="str">
            <v>SWO003098</v>
          </cell>
          <cell r="O244" t="str">
            <v>SWO000949</v>
          </cell>
          <cell r="P244" t="str">
            <v>SWO000949</v>
          </cell>
          <cell r="Q244" t="str">
            <v>SWO000949</v>
          </cell>
          <cell r="R244" t="str">
            <v>SWO000949</v>
          </cell>
          <cell r="S244">
            <v>22466</v>
          </cell>
          <cell r="T244" t="str">
            <v>0730</v>
          </cell>
          <cell r="U244" t="str">
            <v>BDF</v>
          </cell>
          <cell r="W244" t="str">
            <v xml:space="preserve">BDF: UTILITIES G/W/E </v>
          </cell>
          <cell r="X244" t="str">
            <v>N</v>
          </cell>
        </row>
        <row r="245">
          <cell r="A245" t="str">
            <v>BDF: UTILITIES CHILLED WATER FY15</v>
          </cell>
          <cell r="B245" t="str">
            <v>BDF</v>
          </cell>
          <cell r="C245" t="str">
            <v>BDF-UCW</v>
          </cell>
          <cell r="D245" t="str">
            <v>BDF-UCW14</v>
          </cell>
          <cell r="E245" t="str">
            <v>BDF-UCW13</v>
          </cell>
          <cell r="F245" t="str">
            <v>BDF-UCW12</v>
          </cell>
          <cell r="G245" t="str">
            <v>BDF-UCW11</v>
          </cell>
          <cell r="H245" t="str">
            <v>BDF-UCW10</v>
          </cell>
          <cell r="I245" t="str">
            <v>BDF-UCW09</v>
          </cell>
          <cell r="J245" t="str">
            <v>BDF-UCW08</v>
          </cell>
          <cell r="K245" t="str">
            <v>BDF-UCW07</v>
          </cell>
          <cell r="L245" t="str">
            <v>BDF-UCW06</v>
          </cell>
          <cell r="M245" t="str">
            <v>BDF-UCW05</v>
          </cell>
          <cell r="W245" t="str">
            <v xml:space="preserve">BDF: UTILITIES CHILLED WATER </v>
          </cell>
        </row>
        <row r="246">
          <cell r="A246" t="str">
            <v>BDF: UTILITIES DEBT SERVICE FY15</v>
          </cell>
          <cell r="B246" t="str">
            <v>BDF</v>
          </cell>
          <cell r="C246" t="str">
            <v>BDF-UDS</v>
          </cell>
          <cell r="D246" t="str">
            <v>BDF-UDS14</v>
          </cell>
          <cell r="E246" t="str">
            <v>BDF-UDS13</v>
          </cell>
          <cell r="F246" t="str">
            <v>BDF-UDS12</v>
          </cell>
          <cell r="G246" t="str">
            <v>BDF-UDS11</v>
          </cell>
          <cell r="H246" t="str">
            <v>BDF-UDS10</v>
          </cell>
          <cell r="I246" t="str">
            <v>BDF-UDS09</v>
          </cell>
          <cell r="J246" t="str">
            <v>BDF-UDS08</v>
          </cell>
          <cell r="K246" t="str">
            <v>BDF-UDS07</v>
          </cell>
          <cell r="L246" t="str">
            <v>BDF-UDS06</v>
          </cell>
          <cell r="M246" t="str">
            <v>BDF-UDS05</v>
          </cell>
          <cell r="W246" t="str">
            <v xml:space="preserve">BDF: UTILITIES DEBT SERVICE </v>
          </cell>
        </row>
        <row r="247">
          <cell r="A247" t="str">
            <v>BDF: UTILITIES MAINT FY15</v>
          </cell>
          <cell r="B247">
            <v>0</v>
          </cell>
          <cell r="C247" t="str">
            <v>BDF-UMT</v>
          </cell>
          <cell r="D247" t="str">
            <v>BDF-UMT14</v>
          </cell>
          <cell r="E247" t="str">
            <v>BDF-UMT13</v>
          </cell>
          <cell r="F247" t="str">
            <v>BDF-UMT12</v>
          </cell>
          <cell r="G247" t="str">
            <v>BDF-UMT11</v>
          </cell>
          <cell r="H247" t="str">
            <v>BDF-UMT10</v>
          </cell>
          <cell r="I247" t="str">
            <v>BDF-UMT09</v>
          </cell>
          <cell r="J247" t="str">
            <v>BDF-UMT08</v>
          </cell>
          <cell r="K247" t="str">
            <v>BDF-UMT07</v>
          </cell>
          <cell r="L247" t="str">
            <v>BDF-UMT06</v>
          </cell>
          <cell r="M247" t="str">
            <v>BDF-UMT05</v>
          </cell>
          <cell r="W247" t="str">
            <v xml:space="preserve">BDF: UTILITIES MAINT </v>
          </cell>
        </row>
        <row r="248">
          <cell r="A248" t="str">
            <v>ZHS: UTILITIES FY15 - GAS/WATER/ELECTRIC</v>
          </cell>
          <cell r="B248" t="str">
            <v>ZHS</v>
          </cell>
          <cell r="C248" t="str">
            <v>ZHS-EGW</v>
          </cell>
          <cell r="D248" t="str">
            <v>ZHS-EGW-14</v>
          </cell>
          <cell r="E248" t="str">
            <v>ZHS-EGW-13</v>
          </cell>
          <cell r="F248" t="str">
            <v>ZHS-EGW-12</v>
          </cell>
          <cell r="G248" t="str">
            <v>ZHS-EGW-11</v>
          </cell>
          <cell r="H248" t="str">
            <v>ZHS-EGW-10</v>
          </cell>
          <cell r="I248" t="str">
            <v>ZHS-EGW-09</v>
          </cell>
          <cell r="J248" t="str">
            <v>ZHS-EGW-08</v>
          </cell>
          <cell r="K248" t="str">
            <v>ZHS-EGW-07</v>
          </cell>
          <cell r="L248" t="str">
            <v>ZHS-EGW-06</v>
          </cell>
          <cell r="M248" t="str">
            <v>ZHS-EGW-05</v>
          </cell>
          <cell r="N248" t="str">
            <v>SWO003245</v>
          </cell>
          <cell r="O248" t="str">
            <v>SWO000842</v>
          </cell>
          <cell r="P248" t="str">
            <v>SWO000842</v>
          </cell>
          <cell r="Q248" t="str">
            <v>SWO000842</v>
          </cell>
          <cell r="R248" t="str">
            <v>SWO000842</v>
          </cell>
          <cell r="S248">
            <v>22467</v>
          </cell>
          <cell r="T248" t="str">
            <v>0740</v>
          </cell>
          <cell r="U248" t="str">
            <v>ZHS</v>
          </cell>
          <cell r="W248" t="str">
            <v xml:space="preserve">ZHS: UTILITIES G/W/E </v>
          </cell>
          <cell r="X248" t="str">
            <v>N</v>
          </cell>
        </row>
        <row r="249">
          <cell r="A249" t="str">
            <v>ZHS: UTILITIES CHILLED WATER FY15</v>
          </cell>
          <cell r="B249" t="str">
            <v>ZHS</v>
          </cell>
          <cell r="C249" t="str">
            <v>ZHS-UCW</v>
          </cell>
          <cell r="D249" t="str">
            <v>ZHS-UCW14</v>
          </cell>
          <cell r="E249" t="str">
            <v>ZHS-UCW13</v>
          </cell>
          <cell r="F249" t="str">
            <v>ZHS-UCW12</v>
          </cell>
          <cell r="G249" t="str">
            <v>ZHS-UCW11</v>
          </cell>
          <cell r="H249" t="str">
            <v>ZHS-UCW10</v>
          </cell>
          <cell r="I249" t="str">
            <v>ZHS-UCW09</v>
          </cell>
          <cell r="J249" t="str">
            <v>ZHS-UCW08</v>
          </cell>
          <cell r="K249" t="str">
            <v>ZHS-UCW07</v>
          </cell>
          <cell r="L249" t="str">
            <v>ZHS-UCW06</v>
          </cell>
          <cell r="M249" t="str">
            <v>ZHS-UCW05</v>
          </cell>
          <cell r="W249" t="str">
            <v xml:space="preserve">ZHS: UTILITIES CHILLED WATER </v>
          </cell>
        </row>
        <row r="250">
          <cell r="A250" t="str">
            <v>ZHS: UTILITIES DEBT SERVICE FY15</v>
          </cell>
          <cell r="B250" t="str">
            <v>ZHS</v>
          </cell>
          <cell r="C250" t="str">
            <v>ZHS-UDS</v>
          </cell>
          <cell r="D250" t="str">
            <v>ZHS-UDS14</v>
          </cell>
          <cell r="E250" t="str">
            <v>ZHS-UDS13</v>
          </cell>
          <cell r="F250" t="str">
            <v>ZHS-UDS12</v>
          </cell>
          <cell r="G250" t="str">
            <v>ZHS-UDS11</v>
          </cell>
          <cell r="H250" t="str">
            <v>ZHS-UDS10</v>
          </cell>
          <cell r="I250" t="str">
            <v>ZHS-UDS09</v>
          </cell>
          <cell r="J250" t="str">
            <v>ZHS-UDS08</v>
          </cell>
          <cell r="K250" t="str">
            <v>ZHS-UDS07</v>
          </cell>
          <cell r="L250" t="str">
            <v>ZHS-UDS06</v>
          </cell>
          <cell r="M250" t="str">
            <v>ZHS-UDS05</v>
          </cell>
          <cell r="W250" t="str">
            <v>ZHS: UTILITIES DEBT SERVICE FY04</v>
          </cell>
        </row>
        <row r="251">
          <cell r="A251" t="str">
            <v>ZHS: UTILITIES MAINT FY15</v>
          </cell>
          <cell r="B251">
            <v>0</v>
          </cell>
          <cell r="C251" t="str">
            <v>ZHS-UMT</v>
          </cell>
          <cell r="D251" t="str">
            <v>ZHS-UMT-14</v>
          </cell>
          <cell r="E251" t="str">
            <v>ZHS-UMT-13</v>
          </cell>
          <cell r="F251" t="str">
            <v>ZHS-UMT-12</v>
          </cell>
          <cell r="G251" t="str">
            <v>ZHS-UMT-11</v>
          </cell>
          <cell r="H251" t="str">
            <v>ZHS-UMT-10</v>
          </cell>
          <cell r="I251" t="str">
            <v>ZHS-UMT-09</v>
          </cell>
          <cell r="J251" t="str">
            <v>ZHS-UMT-08</v>
          </cell>
          <cell r="K251" t="str">
            <v>ZHS-UMT-07</v>
          </cell>
          <cell r="L251" t="str">
            <v>ZHS-UMT-06</v>
          </cell>
          <cell r="M251" t="str">
            <v>ZHS-UMT-05</v>
          </cell>
          <cell r="W251" t="str">
            <v xml:space="preserve">ZHS: UTILITIES MAINT </v>
          </cell>
        </row>
        <row r="252">
          <cell r="A252" t="str">
            <v>ZHS: FUMEHOOD PM FY15 - EQUIPMENT, D3040</v>
          </cell>
          <cell r="B252">
            <v>0</v>
          </cell>
          <cell r="D252" t="str">
            <v>ZHS-FMC-14</v>
          </cell>
          <cell r="E252" t="str">
            <v>ZHS-FMC-13</v>
          </cell>
          <cell r="W252" t="str">
            <v>ZHS: FUMEHOOD PM FY13 - EQUIPMENT, D3040</v>
          </cell>
        </row>
        <row r="253">
          <cell r="A253" t="str">
            <v>URC: UTILITIES FY15 - GAS/WATER/ELECTRIC</v>
          </cell>
          <cell r="B253" t="str">
            <v>URC</v>
          </cell>
          <cell r="C253" t="str">
            <v>URC-EGW</v>
          </cell>
          <cell r="D253" t="str">
            <v>URC-EGW-14</v>
          </cell>
          <cell r="E253" t="str">
            <v>URC-EGW-13</v>
          </cell>
          <cell r="F253" t="str">
            <v>URC-EGW-12</v>
          </cell>
          <cell r="G253" t="str">
            <v>URC-EGW-11</v>
          </cell>
          <cell r="H253" t="str">
            <v>URC-EGW-10</v>
          </cell>
          <cell r="I253" t="str">
            <v>URC-EGW-09</v>
          </cell>
          <cell r="J253" t="str">
            <v>URC-EGW-08</v>
          </cell>
          <cell r="K253" t="str">
            <v>URC-EGW-07</v>
          </cell>
          <cell r="L253" t="str">
            <v>URC-EGW-06</v>
          </cell>
          <cell r="M253" t="str">
            <v>URC-EGW-05</v>
          </cell>
          <cell r="N253" t="str">
            <v>SWO003272</v>
          </cell>
          <cell r="O253" t="str">
            <v>SWO000950</v>
          </cell>
          <cell r="P253" t="str">
            <v>SWO000950</v>
          </cell>
          <cell r="Q253" t="str">
            <v>SWO000950</v>
          </cell>
          <cell r="R253" t="str">
            <v>SWO000950</v>
          </cell>
          <cell r="S253">
            <v>22468</v>
          </cell>
          <cell r="T253" t="str">
            <v>0750</v>
          </cell>
          <cell r="U253" t="str">
            <v>URC</v>
          </cell>
          <cell r="W253" t="str">
            <v xml:space="preserve">URC: UTILITIES G/W/E </v>
          </cell>
          <cell r="X253" t="str">
            <v>N</v>
          </cell>
        </row>
        <row r="254">
          <cell r="A254" t="str">
            <v>URC: UTILITIES CHILLED WATER FY15</v>
          </cell>
          <cell r="B254" t="str">
            <v>URC</v>
          </cell>
          <cell r="C254" t="str">
            <v>URC-UCW</v>
          </cell>
          <cell r="D254" t="str">
            <v>URC-UCW14</v>
          </cell>
          <cell r="E254" t="str">
            <v>URC-UCW13</v>
          </cell>
          <cell r="F254" t="str">
            <v>URC-UCW12</v>
          </cell>
          <cell r="G254" t="str">
            <v>URC-UCW11</v>
          </cell>
          <cell r="H254" t="str">
            <v>URC-UCW10</v>
          </cell>
          <cell r="I254" t="str">
            <v>URC-UCW09</v>
          </cell>
          <cell r="J254" t="str">
            <v>URC-UCW08</v>
          </cell>
          <cell r="K254" t="str">
            <v>URC-UCW07</v>
          </cell>
          <cell r="L254" t="str">
            <v>URC-UCW06</v>
          </cell>
          <cell r="M254" t="str">
            <v>URC-UCW05</v>
          </cell>
          <cell r="W254" t="str">
            <v xml:space="preserve">URC: UTILITIES CHILLED WATER </v>
          </cell>
        </row>
        <row r="255">
          <cell r="A255" t="str">
            <v>URC: UTILITIES DEBT SERVICE FY15</v>
          </cell>
          <cell r="B255" t="str">
            <v>URC</v>
          </cell>
          <cell r="C255" t="str">
            <v>URC-UDS</v>
          </cell>
          <cell r="D255" t="str">
            <v>URC-UDS14</v>
          </cell>
          <cell r="E255" t="str">
            <v>URC-UDS13</v>
          </cell>
          <cell r="F255" t="str">
            <v>URC-UDS12</v>
          </cell>
          <cell r="G255" t="str">
            <v>URC-UDS11</v>
          </cell>
          <cell r="H255" t="str">
            <v>URC-UDS10</v>
          </cell>
          <cell r="I255" t="str">
            <v>URC-UDS09</v>
          </cell>
          <cell r="J255" t="str">
            <v>URC-UDS08</v>
          </cell>
          <cell r="K255" t="str">
            <v>URC-UDS07</v>
          </cell>
          <cell r="L255" t="str">
            <v>URC-UDS06</v>
          </cell>
          <cell r="M255" t="str">
            <v>URC-UDS05</v>
          </cell>
          <cell r="W255" t="str">
            <v xml:space="preserve">URC: UTILITIES DEBT SERVICE </v>
          </cell>
        </row>
        <row r="256">
          <cell r="A256" t="str">
            <v>URC: UTILITIES MAINT FY15</v>
          </cell>
          <cell r="B256">
            <v>0</v>
          </cell>
          <cell r="C256" t="str">
            <v>URC-UMT</v>
          </cell>
          <cell r="D256" t="str">
            <v>URC-UMT14</v>
          </cell>
          <cell r="E256" t="str">
            <v>URC-UMT13</v>
          </cell>
          <cell r="F256" t="str">
            <v>URC-UMT12</v>
          </cell>
          <cell r="G256" t="str">
            <v>URC-UMT11</v>
          </cell>
          <cell r="H256" t="str">
            <v>URC-UMT10</v>
          </cell>
          <cell r="I256" t="str">
            <v>URC-UMT09</v>
          </cell>
          <cell r="J256" t="str">
            <v>URC-UMT08</v>
          </cell>
          <cell r="K256" t="str">
            <v>URC-UMT07</v>
          </cell>
          <cell r="L256" t="str">
            <v>URC-UMT06</v>
          </cell>
          <cell r="M256" t="str">
            <v>URC-UMT05</v>
          </cell>
          <cell r="W256" t="str">
            <v xml:space="preserve">URC: UTILITIES MAINT </v>
          </cell>
        </row>
        <row r="257">
          <cell r="A257" t="str">
            <v>NCT: UTILITIES FY15 - GAS/WATER/ELECTRIC</v>
          </cell>
          <cell r="B257" t="str">
            <v>NCT</v>
          </cell>
          <cell r="C257" t="str">
            <v>NCT-EGW</v>
          </cell>
          <cell r="D257" t="str">
            <v>NCT-EGW-14</v>
          </cell>
          <cell r="E257" t="str">
            <v>NCT-EGW-13</v>
          </cell>
          <cell r="F257" t="str">
            <v>NCT-EGW-12</v>
          </cell>
          <cell r="G257" t="str">
            <v>NCT-EGW-11</v>
          </cell>
          <cell r="H257" t="str">
            <v>NCT-EGW-10</v>
          </cell>
          <cell r="I257" t="str">
            <v>NCT-EGW-09</v>
          </cell>
          <cell r="J257" t="str">
            <v>NCT-EGW-08</v>
          </cell>
          <cell r="K257" t="str">
            <v>NCT-EGW-07</v>
          </cell>
          <cell r="L257" t="str">
            <v>NCT-EGW-06</v>
          </cell>
          <cell r="M257" t="str">
            <v>NCT-EGW-05</v>
          </cell>
          <cell r="N257" t="str">
            <v>SWO003204</v>
          </cell>
          <cell r="O257" t="str">
            <v>SWO000951</v>
          </cell>
          <cell r="P257" t="str">
            <v>SWO000951</v>
          </cell>
          <cell r="Q257" t="str">
            <v>SWO000951</v>
          </cell>
          <cell r="R257" t="str">
            <v>SWO000951</v>
          </cell>
          <cell r="S257">
            <v>22469</v>
          </cell>
          <cell r="T257" t="str">
            <v>0760</v>
          </cell>
          <cell r="U257" t="str">
            <v>NCT</v>
          </cell>
          <cell r="W257" t="str">
            <v xml:space="preserve">NCT: UTILITIES G/W/E </v>
          </cell>
          <cell r="X257" t="str">
            <v>N</v>
          </cell>
        </row>
        <row r="258">
          <cell r="A258" t="str">
            <v>NCT: UTILITIES CHILLED WATER FY15</v>
          </cell>
          <cell r="B258" t="str">
            <v>NCT</v>
          </cell>
          <cell r="C258" t="str">
            <v>NCT-UCW</v>
          </cell>
          <cell r="D258" t="str">
            <v>NCT-UCW14</v>
          </cell>
          <cell r="E258" t="str">
            <v>NCT-UCW13</v>
          </cell>
          <cell r="F258" t="str">
            <v>NCT-UCW12</v>
          </cell>
          <cell r="G258" t="str">
            <v>NCT-UCW11</v>
          </cell>
          <cell r="H258" t="str">
            <v>NCT-UCW10</v>
          </cell>
          <cell r="I258" t="str">
            <v>NCT-UCW09</v>
          </cell>
          <cell r="J258" t="str">
            <v>NCT-UCW08</v>
          </cell>
          <cell r="K258" t="str">
            <v>NCT-UCW07</v>
          </cell>
          <cell r="L258" t="str">
            <v>NCT-UCW06</v>
          </cell>
          <cell r="M258" t="str">
            <v>NCT-UCW05</v>
          </cell>
          <cell r="W258" t="str">
            <v xml:space="preserve">NCT: UTILITIES CHILLED WATER </v>
          </cell>
        </row>
        <row r="259">
          <cell r="A259" t="str">
            <v>NCT: UTILITIES DEBT SERVICE FY15</v>
          </cell>
          <cell r="B259" t="str">
            <v>NCT</v>
          </cell>
          <cell r="C259" t="str">
            <v>NCT-UDS</v>
          </cell>
          <cell r="D259" t="str">
            <v>NCT-UDS14</v>
          </cell>
          <cell r="E259" t="str">
            <v>NCT-UDS13</v>
          </cell>
          <cell r="F259" t="str">
            <v>NCT-UDS12</v>
          </cell>
          <cell r="G259" t="str">
            <v>NCT-UDS11</v>
          </cell>
          <cell r="H259" t="str">
            <v>NCT-UDS10</v>
          </cell>
          <cell r="I259" t="str">
            <v>NCT-UDS09</v>
          </cell>
          <cell r="J259" t="str">
            <v>NCT-UDS08</v>
          </cell>
          <cell r="K259" t="str">
            <v>NCT-UDS07</v>
          </cell>
          <cell r="L259" t="str">
            <v>NCT-UDS06</v>
          </cell>
          <cell r="M259" t="str">
            <v>NCT-UDS05</v>
          </cell>
          <cell r="W259" t="str">
            <v xml:space="preserve">NCT: UTILITIES DEBT SERVICE </v>
          </cell>
        </row>
        <row r="260">
          <cell r="A260" t="str">
            <v>NCT: UTILITIES MAINT FY15</v>
          </cell>
          <cell r="B260">
            <v>0</v>
          </cell>
          <cell r="C260" t="str">
            <v>NCT-UMT</v>
          </cell>
          <cell r="D260" t="str">
            <v>NCT-UMT14</v>
          </cell>
          <cell r="E260" t="str">
            <v>NCT-UMT13</v>
          </cell>
          <cell r="F260" t="str">
            <v>NCT-UMT12</v>
          </cell>
          <cell r="G260" t="str">
            <v>NCT-UMT11</v>
          </cell>
          <cell r="H260" t="str">
            <v>NCT-UMT10</v>
          </cell>
          <cell r="I260" t="str">
            <v>NCT-UMT09</v>
          </cell>
          <cell r="J260" t="str">
            <v>NCT-UMT08</v>
          </cell>
          <cell r="K260" t="str">
            <v>NCT-UMT07</v>
          </cell>
          <cell r="L260" t="str">
            <v>NCT-UMT06</v>
          </cell>
          <cell r="M260" t="str">
            <v>NCT-UMT05</v>
          </cell>
          <cell r="W260" t="str">
            <v xml:space="preserve">NCT: UTILITIES MAINT </v>
          </cell>
        </row>
        <row r="261">
          <cell r="A261" t="str">
            <v>SAL: UTILITIES FY15 - GAS/WATER/ELECTRIC</v>
          </cell>
          <cell r="B261" t="str">
            <v>SAL</v>
          </cell>
          <cell r="C261" t="str">
            <v>SAL-EGW</v>
          </cell>
          <cell r="D261" t="str">
            <v>SAL-EGW-14</v>
          </cell>
          <cell r="E261" t="str">
            <v>SAL-EGW-13</v>
          </cell>
          <cell r="F261" t="str">
            <v>SAL-EGW-12</v>
          </cell>
          <cell r="G261" t="str">
            <v>SAL-EGW-11</v>
          </cell>
          <cell r="H261" t="str">
            <v>SAL-EGW-10</v>
          </cell>
          <cell r="I261" t="str">
            <v>SAL-EGW-09</v>
          </cell>
          <cell r="J261" t="str">
            <v>SAL-EGW-08</v>
          </cell>
          <cell r="K261" t="str">
            <v>SAL-EGW-07</v>
          </cell>
          <cell r="L261" t="str">
            <v>SAL-EGW-06</v>
          </cell>
          <cell r="M261" t="str">
            <v>SAL-EGW-05</v>
          </cell>
          <cell r="N261" t="str">
            <v>SWO003241</v>
          </cell>
          <cell r="O261" t="str">
            <v>SWO000952</v>
          </cell>
          <cell r="P261" t="str">
            <v>SWO000952</v>
          </cell>
          <cell r="Q261" t="str">
            <v>SWO000952</v>
          </cell>
          <cell r="R261" t="str">
            <v>SWO000952</v>
          </cell>
          <cell r="S261">
            <v>22470</v>
          </cell>
          <cell r="T261" t="str">
            <v>0780</v>
          </cell>
          <cell r="U261" t="str">
            <v>SAL</v>
          </cell>
          <cell r="W261" t="str">
            <v xml:space="preserve">SAL: UTILITIES G/W/E </v>
          </cell>
          <cell r="X261" t="str">
            <v>N</v>
          </cell>
        </row>
        <row r="262">
          <cell r="A262" t="str">
            <v>SAL: UTILITIES CHILLED WATER FY15</v>
          </cell>
          <cell r="B262" t="str">
            <v>SAL</v>
          </cell>
          <cell r="C262" t="str">
            <v>SAL-UCW</v>
          </cell>
          <cell r="D262" t="str">
            <v>SAL-UCW14</v>
          </cell>
          <cell r="E262" t="str">
            <v>SAL-UCW13</v>
          </cell>
          <cell r="F262" t="str">
            <v>SAL-UCW12</v>
          </cell>
          <cell r="G262" t="str">
            <v>SAL-UCW11</v>
          </cell>
          <cell r="H262" t="str">
            <v>SAL-UCW10</v>
          </cell>
          <cell r="I262" t="str">
            <v>SAL-UCW09</v>
          </cell>
          <cell r="J262" t="str">
            <v>SAL-UCW08</v>
          </cell>
          <cell r="K262" t="str">
            <v>SAL-UCW07</v>
          </cell>
          <cell r="L262" t="str">
            <v>SAL-UCW06</v>
          </cell>
          <cell r="M262" t="str">
            <v>SAL-UCW05</v>
          </cell>
          <cell r="W262" t="str">
            <v xml:space="preserve">SAL: UTILITIES CHILLED WATER </v>
          </cell>
        </row>
        <row r="263">
          <cell r="A263" t="str">
            <v>SAL: UTILITIES DEBT SERVICE FY15</v>
          </cell>
          <cell r="B263" t="str">
            <v>SAL</v>
          </cell>
          <cell r="C263" t="str">
            <v>SAL-UDS</v>
          </cell>
          <cell r="D263" t="str">
            <v>SAL-UDS14</v>
          </cell>
          <cell r="E263" t="str">
            <v>SAL-UDS13</v>
          </cell>
          <cell r="F263" t="str">
            <v>SAL-UDS12</v>
          </cell>
          <cell r="G263" t="str">
            <v>SAL-UDS11</v>
          </cell>
          <cell r="H263" t="str">
            <v>SAL-UDS10</v>
          </cell>
          <cell r="I263" t="str">
            <v>SAL-UDS09</v>
          </cell>
          <cell r="J263" t="str">
            <v>SAL-UDS08</v>
          </cell>
          <cell r="K263" t="str">
            <v>SAL-UDS07</v>
          </cell>
          <cell r="L263" t="str">
            <v>SAL-UDS06</v>
          </cell>
          <cell r="M263" t="str">
            <v>SAL-UDS05</v>
          </cell>
          <cell r="W263" t="str">
            <v xml:space="preserve">SAL: UTILITIES DEBT SERVICE </v>
          </cell>
        </row>
        <row r="264">
          <cell r="A264" t="str">
            <v>SAL: UTILITIES MAINT FY15</v>
          </cell>
          <cell r="B264">
            <v>0</v>
          </cell>
          <cell r="C264" t="str">
            <v>SAL-UMT</v>
          </cell>
          <cell r="D264" t="str">
            <v>SAL-UMT14</v>
          </cell>
          <cell r="E264" t="str">
            <v>SAL-UMT13</v>
          </cell>
          <cell r="F264" t="str">
            <v>SAL-UMT12</v>
          </cell>
          <cell r="G264" t="str">
            <v>SAL-UMT11</v>
          </cell>
          <cell r="H264" t="str">
            <v>SAL-UMT10</v>
          </cell>
          <cell r="I264" t="str">
            <v>SAL-UMT09</v>
          </cell>
          <cell r="J264" t="str">
            <v>SAL-UMT08</v>
          </cell>
          <cell r="K264" t="str">
            <v>SAL-UMT07</v>
          </cell>
          <cell r="L264" t="str">
            <v>SAL-UMT06</v>
          </cell>
          <cell r="M264" t="str">
            <v>SAL-UMT05</v>
          </cell>
          <cell r="W264" t="str">
            <v xml:space="preserve">SAL: UTILITIES MAINT </v>
          </cell>
        </row>
        <row r="265">
          <cell r="A265" t="str">
            <v>DRC: UTILITIES FY15 - GAS/WATER/ELECTRIC</v>
          </cell>
          <cell r="B265" t="str">
            <v>DRC</v>
          </cell>
          <cell r="C265" t="str">
            <v>DRC-EGW</v>
          </cell>
          <cell r="D265" t="str">
            <v>DRC-EGW-14</v>
          </cell>
          <cell r="E265" t="str">
            <v>DRC-EGW-13</v>
          </cell>
          <cell r="F265" t="str">
            <v>DRC-EGW-12</v>
          </cell>
          <cell r="G265" t="str">
            <v>DRC-EGW-11</v>
          </cell>
          <cell r="H265" t="str">
            <v>DRC-EGW-10</v>
          </cell>
          <cell r="I265" t="str">
            <v>DRC-EGW-09</v>
          </cell>
          <cell r="J265" t="str">
            <v>DRC-EGW-08</v>
          </cell>
          <cell r="K265" t="str">
            <v>DRC-EGW-07</v>
          </cell>
          <cell r="L265" t="str">
            <v>DRC-EGW-06</v>
          </cell>
          <cell r="M265" t="str">
            <v>DRC-EGW-05</v>
          </cell>
          <cell r="N265" t="str">
            <v>SWO003133</v>
          </cell>
          <cell r="O265" t="str">
            <v>SWO000843</v>
          </cell>
          <cell r="P265" t="str">
            <v>SWO000843</v>
          </cell>
          <cell r="Q265" t="str">
            <v>SWO000843</v>
          </cell>
          <cell r="R265" t="str">
            <v>SWO000843</v>
          </cell>
          <cell r="S265">
            <v>22471</v>
          </cell>
          <cell r="T265" t="str">
            <v>0790</v>
          </cell>
          <cell r="U265" t="str">
            <v>DRC</v>
          </cell>
          <cell r="W265" t="str">
            <v xml:space="preserve">DRC: UTILITIES G/W/E </v>
          </cell>
          <cell r="X265" t="str">
            <v>N</v>
          </cell>
        </row>
        <row r="266">
          <cell r="A266" t="str">
            <v>DRC: UTILITIES CHILLED WATER FY15</v>
          </cell>
          <cell r="B266" t="str">
            <v>DRC</v>
          </cell>
          <cell r="C266" t="str">
            <v>DRC-UCW</v>
          </cell>
          <cell r="D266" t="str">
            <v>DRC-UCW14</v>
          </cell>
          <cell r="E266" t="str">
            <v>DRC-UCW13</v>
          </cell>
          <cell r="F266" t="str">
            <v>DRC-UCW12</v>
          </cell>
          <cell r="G266" t="str">
            <v>DRC-UCW11</v>
          </cell>
          <cell r="H266" t="str">
            <v>DRC-UCW10</v>
          </cell>
          <cell r="I266" t="str">
            <v>DRC-UCW09</v>
          </cell>
          <cell r="J266" t="str">
            <v>DRC-UCW08</v>
          </cell>
          <cell r="K266" t="str">
            <v>DRC-UCW07</v>
          </cell>
          <cell r="L266" t="str">
            <v>DRC-UCW06</v>
          </cell>
          <cell r="M266" t="str">
            <v>DRC-UCW05</v>
          </cell>
          <cell r="W266" t="str">
            <v xml:space="preserve">DRC: UTILITIES CHILLED WATER </v>
          </cell>
        </row>
        <row r="267">
          <cell r="A267" t="str">
            <v>DRC: UTILITIES DEBT SERVICE FY15</v>
          </cell>
          <cell r="B267" t="str">
            <v>DRC</v>
          </cell>
          <cell r="C267" t="str">
            <v>DRC-UDS</v>
          </cell>
          <cell r="D267" t="str">
            <v>DRC-UDS14</v>
          </cell>
          <cell r="E267" t="str">
            <v>DRC-UDS13</v>
          </cell>
          <cell r="F267" t="str">
            <v>DRC-UDS12</v>
          </cell>
          <cell r="G267" t="str">
            <v>DRC-UDS11</v>
          </cell>
          <cell r="H267" t="str">
            <v>DRC-UDS10</v>
          </cell>
          <cell r="I267" t="str">
            <v>DRC-UDS09</v>
          </cell>
          <cell r="J267" t="str">
            <v>DRC-UDS08</v>
          </cell>
          <cell r="K267" t="str">
            <v>DRC-UDS07</v>
          </cell>
          <cell r="L267" t="str">
            <v>DRC-UDS06</v>
          </cell>
          <cell r="M267" t="str">
            <v>DRC-UDS05</v>
          </cell>
          <cell r="W267" t="str">
            <v xml:space="preserve">DRC: UTILITIES DEBT SERVICE </v>
          </cell>
        </row>
        <row r="268">
          <cell r="A268" t="str">
            <v>DRC: UTILITIES MAINT FY15</v>
          </cell>
          <cell r="B268">
            <v>0</v>
          </cell>
          <cell r="C268" t="str">
            <v>DRC-UMT</v>
          </cell>
          <cell r="D268" t="str">
            <v>DRC-UMT14</v>
          </cell>
          <cell r="E268" t="str">
            <v>DRC-UMT13</v>
          </cell>
          <cell r="F268" t="str">
            <v>DRC-UMT12</v>
          </cell>
          <cell r="G268" t="str">
            <v>DRC-UMT11</v>
          </cell>
          <cell r="H268" t="str">
            <v>DRC-UMT10</v>
          </cell>
          <cell r="I268" t="str">
            <v>DRC-UMT09</v>
          </cell>
          <cell r="J268" t="str">
            <v>DRC-UMT08</v>
          </cell>
          <cell r="K268" t="str">
            <v>DRC-UMT07</v>
          </cell>
          <cell r="L268" t="str">
            <v>DRC-UMT06</v>
          </cell>
          <cell r="M268" t="str">
            <v>DRC-UMT05</v>
          </cell>
          <cell r="W268" t="str">
            <v xml:space="preserve">DRC: UTILITIES MAINT </v>
          </cell>
        </row>
        <row r="269">
          <cell r="A269" t="str">
            <v>TYL: UTILITIES FY15 - GAS/WATER/ELECTRIC</v>
          </cell>
          <cell r="B269" t="str">
            <v>TYL</v>
          </cell>
          <cell r="C269" t="str">
            <v>TYL-EGW</v>
          </cell>
          <cell r="D269" t="str">
            <v>TYL-EGW-14</v>
          </cell>
          <cell r="E269" t="str">
            <v>TYL-EGW-13</v>
          </cell>
          <cell r="F269" t="str">
            <v>TYL-EGW-12</v>
          </cell>
          <cell r="G269" t="str">
            <v>TYL-EGW-11</v>
          </cell>
          <cell r="H269" t="str">
            <v>TYL-EGW-10</v>
          </cell>
          <cell r="I269" t="str">
            <v>TYL-EGW-09</v>
          </cell>
          <cell r="J269" t="str">
            <v>TYL-EGW-08</v>
          </cell>
          <cell r="K269" t="str">
            <v>TYL-EGW-07</v>
          </cell>
          <cell r="L269" t="str">
            <v>TYL-EGW-06</v>
          </cell>
          <cell r="M269" t="str">
            <v>TYL-EGW-05</v>
          </cell>
          <cell r="N269" t="str">
            <v>SWO003265</v>
          </cell>
          <cell r="O269" t="str">
            <v>SWO000953</v>
          </cell>
          <cell r="P269" t="str">
            <v>SWO000953</v>
          </cell>
          <cell r="Q269" t="str">
            <v>SWO000953</v>
          </cell>
          <cell r="R269" t="str">
            <v>SWO000953</v>
          </cell>
          <cell r="S269">
            <v>22472</v>
          </cell>
          <cell r="T269" t="str">
            <v>0800</v>
          </cell>
          <cell r="U269" t="str">
            <v>TYL</v>
          </cell>
          <cell r="W269" t="str">
            <v xml:space="preserve">TYL: UTILITIES G/W/E </v>
          </cell>
          <cell r="X269" t="str">
            <v>N</v>
          </cell>
        </row>
        <row r="270">
          <cell r="A270" t="str">
            <v>TYL: UTILITIES CHILLED WATER FY15</v>
          </cell>
          <cell r="B270" t="str">
            <v>TYL</v>
          </cell>
          <cell r="C270" t="str">
            <v>TYL-UCW</v>
          </cell>
          <cell r="D270" t="str">
            <v>TYL-UCW14</v>
          </cell>
          <cell r="E270" t="str">
            <v>TYL-UCW13</v>
          </cell>
          <cell r="F270" t="str">
            <v>TYL-UCW12</v>
          </cell>
          <cell r="G270" t="str">
            <v>TYL-UCW11</v>
          </cell>
          <cell r="H270" t="str">
            <v>TYL-UCW10</v>
          </cell>
          <cell r="I270" t="str">
            <v>TYL-UCW09</v>
          </cell>
          <cell r="J270" t="str">
            <v>TYL-UCW08</v>
          </cell>
          <cell r="K270" t="str">
            <v>TYL-UCW07</v>
          </cell>
          <cell r="L270" t="str">
            <v>TYL-UCW06</v>
          </cell>
          <cell r="M270" t="str">
            <v>TYL-UCW05</v>
          </cell>
          <cell r="W270" t="str">
            <v xml:space="preserve">TYL: UTILITIES CHILLED WATER </v>
          </cell>
        </row>
        <row r="271">
          <cell r="A271" t="str">
            <v>TYL: UTILITIES DEBT SERVICE FY15</v>
          </cell>
          <cell r="B271" t="str">
            <v>TYL</v>
          </cell>
          <cell r="C271" t="str">
            <v>TYL-UDS</v>
          </cell>
          <cell r="D271" t="str">
            <v>TYL-UDS14</v>
          </cell>
          <cell r="E271" t="str">
            <v>TYL-UDS13</v>
          </cell>
          <cell r="F271" t="str">
            <v>TYL-UDS12</v>
          </cell>
          <cell r="G271" t="str">
            <v>TYL-UDS11</v>
          </cell>
          <cell r="H271" t="str">
            <v>TYL-UDS10</v>
          </cell>
          <cell r="I271" t="str">
            <v>TYL-UDS09</v>
          </cell>
          <cell r="J271" t="str">
            <v>TYL-UDS08</v>
          </cell>
          <cell r="K271" t="str">
            <v>TYL-UDS07</v>
          </cell>
          <cell r="L271" t="str">
            <v>TYL-UDS06</v>
          </cell>
          <cell r="M271" t="str">
            <v>TYL-UDS05</v>
          </cell>
          <cell r="W271" t="str">
            <v xml:space="preserve">TYL: UTILITIES DEBT SERVICE </v>
          </cell>
        </row>
        <row r="272">
          <cell r="A272" t="str">
            <v>TYL: UTILITIES MAINT FY15</v>
          </cell>
          <cell r="B272">
            <v>0</v>
          </cell>
          <cell r="C272" t="str">
            <v>TYL-UMT</v>
          </cell>
          <cell r="D272" t="str">
            <v>TYL-UMT14</v>
          </cell>
          <cell r="E272" t="str">
            <v>TYL-UMT13</v>
          </cell>
          <cell r="F272" t="str">
            <v>TYL-UMT12</v>
          </cell>
          <cell r="G272" t="str">
            <v>TYL-UMT11</v>
          </cell>
          <cell r="H272" t="str">
            <v>TYL-UMT10</v>
          </cell>
          <cell r="I272" t="str">
            <v>TYL-UMT09</v>
          </cell>
          <cell r="J272" t="str">
            <v>TYL-UMT08</v>
          </cell>
          <cell r="K272" t="str">
            <v>TYL-UMT07</v>
          </cell>
          <cell r="L272" t="str">
            <v>TYL-UMT06</v>
          </cell>
          <cell r="M272" t="str">
            <v>TYL-UMT05</v>
          </cell>
          <cell r="W272" t="str">
            <v xml:space="preserve">TYL: UTILITIES MAINT </v>
          </cell>
        </row>
        <row r="273">
          <cell r="A273" t="str">
            <v>NOR: UTILITIES FY15 - GAS/WATER/ELECTRIC</v>
          </cell>
          <cell r="B273" t="str">
            <v>NOR</v>
          </cell>
          <cell r="C273" t="str">
            <v>NOR-EGW</v>
          </cell>
          <cell r="D273" t="str">
            <v>NOR-EGW-14</v>
          </cell>
          <cell r="E273" t="str">
            <v>NOR-EGW-13</v>
          </cell>
          <cell r="F273" t="str">
            <v>NOR-EGW-12</v>
          </cell>
          <cell r="G273" t="str">
            <v>NOR-EGW-11</v>
          </cell>
          <cell r="H273" t="str">
            <v>NOR-EGW-10</v>
          </cell>
          <cell r="I273" t="str">
            <v>NOR-EGW-09</v>
          </cell>
          <cell r="J273" t="str">
            <v>NOR-EGW-08</v>
          </cell>
          <cell r="K273" t="str">
            <v>NOR-EGW-07</v>
          </cell>
          <cell r="L273" t="str">
            <v>NOR-EGW-06</v>
          </cell>
          <cell r="M273" t="str">
            <v>NOR-EGW-05</v>
          </cell>
          <cell r="N273" t="str">
            <v>SWO003206</v>
          </cell>
          <cell r="O273" t="str">
            <v>SWO000954</v>
          </cell>
          <cell r="P273" t="str">
            <v>SWO000954</v>
          </cell>
          <cell r="Q273" t="str">
            <v>SWO000954</v>
          </cell>
          <cell r="R273" t="str">
            <v>SWO000954</v>
          </cell>
          <cell r="S273">
            <v>22473</v>
          </cell>
          <cell r="T273" t="str">
            <v>0810</v>
          </cell>
          <cell r="U273" t="str">
            <v>NOR</v>
          </cell>
          <cell r="V273" t="str">
            <v>HSC</v>
          </cell>
          <cell r="W273" t="str">
            <v xml:space="preserve">NOR: UTILITIES G/W/E </v>
          </cell>
          <cell r="X273" t="str">
            <v>N</v>
          </cell>
        </row>
        <row r="274">
          <cell r="A274" t="str">
            <v>NOR: UTILITIES CHILLED WATER FY15</v>
          </cell>
          <cell r="B274" t="str">
            <v>NOR</v>
          </cell>
          <cell r="C274" t="str">
            <v>NOR-UCW</v>
          </cell>
          <cell r="D274" t="str">
            <v>NOR-UCW14</v>
          </cell>
          <cell r="E274" t="str">
            <v>NOR-UCW13</v>
          </cell>
          <cell r="F274" t="str">
            <v>NOR-UCW12</v>
          </cell>
          <cell r="G274" t="str">
            <v>NOR-UCW11</v>
          </cell>
          <cell r="H274" t="str">
            <v>NOR-UCW10</v>
          </cell>
          <cell r="I274" t="str">
            <v>NOR-UCW09</v>
          </cell>
          <cell r="J274" t="str">
            <v>NOR-UCW08</v>
          </cell>
          <cell r="K274" t="str">
            <v>NOR-UCW07</v>
          </cell>
          <cell r="L274" t="str">
            <v>NOR-UCW06</v>
          </cell>
          <cell r="M274" t="str">
            <v>NOR-UCW05</v>
          </cell>
          <cell r="W274" t="str">
            <v xml:space="preserve">NOR: UTILITIES CHILLED WATER </v>
          </cell>
        </row>
        <row r="275">
          <cell r="A275" t="str">
            <v>NOR: UTILITIES DEBT SERVICE FY15</v>
          </cell>
          <cell r="B275" t="str">
            <v>NOR</v>
          </cell>
          <cell r="C275" t="str">
            <v>NOR-UDS</v>
          </cell>
          <cell r="D275" t="str">
            <v>NOR-UDS14</v>
          </cell>
          <cell r="E275" t="str">
            <v>NOR-UDS13</v>
          </cell>
          <cell r="F275" t="str">
            <v>NOR-UDS12</v>
          </cell>
          <cell r="G275" t="str">
            <v>NOR-UDS11</v>
          </cell>
          <cell r="H275" t="str">
            <v>NOR-UDS10</v>
          </cell>
          <cell r="I275" t="str">
            <v>NOR-UDS09</v>
          </cell>
          <cell r="J275" t="str">
            <v>NOR-UDS08</v>
          </cell>
          <cell r="K275" t="str">
            <v>NOR-UDS07</v>
          </cell>
          <cell r="L275" t="str">
            <v>NOR-UDS06</v>
          </cell>
          <cell r="M275" t="str">
            <v>NOR-UDS05</v>
          </cell>
          <cell r="W275" t="str">
            <v xml:space="preserve">NOR: UTILITIES DEBT SERVICE </v>
          </cell>
        </row>
        <row r="276">
          <cell r="A276" t="str">
            <v>NOR: UTILITIES MAINT FY15</v>
          </cell>
          <cell r="B276">
            <v>0</v>
          </cell>
          <cell r="C276" t="str">
            <v>NOR-UMT</v>
          </cell>
          <cell r="D276" t="str">
            <v>NOR-UMT14</v>
          </cell>
          <cell r="E276" t="str">
            <v>NOR-UMT13</v>
          </cell>
          <cell r="F276" t="str">
            <v>NOR-UMT12</v>
          </cell>
          <cell r="G276" t="str">
            <v>NOR-UMT11</v>
          </cell>
          <cell r="H276" t="str">
            <v>NOR-UMT10</v>
          </cell>
          <cell r="I276" t="str">
            <v>NOR-UMT09</v>
          </cell>
          <cell r="J276" t="str">
            <v>NOR-UMT08</v>
          </cell>
          <cell r="K276" t="str">
            <v>NOR-UMT07</v>
          </cell>
          <cell r="L276" t="str">
            <v>NOR-UMT06</v>
          </cell>
          <cell r="M276" t="str">
            <v>NOR-UMT05</v>
          </cell>
          <cell r="W276" t="str">
            <v xml:space="preserve">NOR: UTILITIES MAINT </v>
          </cell>
        </row>
        <row r="277">
          <cell r="A277" t="str">
            <v>RHM: UTILITIES FY15 - GAS/WATER/ELECTRIC</v>
          </cell>
          <cell r="B277" t="str">
            <v>RHM</v>
          </cell>
          <cell r="C277" t="str">
            <v>RHM-EGW</v>
          </cell>
          <cell r="D277" t="str">
            <v>RHM-EGW-14</v>
          </cell>
          <cell r="E277" t="str">
            <v>RHM-EGW-13</v>
          </cell>
          <cell r="F277" t="str">
            <v>RHM-EGW-12</v>
          </cell>
          <cell r="G277" t="str">
            <v>RHM-EGW-11</v>
          </cell>
          <cell r="H277" t="str">
            <v>RHM-EGW-10</v>
          </cell>
          <cell r="I277" t="str">
            <v>RHM-EGW-09</v>
          </cell>
          <cell r="J277" t="str">
            <v>RHM-EGW-08</v>
          </cell>
          <cell r="K277" t="str">
            <v>RHM-EGW-07</v>
          </cell>
          <cell r="L277" t="str">
            <v>RHM-EGW-06</v>
          </cell>
          <cell r="M277" t="str">
            <v>RHM-EGW-05</v>
          </cell>
          <cell r="N277" t="str">
            <v>SWO003236</v>
          </cell>
          <cell r="O277" t="str">
            <v>SWO000955</v>
          </cell>
          <cell r="P277" t="str">
            <v>SWO000955</v>
          </cell>
          <cell r="Q277" t="str">
            <v>SWO000955</v>
          </cell>
          <cell r="R277" t="str">
            <v>SWO000955</v>
          </cell>
          <cell r="S277">
            <v>22474</v>
          </cell>
          <cell r="T277" t="str">
            <v>0830</v>
          </cell>
          <cell r="U277" t="str">
            <v>RHM</v>
          </cell>
          <cell r="W277" t="str">
            <v xml:space="preserve">RHM: UTILITIES G/W/E </v>
          </cell>
          <cell r="X277" t="str">
            <v>N</v>
          </cell>
        </row>
        <row r="278">
          <cell r="A278" t="str">
            <v>RHM: UTILITIES CHILLED WATER FY15</v>
          </cell>
          <cell r="B278" t="str">
            <v>RHM</v>
          </cell>
          <cell r="C278" t="str">
            <v>RHM-UCW</v>
          </cell>
          <cell r="D278" t="str">
            <v>RHM-UCW14</v>
          </cell>
          <cell r="E278" t="str">
            <v>RHM-UCW13</v>
          </cell>
          <cell r="F278" t="str">
            <v>RHM-UCW12</v>
          </cell>
          <cell r="G278" t="str">
            <v>RHM-UCW11</v>
          </cell>
          <cell r="H278" t="str">
            <v>RHM-UCW10</v>
          </cell>
          <cell r="I278" t="str">
            <v>RHM-UCW09</v>
          </cell>
          <cell r="J278" t="str">
            <v>RHM-UCW08</v>
          </cell>
          <cell r="K278" t="str">
            <v>RHM-UCW07</v>
          </cell>
          <cell r="L278" t="str">
            <v>RHM-UCW06</v>
          </cell>
          <cell r="M278" t="str">
            <v>RHM-UCW05</v>
          </cell>
          <cell r="W278" t="str">
            <v xml:space="preserve">RHM: UTILITIES CHILLED WATER </v>
          </cell>
        </row>
        <row r="279">
          <cell r="A279" t="str">
            <v>RHM: UTILITIES DEBT SERVICE FY15</v>
          </cell>
          <cell r="B279" t="str">
            <v>RHM</v>
          </cell>
          <cell r="C279" t="str">
            <v>RHM-UDS</v>
          </cell>
          <cell r="D279" t="str">
            <v>RHM-UDS14</v>
          </cell>
          <cell r="E279" t="str">
            <v>RHM-UDS13</v>
          </cell>
          <cell r="F279" t="str">
            <v>RHM-UDS12</v>
          </cell>
          <cell r="G279" t="str">
            <v>RHM-UDS11</v>
          </cell>
          <cell r="H279" t="str">
            <v>RHM-UDS10</v>
          </cell>
          <cell r="I279" t="str">
            <v>RHM-UDS09</v>
          </cell>
          <cell r="J279" t="str">
            <v>RHM-UDS08</v>
          </cell>
          <cell r="K279" t="str">
            <v>RHM-UDS07</v>
          </cell>
          <cell r="L279" t="str">
            <v>RHM-UDS06</v>
          </cell>
          <cell r="M279" t="str">
            <v>RHM-UDS05</v>
          </cell>
          <cell r="W279" t="str">
            <v xml:space="preserve">RHM: UTILITIES DEBT SERVICE </v>
          </cell>
        </row>
        <row r="280">
          <cell r="A280" t="str">
            <v>RHM: UTILITIES MAINT FY15</v>
          </cell>
          <cell r="B280">
            <v>0</v>
          </cell>
          <cell r="C280" t="str">
            <v>RHM-UMT</v>
          </cell>
          <cell r="D280" t="str">
            <v>RHM-UMT14</v>
          </cell>
          <cell r="E280" t="str">
            <v>RHM-UMT13</v>
          </cell>
          <cell r="F280" t="str">
            <v>RHM-UMT12</v>
          </cell>
          <cell r="G280" t="str">
            <v>RHM-UMT11</v>
          </cell>
          <cell r="H280" t="str">
            <v>RHM-UMT10</v>
          </cell>
          <cell r="I280" t="str">
            <v>RHM-UMT09</v>
          </cell>
          <cell r="J280" t="str">
            <v>RHM-UMT08</v>
          </cell>
          <cell r="K280" t="str">
            <v>RHM-UMT07</v>
          </cell>
          <cell r="L280" t="str">
            <v>RHM-UMT06</v>
          </cell>
          <cell r="M280" t="str">
            <v>RHM-UMT05</v>
          </cell>
          <cell r="W280" t="str">
            <v xml:space="preserve">RHM: UTILITIES MAINT </v>
          </cell>
        </row>
        <row r="281">
          <cell r="A281" t="str">
            <v>BIT: UTILITIES FY15 - GAS/WATER/ELECTRIC</v>
          </cell>
          <cell r="B281" t="str">
            <v>BIT</v>
          </cell>
          <cell r="C281" t="str">
            <v>BIT-EGW</v>
          </cell>
          <cell r="D281" t="str">
            <v>BIT-EGW-14</v>
          </cell>
          <cell r="E281" t="str">
            <v>BIT-EGW-13</v>
          </cell>
          <cell r="F281" t="str">
            <v>BIT-EGW-12</v>
          </cell>
          <cell r="G281" t="str">
            <v>BIT-EGW-11</v>
          </cell>
          <cell r="H281" t="str">
            <v>BIT-EGW-10</v>
          </cell>
          <cell r="I281" t="str">
            <v>BIT-EGW-09</v>
          </cell>
          <cell r="J281" t="str">
            <v>BIT-EGW-08</v>
          </cell>
          <cell r="K281" t="str">
            <v>BIT-EGW-07</v>
          </cell>
          <cell r="L281" t="str">
            <v>BIT-EGW-06</v>
          </cell>
          <cell r="M281" t="str">
            <v>BIT-EGW-05</v>
          </cell>
          <cell r="N281" t="str">
            <v>SWO003101</v>
          </cell>
          <cell r="O281" t="str">
            <v>SWO000844</v>
          </cell>
          <cell r="P281" t="str">
            <v>SWO000844</v>
          </cell>
          <cell r="Q281" t="str">
            <v>SWO000844</v>
          </cell>
          <cell r="R281" t="str">
            <v>SWO000844</v>
          </cell>
          <cell r="S281">
            <v>22475</v>
          </cell>
          <cell r="T281" t="str">
            <v>0840</v>
          </cell>
          <cell r="U281" t="str">
            <v>BIT</v>
          </cell>
          <cell r="W281" t="str">
            <v xml:space="preserve">BIT: UTILITIES G/W/E </v>
          </cell>
          <cell r="X281" t="str">
            <v>N</v>
          </cell>
        </row>
        <row r="282">
          <cell r="A282" t="str">
            <v>BIT: UTILITIES CHILLED WATER FY15</v>
          </cell>
          <cell r="B282" t="str">
            <v>BIT</v>
          </cell>
          <cell r="C282" t="str">
            <v>BIT-UCW</v>
          </cell>
          <cell r="D282" t="str">
            <v>BIT-UCW14</v>
          </cell>
          <cell r="E282" t="str">
            <v>BIT-UCW13</v>
          </cell>
          <cell r="F282" t="str">
            <v>BIT-UCW12</v>
          </cell>
          <cell r="G282" t="str">
            <v>BIT-UCW11</v>
          </cell>
          <cell r="H282" t="str">
            <v>BIT-UCW10</v>
          </cell>
          <cell r="I282" t="str">
            <v>BIT-UCW09</v>
          </cell>
          <cell r="J282" t="str">
            <v>BIT-UCW08</v>
          </cell>
          <cell r="K282" t="str">
            <v>BIT-UCW07</v>
          </cell>
          <cell r="L282" t="str">
            <v>BIT-UCW06</v>
          </cell>
          <cell r="M282" t="str">
            <v>BIT-UCW05</v>
          </cell>
          <cell r="W282" t="str">
            <v xml:space="preserve">BIT: UTILITIES CHILLED WATER </v>
          </cell>
        </row>
        <row r="283">
          <cell r="A283" t="str">
            <v>BIT: UTILITIES DEBT SERVICE FY15</v>
          </cell>
          <cell r="B283" t="str">
            <v>BIT</v>
          </cell>
          <cell r="C283" t="str">
            <v>BIT-UDS</v>
          </cell>
          <cell r="D283" t="str">
            <v>BIT-UDS14</v>
          </cell>
          <cell r="E283" t="str">
            <v>BIT-UDS13</v>
          </cell>
          <cell r="F283" t="str">
            <v>BIT-UDS12</v>
          </cell>
          <cell r="G283" t="str">
            <v>BIT-UDS11</v>
          </cell>
          <cell r="H283" t="str">
            <v>BIT-UDS10</v>
          </cell>
          <cell r="I283" t="str">
            <v>BIT-UDS09</v>
          </cell>
          <cell r="J283" t="str">
            <v>BIT-UDS08</v>
          </cell>
          <cell r="K283" t="str">
            <v>BIT-UDS07</v>
          </cell>
          <cell r="L283" t="str">
            <v>BIT-UDS06</v>
          </cell>
          <cell r="M283" t="str">
            <v>BIT-UDS05</v>
          </cell>
          <cell r="W283" t="str">
            <v xml:space="preserve">BIT: UTILITIES DEBT SERVICE </v>
          </cell>
        </row>
        <row r="284">
          <cell r="A284" t="str">
            <v>BIT: UTILITIES MAINT FY15</v>
          </cell>
          <cell r="B284">
            <v>0</v>
          </cell>
          <cell r="C284" t="str">
            <v>BIT-UMT</v>
          </cell>
          <cell r="D284" t="str">
            <v>BIT-UMT14</v>
          </cell>
          <cell r="E284" t="str">
            <v>BIT-UMT13</v>
          </cell>
          <cell r="F284" t="str">
            <v>BIT-UMT12</v>
          </cell>
          <cell r="G284" t="str">
            <v>BIT-UMT11</v>
          </cell>
          <cell r="H284" t="str">
            <v>BIT-UMT10</v>
          </cell>
          <cell r="I284" t="str">
            <v>BIT-UMT09</v>
          </cell>
          <cell r="J284" t="str">
            <v>BIT-UMT08</v>
          </cell>
          <cell r="K284" t="str">
            <v>BIT-UMT07</v>
          </cell>
          <cell r="L284" t="str">
            <v>BIT-UMT06</v>
          </cell>
          <cell r="M284" t="str">
            <v>BIT-UMT05</v>
          </cell>
          <cell r="W284" t="str">
            <v xml:space="preserve">BIT: UTILITIES MAINT </v>
          </cell>
        </row>
        <row r="285">
          <cell r="A285" t="str">
            <v>MUS: UTILITIES FY15 - GAS/WATER/ELECTRIC</v>
          </cell>
          <cell r="B285" t="str">
            <v>MUS</v>
          </cell>
          <cell r="C285" t="str">
            <v>MUS-EGW</v>
          </cell>
          <cell r="D285" t="str">
            <v>MUS-EGW-14</v>
          </cell>
          <cell r="E285" t="str">
            <v>MUS-EGW-13</v>
          </cell>
          <cell r="F285" t="str">
            <v>MUS-EGW-12</v>
          </cell>
          <cell r="G285" t="str">
            <v>MUS-EGW-11</v>
          </cell>
          <cell r="H285" t="str">
            <v>MUS-EGW-10</v>
          </cell>
          <cell r="I285" t="str">
            <v>MUS-EGW-09</v>
          </cell>
          <cell r="J285" t="str">
            <v>MUS-EGW-08</v>
          </cell>
          <cell r="K285" t="str">
            <v>MUS-EGW-07</v>
          </cell>
          <cell r="L285" t="str">
            <v>MUS-EGW-06</v>
          </cell>
          <cell r="M285" t="str">
            <v>MUS-EGW-05</v>
          </cell>
          <cell r="N285" t="str">
            <v>SWO003202</v>
          </cell>
          <cell r="O285" t="str">
            <v>SWO000956</v>
          </cell>
          <cell r="P285" t="str">
            <v>SWO000956</v>
          </cell>
          <cell r="Q285" t="str">
            <v>SWO000956</v>
          </cell>
          <cell r="R285" t="str">
            <v>SWO000956</v>
          </cell>
          <cell r="S285">
            <v>22476</v>
          </cell>
          <cell r="T285" t="str">
            <v>0850</v>
          </cell>
          <cell r="U285" t="str">
            <v>MUS</v>
          </cell>
          <cell r="W285" t="str">
            <v xml:space="preserve">MUS: UTILITIES G/W/E </v>
          </cell>
          <cell r="X285" t="str">
            <v>N</v>
          </cell>
        </row>
        <row r="286">
          <cell r="A286" t="str">
            <v>MUS: UTILITIES CHILLED WATER FY15</v>
          </cell>
          <cell r="B286" t="str">
            <v>MUS</v>
          </cell>
          <cell r="C286" t="str">
            <v>MUS-UCW</v>
          </cell>
          <cell r="D286" t="str">
            <v>MUS-UCW14</v>
          </cell>
          <cell r="E286" t="str">
            <v>MUS-UCW13</v>
          </cell>
          <cell r="F286" t="str">
            <v>MUS-UCW12</v>
          </cell>
          <cell r="G286" t="str">
            <v>MUS-UCW11</v>
          </cell>
          <cell r="H286" t="str">
            <v>MUS-UCW10</v>
          </cell>
          <cell r="I286" t="str">
            <v>MUS-UCW09</v>
          </cell>
          <cell r="J286" t="str">
            <v>MUS-UCW08</v>
          </cell>
          <cell r="K286" t="str">
            <v>MUS-UCW07</v>
          </cell>
          <cell r="L286" t="str">
            <v>MUS-UCW06</v>
          </cell>
          <cell r="M286" t="str">
            <v>MUS-UCW05</v>
          </cell>
          <cell r="W286" t="str">
            <v xml:space="preserve">MUS: UTILITIES CHILLED WATER </v>
          </cell>
        </row>
        <row r="287">
          <cell r="A287" t="str">
            <v>MUS: UTILITIES DEBT SERVICE FY15</v>
          </cell>
          <cell r="B287" t="str">
            <v>MUS</v>
          </cell>
          <cell r="C287" t="str">
            <v>MUS-UDS</v>
          </cell>
          <cell r="D287" t="str">
            <v>MUS-UDS14</v>
          </cell>
          <cell r="E287" t="str">
            <v>MUS-UDS13</v>
          </cell>
          <cell r="F287" t="str">
            <v>MUS-UDS12</v>
          </cell>
          <cell r="G287" t="str">
            <v>MUS-UDS11</v>
          </cell>
          <cell r="H287" t="str">
            <v>MUS-UDS10</v>
          </cell>
          <cell r="I287" t="str">
            <v>MUS-UDS09</v>
          </cell>
          <cell r="J287" t="str">
            <v>MUS-UDS08</v>
          </cell>
          <cell r="K287" t="str">
            <v>MUS-UDS07</v>
          </cell>
          <cell r="L287" t="str">
            <v>MUS-UDS06</v>
          </cell>
          <cell r="M287" t="str">
            <v>MUS-UDS05</v>
          </cell>
          <cell r="W287" t="str">
            <v xml:space="preserve">MUS: UTILITIES DEBT SERVICE </v>
          </cell>
        </row>
        <row r="288">
          <cell r="A288" t="str">
            <v>MUS: UTILITIES MAINT FY15</v>
          </cell>
          <cell r="B288">
            <v>0</v>
          </cell>
          <cell r="C288" t="str">
            <v>MUS-UMT</v>
          </cell>
          <cell r="D288" t="str">
            <v>MUS-UMT14</v>
          </cell>
          <cell r="E288" t="str">
            <v>MUS-UMT13</v>
          </cell>
          <cell r="F288" t="str">
            <v>MUS-UMT12</v>
          </cell>
          <cell r="G288" t="str">
            <v>MUS-UMT11</v>
          </cell>
          <cell r="H288" t="str">
            <v>MUS-UMT10</v>
          </cell>
          <cell r="I288" t="str">
            <v>MUS-UMT09</v>
          </cell>
          <cell r="J288" t="str">
            <v>MUS-UMT08</v>
          </cell>
          <cell r="K288" t="str">
            <v>MUS-UMT07</v>
          </cell>
          <cell r="L288" t="str">
            <v>MUS-UMT06</v>
          </cell>
          <cell r="M288" t="str">
            <v>MUS-UMT05</v>
          </cell>
          <cell r="W288" t="str">
            <v xml:space="preserve">MUS: UTILITIES MAINT </v>
          </cell>
        </row>
        <row r="289">
          <cell r="A289" t="str">
            <v>DCC: UTILITIES FY15 - GAS/WATER/ELECTRIC</v>
          </cell>
          <cell r="B289" t="str">
            <v>DCC</v>
          </cell>
          <cell r="C289" t="str">
            <v>DCC-EGW</v>
          </cell>
          <cell r="D289" t="str">
            <v>DCC-EGW-14</v>
          </cell>
          <cell r="E289" t="str">
            <v>DCC-EGW-13</v>
          </cell>
          <cell r="F289" t="str">
            <v>DCC-EGW-12</v>
          </cell>
          <cell r="G289" t="str">
            <v>DCC-EGW-11</v>
          </cell>
          <cell r="H289" t="str">
            <v>DCC-EGW-10</v>
          </cell>
          <cell r="I289" t="str">
            <v>DCC-EGW-09</v>
          </cell>
          <cell r="J289" t="str">
            <v>DCC-EGW-08</v>
          </cell>
          <cell r="K289" t="str">
            <v>DCC-EGW-07</v>
          </cell>
          <cell r="L289" t="str">
            <v>DCC-EGW-06</v>
          </cell>
          <cell r="M289" t="str">
            <v>DCC-EGW-05</v>
          </cell>
          <cell r="N289" t="str">
            <v>SWO003127</v>
          </cell>
          <cell r="O289" t="str">
            <v>SWO000845</v>
          </cell>
          <cell r="P289" t="str">
            <v>SWO000845</v>
          </cell>
          <cell r="Q289" t="str">
            <v>SWO000845</v>
          </cell>
          <cell r="R289" t="str">
            <v>SWO000845</v>
          </cell>
          <cell r="S289">
            <v>22506</v>
          </cell>
          <cell r="T289" t="str">
            <v>0870</v>
          </cell>
          <cell r="U289" t="str">
            <v>DCC</v>
          </cell>
          <cell r="W289" t="str">
            <v xml:space="preserve">DCC: UTILITIES G/W/E </v>
          </cell>
          <cell r="X289" t="str">
            <v>N</v>
          </cell>
        </row>
        <row r="290">
          <cell r="A290" t="str">
            <v>DCC: UTILITIES FY15 - GAS</v>
          </cell>
          <cell r="B290" t="str">
            <v>DCC</v>
          </cell>
          <cell r="C290" t="str">
            <v>DCC-GAS</v>
          </cell>
          <cell r="D290" t="str">
            <v>DCC-GAS-14</v>
          </cell>
          <cell r="E290" t="str">
            <v>DCC-GAS-13</v>
          </cell>
          <cell r="W290" t="str">
            <v>DCC: UTILITIES FY15 - GAS</v>
          </cell>
        </row>
        <row r="291">
          <cell r="A291" t="str">
            <v>DCC: UTILITIES FY15 - WATER</v>
          </cell>
          <cell r="B291" t="str">
            <v>DCC</v>
          </cell>
          <cell r="C291" t="str">
            <v>DCC-WTR</v>
          </cell>
          <cell r="D291" t="str">
            <v>DCC-WTR-14</v>
          </cell>
          <cell r="E291" t="str">
            <v>DCC-WTR-13</v>
          </cell>
          <cell r="W291" t="str">
            <v>DCC: UTILITIES FY15 - WATER</v>
          </cell>
        </row>
        <row r="292">
          <cell r="A292" t="str">
            <v>DCC: UTILITIES CHILLED WATER FY15</v>
          </cell>
          <cell r="B292" t="str">
            <v>DCC</v>
          </cell>
          <cell r="C292" t="str">
            <v>DCC-UCW</v>
          </cell>
          <cell r="D292" t="str">
            <v>DCC-UCW14</v>
          </cell>
          <cell r="E292" t="str">
            <v>DCC-UCW13</v>
          </cell>
          <cell r="F292" t="str">
            <v>DCC-UCW12</v>
          </cell>
          <cell r="G292" t="str">
            <v>DCC-UCW11</v>
          </cell>
          <cell r="H292" t="str">
            <v>DCC-UCW10</v>
          </cell>
          <cell r="I292" t="str">
            <v>DCC-UCW09</v>
          </cell>
          <cell r="J292" t="str">
            <v>DCC-UCW08</v>
          </cell>
          <cell r="K292" t="str">
            <v>DCC-UCW07</v>
          </cell>
          <cell r="L292" t="str">
            <v>DCC-UCW06</v>
          </cell>
          <cell r="M292" t="str">
            <v>DCC-UCW05</v>
          </cell>
          <cell r="W292" t="str">
            <v xml:space="preserve">DCC: UTILITIES CHILLED WATER </v>
          </cell>
        </row>
        <row r="293">
          <cell r="A293" t="str">
            <v>DCC: UTILITIES DEBT SERVICE FY15</v>
          </cell>
          <cell r="B293" t="str">
            <v>DCC</v>
          </cell>
          <cell r="C293" t="str">
            <v>DCC-UDS</v>
          </cell>
          <cell r="D293" t="str">
            <v>DCC-UDS14</v>
          </cell>
          <cell r="E293" t="str">
            <v>DCC-UDS13</v>
          </cell>
          <cell r="F293" t="str">
            <v>DCC-UDS12</v>
          </cell>
          <cell r="G293" t="str">
            <v>DCC-UDS11</v>
          </cell>
          <cell r="H293" t="str">
            <v>DCC-UDS10</v>
          </cell>
          <cell r="I293" t="str">
            <v>DCC-UDS09</v>
          </cell>
          <cell r="J293" t="str">
            <v>DCC-UDS08</v>
          </cell>
          <cell r="K293" t="str">
            <v>DCC-UDS07</v>
          </cell>
          <cell r="L293" t="str">
            <v>DCC-UDS06</v>
          </cell>
          <cell r="M293" t="str">
            <v>DCC-UDS05</v>
          </cell>
          <cell r="W293" t="str">
            <v xml:space="preserve">DCC: UTILITIES DEBT SERVICE </v>
          </cell>
        </row>
        <row r="294">
          <cell r="A294" t="str">
            <v>DCC: UTILITIES MAINT FY15</v>
          </cell>
          <cell r="B294">
            <v>0</v>
          </cell>
          <cell r="C294" t="str">
            <v>DCC-UMT</v>
          </cell>
          <cell r="D294" t="str">
            <v>DCC-UMT14</v>
          </cell>
          <cell r="E294" t="str">
            <v>DCC-UMT13</v>
          </cell>
          <cell r="F294" t="str">
            <v>DCC-UMT12</v>
          </cell>
          <cell r="G294" t="str">
            <v>DCC-UMT11</v>
          </cell>
          <cell r="H294" t="str">
            <v>DCC-UMT10</v>
          </cell>
          <cell r="I294" t="str">
            <v>DCC-UMT09</v>
          </cell>
          <cell r="J294" t="str">
            <v>DCC-UMT08</v>
          </cell>
          <cell r="K294" t="str">
            <v>DCC-UMT07</v>
          </cell>
          <cell r="L294" t="str">
            <v>DCC-UMT06</v>
          </cell>
          <cell r="M294" t="str">
            <v>DCC-UMT05</v>
          </cell>
          <cell r="W294" t="str">
            <v xml:space="preserve">DCC: UTILITIES MAINT </v>
          </cell>
        </row>
        <row r="295">
          <cell r="A295" t="str">
            <v>DCC1: UTILITIES FY15 - ELECTRIC</v>
          </cell>
          <cell r="B295" t="str">
            <v>DCC1</v>
          </cell>
          <cell r="C295" t="str">
            <v>DCC1-ELC</v>
          </cell>
          <cell r="D295" t="str">
            <v>DCC1-ELC14</v>
          </cell>
          <cell r="E295" t="str">
            <v>DCC1-ELC13</v>
          </cell>
          <cell r="F295" t="str">
            <v>DCC1-ELC12</v>
          </cell>
          <cell r="G295" t="str">
            <v>DCC1-ELC11</v>
          </cell>
          <cell r="H295" t="str">
            <v>DCC1-ELC10</v>
          </cell>
          <cell r="I295" t="str">
            <v>DCC1-ELC09</v>
          </cell>
          <cell r="J295" t="str">
            <v>DCC1-ELC08</v>
          </cell>
          <cell r="K295" t="str">
            <v>DCC1-ELC07</v>
          </cell>
          <cell r="L295" t="str">
            <v>SWO009650</v>
          </cell>
          <cell r="M295" t="str">
            <v>SWO006041</v>
          </cell>
          <cell r="N295" t="str">
            <v>SWO003401</v>
          </cell>
          <cell r="O295" t="str">
            <v>SWO002535</v>
          </cell>
          <cell r="P295" t="str">
            <v>SWO001796</v>
          </cell>
          <cell r="Q295" t="str">
            <v>SWO001284</v>
          </cell>
          <cell r="R295" t="str">
            <v>SWO000957</v>
          </cell>
          <cell r="S295">
            <v>22477</v>
          </cell>
          <cell r="T295" t="str">
            <v>0871</v>
          </cell>
          <cell r="U295" t="str">
            <v>DCC</v>
          </cell>
          <cell r="W295" t="str">
            <v>Davidson Conference Center - Electric</v>
          </cell>
          <cell r="X295" t="str">
            <v>Y</v>
          </cell>
          <cell r="Y295" t="str">
            <v>17-8200-0700</v>
          </cell>
          <cell r="Z295">
            <v>20215</v>
          </cell>
        </row>
        <row r="296">
          <cell r="A296" t="str">
            <v>BSR: UTILITIES FY15 - ELECTRIC</v>
          </cell>
          <cell r="B296" t="str">
            <v>BSR</v>
          </cell>
          <cell r="C296" t="str">
            <v>BSR-ELC</v>
          </cell>
          <cell r="D296" t="str">
            <v>BSR-ELC-14</v>
          </cell>
          <cell r="E296" t="str">
            <v>BSR-ELC-13</v>
          </cell>
          <cell r="F296" t="str">
            <v>BSR-ELC-12</v>
          </cell>
          <cell r="G296" t="str">
            <v>BSR-ELC-11</v>
          </cell>
          <cell r="H296" t="str">
            <v>BSR-ELC-10</v>
          </cell>
          <cell r="I296" t="str">
            <v>BSR-ELC-09</v>
          </cell>
          <cell r="J296" t="str">
            <v>BSR-ELC-08</v>
          </cell>
          <cell r="K296" t="str">
            <v>BSR-ELC-07</v>
          </cell>
          <cell r="L296" t="str">
            <v>SWO008999</v>
          </cell>
          <cell r="M296" t="str">
            <v>SWO006031</v>
          </cell>
          <cell r="N296" t="str">
            <v>SWO003392</v>
          </cell>
          <cell r="O296" t="str">
            <v>SWO002515</v>
          </cell>
          <cell r="P296" t="str">
            <v>SWO001766</v>
          </cell>
          <cell r="Q296" t="str">
            <v>SWO001287</v>
          </cell>
          <cell r="R296" t="str">
            <v>SWO000960</v>
          </cell>
          <cell r="S296">
            <v>22510</v>
          </cell>
          <cell r="T296" t="str">
            <v>0880</v>
          </cell>
          <cell r="U296" t="str">
            <v>BSR</v>
          </cell>
          <cell r="W296" t="str">
            <v>Birnkrant Hall - Electric</v>
          </cell>
          <cell r="X296" t="str">
            <v>Y</v>
          </cell>
          <cell r="Y296" t="str">
            <v>17-8701-0300</v>
          </cell>
          <cell r="Z296">
            <v>20215</v>
          </cell>
        </row>
        <row r="297">
          <cell r="A297" t="str">
            <v>BSR: UTILITIES FY15 - GAS</v>
          </cell>
          <cell r="B297" t="str">
            <v>BSR</v>
          </cell>
          <cell r="C297" t="str">
            <v>BSR-GAS</v>
          </cell>
          <cell r="D297" t="str">
            <v>BSR-GAS-14</v>
          </cell>
          <cell r="E297" t="str">
            <v>BSR-GAS-13</v>
          </cell>
          <cell r="F297" t="str">
            <v>BSR-GAS-12</v>
          </cell>
          <cell r="G297" t="str">
            <v>BSR-GAS-11</v>
          </cell>
          <cell r="H297" t="str">
            <v>BSR-GAS-10</v>
          </cell>
          <cell r="I297" t="str">
            <v>BSR-GAS-09</v>
          </cell>
          <cell r="J297" t="str">
            <v>BSR-GAS-08</v>
          </cell>
          <cell r="K297" t="str">
            <v>BSR-GAS-07</v>
          </cell>
          <cell r="L297" t="str">
            <v>SWO008998</v>
          </cell>
          <cell r="M297" t="str">
            <v>SWO006032</v>
          </cell>
          <cell r="N297" t="str">
            <v>SWO003393</v>
          </cell>
          <cell r="O297" t="str">
            <v>SWO002497</v>
          </cell>
          <cell r="P297" t="str">
            <v>SWO001748</v>
          </cell>
          <cell r="Q297" t="str">
            <v>SWO001288</v>
          </cell>
          <cell r="R297" t="str">
            <v>SWO000961</v>
          </cell>
          <cell r="S297">
            <v>22511</v>
          </cell>
          <cell r="W297" t="str">
            <v>Birnkrant Hall - Gas</v>
          </cell>
          <cell r="X297" t="str">
            <v>Y</v>
          </cell>
          <cell r="Y297" t="str">
            <v>17-8701-0300</v>
          </cell>
          <cell r="Z297">
            <v>20211</v>
          </cell>
        </row>
        <row r="298">
          <cell r="A298" t="str">
            <v>BSR: UTILITIES FY15 - WATER</v>
          </cell>
          <cell r="B298" t="str">
            <v>BSR</v>
          </cell>
          <cell r="C298" t="str">
            <v>BSR-WTR</v>
          </cell>
          <cell r="D298" t="str">
            <v>BSR-WTR-14</v>
          </cell>
          <cell r="E298" t="str">
            <v>BSR-WTR-13</v>
          </cell>
          <cell r="F298" t="str">
            <v>BSR-WTR-12</v>
          </cell>
          <cell r="G298" t="str">
            <v>BSR-WTR-11</v>
          </cell>
          <cell r="H298" t="str">
            <v>BSR-WTR-10</v>
          </cell>
          <cell r="I298" t="str">
            <v>BSR-WTR-09</v>
          </cell>
          <cell r="J298" t="str">
            <v>BSR-WTR-08</v>
          </cell>
          <cell r="K298" t="str">
            <v>BSR-WTR-07</v>
          </cell>
          <cell r="L298" t="str">
            <v>SWO008997</v>
          </cell>
          <cell r="M298" t="str">
            <v>SWO006030</v>
          </cell>
          <cell r="N298" t="str">
            <v>SWO003394</v>
          </cell>
          <cell r="O298" t="str">
            <v>SWO002505</v>
          </cell>
          <cell r="P298" t="str">
            <v>SWO001756</v>
          </cell>
          <cell r="Q298" t="str">
            <v>SWO001289</v>
          </cell>
          <cell r="R298" t="str">
            <v>SWO000962</v>
          </cell>
          <cell r="S298">
            <v>22512</v>
          </cell>
          <cell r="W298" t="str">
            <v>Birnkrant Hall - Water</v>
          </cell>
          <cell r="X298" t="str">
            <v>Y</v>
          </cell>
          <cell r="Y298" t="str">
            <v>17-8701-0300</v>
          </cell>
          <cell r="Z298">
            <v>20212</v>
          </cell>
        </row>
        <row r="299">
          <cell r="A299" t="str">
            <v>BSR: UTILITIES CHILLED WATER FY15</v>
          </cell>
          <cell r="B299" t="str">
            <v>BSR</v>
          </cell>
          <cell r="C299" t="str">
            <v>BSR-UCW</v>
          </cell>
          <cell r="D299" t="str">
            <v>BSR-UCW14</v>
          </cell>
          <cell r="E299" t="str">
            <v>BSR-UCW13</v>
          </cell>
          <cell r="F299" t="str">
            <v>BSR-UCW12</v>
          </cell>
          <cell r="G299" t="str">
            <v>BSR-UCW11</v>
          </cell>
          <cell r="H299" t="str">
            <v>BSR-UCW10</v>
          </cell>
          <cell r="I299" t="str">
            <v>BSR-UCW09</v>
          </cell>
          <cell r="J299" t="str">
            <v>BSR-UCW08</v>
          </cell>
          <cell r="K299" t="str">
            <v>BSR-UCW07</v>
          </cell>
          <cell r="L299" t="str">
            <v>BSR-UCW06</v>
          </cell>
          <cell r="M299" t="str">
            <v>BSR-UCW05</v>
          </cell>
          <cell r="W299" t="str">
            <v xml:space="preserve">BSR: UTILITIES CHILLED WATER </v>
          </cell>
        </row>
        <row r="300">
          <cell r="A300" t="str">
            <v>BSR: UTILITIES DEBT SERVICE FY15</v>
          </cell>
          <cell r="B300" t="str">
            <v>BSR</v>
          </cell>
          <cell r="C300" t="str">
            <v>BSR-UDS</v>
          </cell>
          <cell r="D300" t="str">
            <v>BSR-UDS14</v>
          </cell>
          <cell r="E300" t="str">
            <v>BSR-UDS13</v>
          </cell>
          <cell r="F300" t="str">
            <v>BSR-UDS12</v>
          </cell>
          <cell r="G300" t="str">
            <v>BSR-UDS11</v>
          </cell>
          <cell r="H300" t="str">
            <v>BSR-UDS10</v>
          </cell>
          <cell r="I300" t="str">
            <v>BSR-UDS09</v>
          </cell>
          <cell r="J300" t="str">
            <v>BSR-UDS08</v>
          </cell>
          <cell r="K300" t="str">
            <v>BSR-UDS07</v>
          </cell>
          <cell r="L300" t="str">
            <v>BSR-UDS06</v>
          </cell>
          <cell r="M300" t="str">
            <v>BSR-UDS05</v>
          </cell>
          <cell r="W300" t="str">
            <v xml:space="preserve">BSR: UTILITIES DEBT SERVICE </v>
          </cell>
        </row>
        <row r="301">
          <cell r="A301" t="str">
            <v>BSR: UTILITIES MAINT FY15</v>
          </cell>
          <cell r="B301">
            <v>0</v>
          </cell>
          <cell r="C301" t="str">
            <v>BSR-UMT</v>
          </cell>
          <cell r="D301" t="str">
            <v>BSR-UMT14</v>
          </cell>
          <cell r="E301" t="str">
            <v>BSR-UMT13</v>
          </cell>
          <cell r="F301" t="str">
            <v>BSR-UMT12</v>
          </cell>
          <cell r="G301" t="str">
            <v>BSR-UMT11</v>
          </cell>
          <cell r="H301" t="str">
            <v>BSR-UMT10</v>
          </cell>
          <cell r="I301" t="str">
            <v>BSR-UMT09</v>
          </cell>
          <cell r="J301" t="str">
            <v>BSR-UMT08</v>
          </cell>
          <cell r="K301" t="str">
            <v>BSR-UMT07</v>
          </cell>
          <cell r="L301" t="str">
            <v>BSR-UMT06</v>
          </cell>
          <cell r="M301" t="str">
            <v>BSR-UMT05</v>
          </cell>
          <cell r="W301" t="str">
            <v xml:space="preserve">BSR: UTILITIES MAINT </v>
          </cell>
        </row>
        <row r="302">
          <cell r="A302" t="str">
            <v>STU: UTILITIES FY15 - GAS/WATER/ELECTRIC</v>
          </cell>
          <cell r="B302" t="str">
            <v>STU</v>
          </cell>
          <cell r="C302" t="str">
            <v>STU-EGW</v>
          </cell>
          <cell r="D302" t="str">
            <v>STU-EGW-14</v>
          </cell>
          <cell r="E302" t="str">
            <v>STU-EGW-13</v>
          </cell>
          <cell r="F302" t="str">
            <v>STU-EGW-12</v>
          </cell>
          <cell r="G302" t="str">
            <v>STU-EGW-11</v>
          </cell>
          <cell r="H302" t="str">
            <v>STU-EGW-10</v>
          </cell>
          <cell r="I302" t="str">
            <v>STU-EGW-09</v>
          </cell>
          <cell r="J302" t="str">
            <v>STU-EGW-08</v>
          </cell>
          <cell r="K302" t="str">
            <v>STU-EGW-07</v>
          </cell>
          <cell r="L302" t="str">
            <v>STU-EGW-06</v>
          </cell>
          <cell r="M302" t="str">
            <v>STU-EGW-05</v>
          </cell>
          <cell r="N302" t="str">
            <v>SWO003258</v>
          </cell>
          <cell r="O302" t="str">
            <v>SWO000846</v>
          </cell>
          <cell r="P302" t="str">
            <v>SWO000846</v>
          </cell>
          <cell r="Q302" t="str">
            <v>SWO000846</v>
          </cell>
          <cell r="R302" t="str">
            <v>SWO000846</v>
          </cell>
          <cell r="S302">
            <v>22513</v>
          </cell>
          <cell r="T302" t="str">
            <v>0890</v>
          </cell>
          <cell r="U302" t="str">
            <v>STU</v>
          </cell>
          <cell r="W302" t="str">
            <v xml:space="preserve">STU: UTILITIES G/W/E </v>
          </cell>
          <cell r="X302" t="str">
            <v>N</v>
          </cell>
        </row>
        <row r="303">
          <cell r="A303" t="str">
            <v>STU: UTILITIES CHILLED WATER FY15</v>
          </cell>
          <cell r="B303" t="str">
            <v>STU</v>
          </cell>
          <cell r="C303" t="str">
            <v>STU-UCW</v>
          </cell>
          <cell r="D303" t="str">
            <v>STU-UCW14</v>
          </cell>
          <cell r="E303" t="str">
            <v>STU-UCW13</v>
          </cell>
          <cell r="F303" t="str">
            <v>STU-UCW12</v>
          </cell>
          <cell r="G303" t="str">
            <v>STU-UCW11</v>
          </cell>
          <cell r="H303" t="str">
            <v>STU-UCW10</v>
          </cell>
          <cell r="I303" t="str">
            <v>STU-UCW09</v>
          </cell>
          <cell r="J303" t="str">
            <v>STU-UCW08</v>
          </cell>
          <cell r="K303" t="str">
            <v>STU-UCW07</v>
          </cell>
          <cell r="L303" t="str">
            <v>STU-UCW06</v>
          </cell>
          <cell r="M303" t="str">
            <v>STU-UCW05</v>
          </cell>
          <cell r="W303" t="str">
            <v xml:space="preserve">STU: UTILITIES CHILLED WATER </v>
          </cell>
        </row>
        <row r="304">
          <cell r="A304" t="str">
            <v>STU: UTILITIES DEBT SERVICE FY15</v>
          </cell>
          <cell r="B304" t="str">
            <v>STU</v>
          </cell>
          <cell r="C304" t="str">
            <v>STU-UDS</v>
          </cell>
          <cell r="D304" t="str">
            <v>STU-UDS14</v>
          </cell>
          <cell r="E304" t="str">
            <v>STU-UDS13</v>
          </cell>
          <cell r="F304" t="str">
            <v>STU-UDS12</v>
          </cell>
          <cell r="G304" t="str">
            <v>STU-UDS11</v>
          </cell>
          <cell r="H304" t="str">
            <v>STU-UDS10</v>
          </cell>
          <cell r="I304" t="str">
            <v>STU-UDS09</v>
          </cell>
          <cell r="J304" t="str">
            <v>STU-UDS08</v>
          </cell>
          <cell r="K304" t="str">
            <v>STU-UDS07</v>
          </cell>
          <cell r="L304" t="str">
            <v>STU-UDS06</v>
          </cell>
          <cell r="M304" t="str">
            <v>STU-UDS05</v>
          </cell>
          <cell r="W304" t="str">
            <v xml:space="preserve">STU: UTILITIES DEBT SERVICE </v>
          </cell>
        </row>
        <row r="305">
          <cell r="A305" t="str">
            <v>STU: UTILITIES MAINT FY15</v>
          </cell>
          <cell r="B305">
            <v>0</v>
          </cell>
          <cell r="C305" t="str">
            <v>STU-UMT</v>
          </cell>
          <cell r="D305" t="str">
            <v>STU-UMT-14</v>
          </cell>
          <cell r="E305" t="str">
            <v>STU-UMT-13</v>
          </cell>
          <cell r="F305" t="str">
            <v>STU-UMT-12</v>
          </cell>
          <cell r="G305" t="str">
            <v>STU-UMT-11</v>
          </cell>
          <cell r="H305" t="str">
            <v>STU-UMT-10</v>
          </cell>
          <cell r="I305" t="str">
            <v>STU-UMT-09</v>
          </cell>
          <cell r="J305" t="str">
            <v>STU-UMT-08</v>
          </cell>
          <cell r="K305" t="str">
            <v>STU-UMT-07</v>
          </cell>
          <cell r="L305" t="str">
            <v>STU-UMT06</v>
          </cell>
          <cell r="M305" t="str">
            <v>STU-UMT05</v>
          </cell>
          <cell r="W305" t="str">
            <v xml:space="preserve">STU: UTILITIES MAINT </v>
          </cell>
        </row>
        <row r="306">
          <cell r="B306" t="str">
            <v>POA</v>
          </cell>
          <cell r="H306" t="e">
            <v>#N/A</v>
          </cell>
          <cell r="I306" t="str">
            <v>POA-EGW-09</v>
          </cell>
          <cell r="J306" t="str">
            <v>POA-EGW-08</v>
          </cell>
          <cell r="K306" t="str">
            <v>POA-EGW-07</v>
          </cell>
          <cell r="L306" t="str">
            <v>POA-EGW-06</v>
          </cell>
          <cell r="M306" t="str">
            <v>POA-EGW-05</v>
          </cell>
          <cell r="N306" t="str">
            <v>SWO003220</v>
          </cell>
          <cell r="O306" t="str">
            <v>SWO000963</v>
          </cell>
          <cell r="P306" t="str">
            <v>SWO000963</v>
          </cell>
          <cell r="Q306" t="str">
            <v>SWO000963</v>
          </cell>
          <cell r="R306" t="str">
            <v>SWO000963</v>
          </cell>
          <cell r="S306">
            <v>22514</v>
          </cell>
          <cell r="T306" t="str">
            <v>0900</v>
          </cell>
          <cell r="U306" t="str">
            <v>POA</v>
          </cell>
          <cell r="W306" t="str">
            <v xml:space="preserve">POA: UTILITIES G/W/E </v>
          </cell>
          <cell r="X306" t="str">
            <v>N</v>
          </cell>
          <cell r="Y306" t="str">
            <v>DEMOLISHED 6/30/2009</v>
          </cell>
        </row>
        <row r="307">
          <cell r="B307" t="str">
            <v>OMP</v>
          </cell>
          <cell r="H307" t="e">
            <v>#N/A</v>
          </cell>
          <cell r="I307" t="str">
            <v>OMP-EGW-09</v>
          </cell>
          <cell r="J307" t="str">
            <v>OMP-EGW-08</v>
          </cell>
          <cell r="K307" t="str">
            <v>OMP-EGW-07</v>
          </cell>
          <cell r="L307" t="str">
            <v>OMP-EGW-06</v>
          </cell>
          <cell r="M307" t="str">
            <v>OMP-EGW-05</v>
          </cell>
          <cell r="N307" t="str">
            <v>SWO003210</v>
          </cell>
          <cell r="O307" t="str">
            <v>SWO000964</v>
          </cell>
          <cell r="P307" t="str">
            <v>SWO000964</v>
          </cell>
          <cell r="Q307" t="str">
            <v>SWO000964</v>
          </cell>
          <cell r="R307" t="str">
            <v>SWO000964</v>
          </cell>
          <cell r="S307">
            <v>22515</v>
          </cell>
          <cell r="T307" t="str">
            <v>0901</v>
          </cell>
          <cell r="U307" t="str">
            <v>OMP</v>
          </cell>
          <cell r="W307" t="str">
            <v xml:space="preserve">OMP: UTILITIES G/W/E </v>
          </cell>
          <cell r="X307" t="str">
            <v>N</v>
          </cell>
          <cell r="Y307" t="str">
            <v>DEMOLISHED 6/30/2009</v>
          </cell>
        </row>
        <row r="308">
          <cell r="B308" t="str">
            <v>PAS</v>
          </cell>
          <cell r="K308" t="str">
            <v>PAS-EGW-07</v>
          </cell>
          <cell r="L308" t="str">
            <v>PAS-EGW-06</v>
          </cell>
          <cell r="M308" t="str">
            <v>PAS-EGW-05</v>
          </cell>
          <cell r="N308" t="str">
            <v>SWO003212</v>
          </cell>
          <cell r="O308" t="str">
            <v>SWO000965</v>
          </cell>
          <cell r="P308" t="str">
            <v>SWO000965</v>
          </cell>
          <cell r="Q308" t="str">
            <v>SWO000965</v>
          </cell>
          <cell r="R308" t="str">
            <v>SWO000965</v>
          </cell>
          <cell r="S308">
            <v>22516</v>
          </cell>
          <cell r="T308" t="str">
            <v>0902</v>
          </cell>
          <cell r="U308" t="str">
            <v>PAS</v>
          </cell>
          <cell r="W308" t="str">
            <v>PAS: UTILITIES G/W/E (CLOSED 2/11/07)</v>
          </cell>
          <cell r="X308" t="str">
            <v>N</v>
          </cell>
          <cell r="Y308" t="str">
            <v>DEMOLISHED 6/30/2009</v>
          </cell>
        </row>
        <row r="309">
          <cell r="A309" t="str">
            <v>JHH: UTILITIES FY15 - GAS/WATER/ELECTRIC</v>
          </cell>
          <cell r="B309" t="str">
            <v>JHH</v>
          </cell>
          <cell r="C309" t="str">
            <v>JHH-EGW</v>
          </cell>
          <cell r="D309" t="str">
            <v>JHH-EGW-14</v>
          </cell>
          <cell r="E309" t="str">
            <v>JHH-EGW-13</v>
          </cell>
          <cell r="F309" t="str">
            <v>JHH-EGW-12</v>
          </cell>
          <cell r="G309" t="str">
            <v>JHH-EGW-11</v>
          </cell>
          <cell r="H309" t="str">
            <v>JHH-EGW-10</v>
          </cell>
          <cell r="I309" t="str">
            <v>JHH-EGW-09</v>
          </cell>
          <cell r="J309" t="str">
            <v>JHH-EGW-08</v>
          </cell>
          <cell r="K309" t="str">
            <v>JHH-EGW-07</v>
          </cell>
          <cell r="L309" t="str">
            <v>JHH-EGW-06</v>
          </cell>
          <cell r="M309" t="str">
            <v>JHH-EGW-05</v>
          </cell>
          <cell r="N309" t="str">
            <v>SWO003242</v>
          </cell>
          <cell r="O309" t="str">
            <v>SWO000847</v>
          </cell>
          <cell r="P309" t="str">
            <v>SWO000847</v>
          </cell>
          <cell r="Q309" t="str">
            <v>SWO000847</v>
          </cell>
          <cell r="R309" t="str">
            <v>SWO000847</v>
          </cell>
          <cell r="S309">
            <v>22517</v>
          </cell>
          <cell r="T309" t="str">
            <v>0910</v>
          </cell>
          <cell r="U309" t="str">
            <v>JHH</v>
          </cell>
          <cell r="W309" t="str">
            <v xml:space="preserve">JHH: UTILITIES G/W/E </v>
          </cell>
          <cell r="X309" t="str">
            <v>N</v>
          </cell>
        </row>
        <row r="310">
          <cell r="A310" t="str">
            <v>JHH: UTILITIES CHILLED WATER FY15</v>
          </cell>
          <cell r="B310" t="str">
            <v>JHH</v>
          </cell>
          <cell r="C310" t="str">
            <v>JHH-UCW</v>
          </cell>
          <cell r="D310" t="str">
            <v>JHH-UCW14</v>
          </cell>
          <cell r="E310" t="str">
            <v>JHH-UCW13</v>
          </cell>
          <cell r="F310" t="str">
            <v>JHH-UCW12</v>
          </cell>
          <cell r="G310" t="str">
            <v>JHH-UCW11</v>
          </cell>
          <cell r="H310" t="str">
            <v>JHH-UCW10</v>
          </cell>
          <cell r="I310" t="str">
            <v>JHH-UCW09</v>
          </cell>
          <cell r="J310" t="str">
            <v>JHH-UCW08</v>
          </cell>
          <cell r="K310" t="str">
            <v>JHH-UCW07</v>
          </cell>
          <cell r="L310" t="str">
            <v>JHH-UCW06</v>
          </cell>
          <cell r="M310" t="str">
            <v>JHH-UCW05</v>
          </cell>
          <cell r="W310" t="str">
            <v xml:space="preserve">JHH: UTILITIES CHILLED WATER </v>
          </cell>
        </row>
        <row r="311">
          <cell r="A311" t="str">
            <v>JHH: UTILITIES DEBT SERVICE FY15</v>
          </cell>
          <cell r="B311" t="str">
            <v>JHH</v>
          </cell>
          <cell r="C311" t="str">
            <v>JHH-UDS</v>
          </cell>
          <cell r="D311" t="str">
            <v>JHH-UDS14</v>
          </cell>
          <cell r="E311" t="str">
            <v>JHH-UDS13</v>
          </cell>
          <cell r="F311" t="str">
            <v>JHH-UDS12</v>
          </cell>
          <cell r="G311" t="str">
            <v>JHH-UDS11</v>
          </cell>
          <cell r="H311" t="str">
            <v>JHH-UDS10</v>
          </cell>
          <cell r="I311" t="str">
            <v>JHH-UDS09</v>
          </cell>
          <cell r="J311" t="str">
            <v>JHH-UDS08</v>
          </cell>
          <cell r="K311" t="str">
            <v>JHH-UDS07</v>
          </cell>
          <cell r="L311" t="str">
            <v>JHH-UDS06</v>
          </cell>
          <cell r="M311" t="str">
            <v>JHH-UDS05</v>
          </cell>
          <cell r="W311" t="str">
            <v xml:space="preserve">JHH: UTILITIES DEBT SERVICE </v>
          </cell>
        </row>
        <row r="312">
          <cell r="A312" t="str">
            <v>JHH: UTILITIES MAINT FY15</v>
          </cell>
          <cell r="B312">
            <v>0</v>
          </cell>
          <cell r="C312" t="str">
            <v>JHH-UMT</v>
          </cell>
          <cell r="D312" t="str">
            <v>JHH-UMT14</v>
          </cell>
          <cell r="E312" t="str">
            <v>JHH-UMT13</v>
          </cell>
          <cell r="F312" t="str">
            <v>JHH-UMT12</v>
          </cell>
          <cell r="G312" t="str">
            <v>JHH-UMT11</v>
          </cell>
          <cell r="H312" t="str">
            <v>JHH-UMT10</v>
          </cell>
          <cell r="I312" t="str">
            <v>JHH-UMT09</v>
          </cell>
          <cell r="J312" t="str">
            <v>JHH-UMT08</v>
          </cell>
          <cell r="K312" t="str">
            <v>JHH-UMT07</v>
          </cell>
          <cell r="L312" t="str">
            <v>JHH-UMT06</v>
          </cell>
          <cell r="M312" t="str">
            <v>JHH-UMT05</v>
          </cell>
          <cell r="W312" t="str">
            <v xml:space="preserve">JHH: UTILITIES MAINT </v>
          </cell>
        </row>
        <row r="313">
          <cell r="B313" t="str">
            <v>TSC</v>
          </cell>
          <cell r="H313" t="e">
            <v>#N/A</v>
          </cell>
          <cell r="I313" t="str">
            <v>TSC-EGW-09</v>
          </cell>
          <cell r="J313" t="str">
            <v>TSC-EGW-08</v>
          </cell>
          <cell r="K313" t="str">
            <v>TSC-EGW-07</v>
          </cell>
          <cell r="L313" t="str">
            <v>TSC-EGW-06</v>
          </cell>
          <cell r="M313" t="str">
            <v>TSC-EGW-05</v>
          </cell>
          <cell r="N313" t="str">
            <v>SWO003262</v>
          </cell>
          <cell r="O313" t="str">
            <v>SWO000966</v>
          </cell>
          <cell r="P313" t="str">
            <v>SWO000966</v>
          </cell>
          <cell r="Q313" t="str">
            <v>SWO000966</v>
          </cell>
          <cell r="R313" t="str">
            <v>SWO000966</v>
          </cell>
          <cell r="S313">
            <v>22518</v>
          </cell>
          <cell r="T313" t="str">
            <v>0920</v>
          </cell>
          <cell r="U313" t="str">
            <v>TSC</v>
          </cell>
          <cell r="W313" t="str">
            <v xml:space="preserve">TSC: UTILITIES G/W/E </v>
          </cell>
          <cell r="X313" t="str">
            <v>N</v>
          </cell>
          <cell r="Y313" t="str">
            <v>DEMOLISHED 5/15/2009</v>
          </cell>
        </row>
        <row r="314">
          <cell r="A314" t="str">
            <v>MTS: UTILITIES FY15 - GAS/WATER/ELECTRIC</v>
          </cell>
          <cell r="B314" t="str">
            <v>MTS</v>
          </cell>
          <cell r="C314" t="str">
            <v>MTS-EGW</v>
          </cell>
          <cell r="D314" t="str">
            <v>MTS-EGW-14</v>
          </cell>
          <cell r="E314" t="str">
            <v>MTS-EGW-13</v>
          </cell>
          <cell r="F314" t="str">
            <v>MTS-EGW-12</v>
          </cell>
          <cell r="G314" t="str">
            <v>MTS-EGW-11</v>
          </cell>
          <cell r="H314" t="str">
            <v>MTS-EGW-10</v>
          </cell>
          <cell r="I314" t="str">
            <v>MTS-EGW-09</v>
          </cell>
          <cell r="J314" t="str">
            <v>MTS-EGW-08</v>
          </cell>
          <cell r="K314" t="str">
            <v>MTS-EGW-07</v>
          </cell>
          <cell r="L314" t="str">
            <v>MTS-EGW-06</v>
          </cell>
          <cell r="M314" t="str">
            <v>MTS-EGW-05</v>
          </cell>
          <cell r="N314" t="str">
            <v>SWO003201</v>
          </cell>
          <cell r="O314" t="str">
            <v>SWO000967</v>
          </cell>
          <cell r="P314" t="str">
            <v>SWO000967</v>
          </cell>
          <cell r="Q314" t="str">
            <v>SWO000967</v>
          </cell>
          <cell r="R314" t="str">
            <v>SWO000967</v>
          </cell>
          <cell r="S314">
            <v>22519</v>
          </cell>
          <cell r="T314" t="str">
            <v>0930</v>
          </cell>
          <cell r="U314" t="str">
            <v>MTS</v>
          </cell>
          <cell r="W314" t="str">
            <v xml:space="preserve">MTS: UTILITIES G/W/E </v>
          </cell>
          <cell r="X314" t="str">
            <v>N</v>
          </cell>
        </row>
        <row r="315">
          <cell r="A315" t="str">
            <v>MTS: UTILITIES CHILLED WATER FY15</v>
          </cell>
          <cell r="B315" t="str">
            <v>MTS</v>
          </cell>
          <cell r="C315" t="str">
            <v>MTS-UCW</v>
          </cell>
          <cell r="D315" t="str">
            <v>MTS-UCW14</v>
          </cell>
          <cell r="E315" t="str">
            <v>MTS-UCW13</v>
          </cell>
          <cell r="F315" t="str">
            <v>MTS-UCW12</v>
          </cell>
          <cell r="G315" t="str">
            <v>MTS-UCW11</v>
          </cell>
          <cell r="H315" t="str">
            <v>MTS-UCW10</v>
          </cell>
          <cell r="I315" t="str">
            <v>MTS-UCW09</v>
          </cell>
          <cell r="J315" t="str">
            <v>MTS-UCW08</v>
          </cell>
          <cell r="K315" t="str">
            <v>MTS-UCW07</v>
          </cell>
          <cell r="L315" t="str">
            <v>MTS-UCW06</v>
          </cell>
          <cell r="M315" t="str">
            <v>MTS-UCW05</v>
          </cell>
          <cell r="W315" t="str">
            <v xml:space="preserve">MTS: UTILITIES CHILLED WATER </v>
          </cell>
        </row>
        <row r="316">
          <cell r="A316" t="str">
            <v>MTS: UTILITIES DEBT SERVICE FY15</v>
          </cell>
          <cell r="B316" t="str">
            <v>MTS</v>
          </cell>
          <cell r="C316" t="str">
            <v>MTS-UDS</v>
          </cell>
          <cell r="D316" t="str">
            <v>MTS-UDS14</v>
          </cell>
          <cell r="E316" t="str">
            <v>MTS-UDS13</v>
          </cell>
          <cell r="F316" t="str">
            <v>MTS-UDS12</v>
          </cell>
          <cell r="G316" t="str">
            <v>MTS-UDS11</v>
          </cell>
          <cell r="H316" t="str">
            <v>MTS-UDS10</v>
          </cell>
          <cell r="I316" t="str">
            <v>MTS-UDS09</v>
          </cell>
          <cell r="J316" t="str">
            <v>MTS-UDS08</v>
          </cell>
          <cell r="K316" t="str">
            <v>MTS-UDS07</v>
          </cell>
          <cell r="L316" t="str">
            <v>MTS-UDS06</v>
          </cell>
          <cell r="M316" t="str">
            <v>MTS-UDS05</v>
          </cell>
          <cell r="W316" t="str">
            <v xml:space="preserve">MTS: UTILITIES DEBT SERVICE </v>
          </cell>
        </row>
        <row r="317">
          <cell r="A317" t="str">
            <v>MTS: UTILITIES MAINT FY15</v>
          </cell>
          <cell r="B317">
            <v>0</v>
          </cell>
          <cell r="C317" t="str">
            <v>MTS-UMT</v>
          </cell>
          <cell r="D317" t="str">
            <v>MTS-UMT14</v>
          </cell>
          <cell r="E317" t="str">
            <v>MTS-EGW-13</v>
          </cell>
          <cell r="F317" t="str">
            <v>MTS-EGW-12</v>
          </cell>
          <cell r="G317" t="str">
            <v>MTS-EGW-11</v>
          </cell>
          <cell r="H317" t="str">
            <v>MTS-EGW-10</v>
          </cell>
          <cell r="I317" t="str">
            <v>MTS-EGW-09</v>
          </cell>
          <cell r="J317" t="str">
            <v>MTS-EGW-08</v>
          </cell>
          <cell r="K317" t="str">
            <v>MTS-EGW-07</v>
          </cell>
          <cell r="L317" t="str">
            <v>MTS-EGW-06</v>
          </cell>
          <cell r="M317" t="str">
            <v>MTS-EGW-05</v>
          </cell>
          <cell r="W317" t="str">
            <v xml:space="preserve">MTS: UTILITIES G/W/E </v>
          </cell>
        </row>
        <row r="318">
          <cell r="A318" t="str">
            <v>DXM: UTILITIES FY15 - ELECTRIC</v>
          </cell>
          <cell r="B318" t="str">
            <v>DXM</v>
          </cell>
          <cell r="C318" t="str">
            <v>DXM-ELC</v>
          </cell>
          <cell r="D318" t="str">
            <v>DXM-ELC-14</v>
          </cell>
          <cell r="E318" t="str">
            <v>DXM-ELC-13</v>
          </cell>
          <cell r="F318" t="str">
            <v>DXM-ELC-12</v>
          </cell>
          <cell r="G318" t="str">
            <v>DXM-ELC-11</v>
          </cell>
          <cell r="H318" t="str">
            <v>DXM-ELC-10</v>
          </cell>
          <cell r="I318" t="str">
            <v>DXM-ELC-09</v>
          </cell>
          <cell r="J318" t="str">
            <v>DXM-ELC-08</v>
          </cell>
          <cell r="K318" t="str">
            <v>DXM-ELC-07</v>
          </cell>
          <cell r="L318" t="str">
            <v>SWO008979</v>
          </cell>
          <cell r="M318" t="str">
            <v>SWO006045</v>
          </cell>
          <cell r="N318" t="str">
            <v>SWO003407</v>
          </cell>
          <cell r="O318" t="str">
            <v>SWO002520</v>
          </cell>
          <cell r="P318" t="str">
            <v>SWO001770</v>
          </cell>
          <cell r="Q318" t="str">
            <v>SWO001290</v>
          </cell>
          <cell r="R318" t="str">
            <v>SWO000968</v>
          </cell>
          <cell r="S318">
            <v>22520</v>
          </cell>
          <cell r="T318" t="str">
            <v>0940</v>
          </cell>
          <cell r="U318" t="str">
            <v>DXM</v>
          </cell>
          <cell r="W318" t="str">
            <v>David Marks Hall - Electric</v>
          </cell>
          <cell r="X318" t="str">
            <v>Y</v>
          </cell>
          <cell r="Y318" t="str">
            <v>17-8701-0303</v>
          </cell>
          <cell r="Z318">
            <v>20215</v>
          </cell>
        </row>
        <row r="319">
          <cell r="A319" t="str">
            <v>DXM: UTILITIES FY15 - GAS</v>
          </cell>
          <cell r="B319" t="str">
            <v>DXM</v>
          </cell>
          <cell r="C319" t="str">
            <v>DXM-GAS</v>
          </cell>
          <cell r="D319" t="str">
            <v>DXM-GAS-14</v>
          </cell>
          <cell r="E319" t="str">
            <v>DXM-GAS-13</v>
          </cell>
          <cell r="F319" t="str">
            <v>DXM-GAS-12</v>
          </cell>
          <cell r="G319" t="str">
            <v>DXM-GAS-11</v>
          </cell>
          <cell r="H319" t="str">
            <v>DXM-GAS-10</v>
          </cell>
          <cell r="I319" t="str">
            <v>DXM-GAS-09</v>
          </cell>
          <cell r="J319" t="str">
            <v>DXM-GAS-08</v>
          </cell>
          <cell r="K319" t="str">
            <v>DXM-GAS-07</v>
          </cell>
          <cell r="L319" t="str">
            <v>SWO008980</v>
          </cell>
          <cell r="M319" t="str">
            <v>SWO006046</v>
          </cell>
          <cell r="N319" t="str">
            <v>SWO003408</v>
          </cell>
          <cell r="O319" t="str">
            <v>SWO002500</v>
          </cell>
          <cell r="P319" t="str">
            <v>SWO001751</v>
          </cell>
          <cell r="Q319" t="str">
            <v>SWO001291</v>
          </cell>
          <cell r="R319" t="str">
            <v>SWO000969</v>
          </cell>
          <cell r="S319">
            <v>22521</v>
          </cell>
          <cell r="W319" t="str">
            <v>David Marks Hall - Gas</v>
          </cell>
          <cell r="X319" t="str">
            <v>Y</v>
          </cell>
          <cell r="Y319" t="str">
            <v>17-8701-0303</v>
          </cell>
          <cell r="Z319">
            <v>20211</v>
          </cell>
        </row>
        <row r="320">
          <cell r="A320" t="str">
            <v>DXM: UTILITIES FY15 - WATER</v>
          </cell>
          <cell r="B320" t="str">
            <v>DXM</v>
          </cell>
          <cell r="C320" t="str">
            <v>DXM-WTR</v>
          </cell>
          <cell r="D320" t="str">
            <v>DXM-WTR-14</v>
          </cell>
          <cell r="E320" t="str">
            <v>DXM-WTR-13</v>
          </cell>
          <cell r="F320" t="str">
            <v>DXM-WTR-12</v>
          </cell>
          <cell r="G320" t="str">
            <v>DXM-WTR-11</v>
          </cell>
          <cell r="H320" t="str">
            <v>DXM-WTR-10</v>
          </cell>
          <cell r="I320" t="str">
            <v>DXM-WTR-09</v>
          </cell>
          <cell r="J320" t="str">
            <v>DXM-WTR-08</v>
          </cell>
          <cell r="K320" t="str">
            <v>DXM-WTR-07</v>
          </cell>
          <cell r="L320" t="str">
            <v>SWO008978</v>
          </cell>
          <cell r="M320" t="str">
            <v>SWO006044</v>
          </cell>
          <cell r="N320" t="str">
            <v>SWO003409</v>
          </cell>
          <cell r="O320" t="str">
            <v>SWO002509</v>
          </cell>
          <cell r="P320" t="str">
            <v>SWO001760</v>
          </cell>
          <cell r="Q320" t="str">
            <v>SWO001292</v>
          </cell>
          <cell r="R320" t="str">
            <v>SWO000848</v>
          </cell>
          <cell r="S320">
            <v>22522</v>
          </cell>
          <cell r="W320" t="str">
            <v>David Marks Hall - Water</v>
          </cell>
          <cell r="X320" t="str">
            <v>Y</v>
          </cell>
          <cell r="Y320" t="str">
            <v>17-8701-0303</v>
          </cell>
          <cell r="Z320">
            <v>20212</v>
          </cell>
        </row>
        <row r="321">
          <cell r="A321" t="str">
            <v>DXM: UTILITIES CHILLED WATER FY15</v>
          </cell>
          <cell r="B321" t="str">
            <v>DXM</v>
          </cell>
          <cell r="C321" t="str">
            <v>DXM-UCW</v>
          </cell>
          <cell r="D321" t="str">
            <v>DXM-UCW14</v>
          </cell>
          <cell r="E321" t="str">
            <v>DXM-UCW13</v>
          </cell>
          <cell r="F321" t="str">
            <v>DXM-UCW12</v>
          </cell>
          <cell r="G321" t="str">
            <v>DXM-UCW11</v>
          </cell>
          <cell r="H321" t="str">
            <v>DXM-UCW10</v>
          </cell>
          <cell r="I321" t="str">
            <v>DXM-UCW09</v>
          </cell>
          <cell r="J321" t="str">
            <v>DXM-UCW08</v>
          </cell>
          <cell r="K321" t="str">
            <v>DXM-UCW07</v>
          </cell>
          <cell r="L321" t="str">
            <v>DXM-UCW06</v>
          </cell>
          <cell r="M321" t="str">
            <v>DXM-UCW05</v>
          </cell>
          <cell r="W321" t="str">
            <v xml:space="preserve">DXM: UTILITIES CHILLED WATER </v>
          </cell>
        </row>
        <row r="322">
          <cell r="A322" t="str">
            <v>DXM: UTILITIES DEBT SERVICE FY15</v>
          </cell>
          <cell r="B322" t="str">
            <v>DXM</v>
          </cell>
          <cell r="C322" t="str">
            <v>DXM-UDS</v>
          </cell>
          <cell r="D322" t="str">
            <v>DXM-UDS14</v>
          </cell>
          <cell r="E322" t="str">
            <v>DXM-UDS13</v>
          </cell>
          <cell r="F322" t="str">
            <v>DXM-UDS12</v>
          </cell>
          <cell r="G322" t="str">
            <v>DXM-UDS11</v>
          </cell>
          <cell r="H322" t="str">
            <v>DXM-UDS10</v>
          </cell>
          <cell r="I322" t="str">
            <v>DXM-UDS09</v>
          </cell>
          <cell r="J322" t="str">
            <v>DXM-UDS08</v>
          </cell>
          <cell r="K322" t="str">
            <v>DXM-UDS07</v>
          </cell>
          <cell r="L322" t="str">
            <v>DXM-UDS06</v>
          </cell>
          <cell r="M322" t="str">
            <v>DXM-UDS05</v>
          </cell>
          <cell r="W322" t="str">
            <v xml:space="preserve">DXM: UTILITIES DEBT SERVICE </v>
          </cell>
        </row>
        <row r="323">
          <cell r="A323" t="str">
            <v>DXM: UTILITIES MAINT FY15</v>
          </cell>
          <cell r="B323">
            <v>0</v>
          </cell>
          <cell r="C323" t="str">
            <v>DXM-UMT</v>
          </cell>
          <cell r="D323" t="str">
            <v>DXM-UMT14</v>
          </cell>
          <cell r="E323" t="str">
            <v>DXM-UMT13</v>
          </cell>
          <cell r="F323" t="str">
            <v>DXM-UMT12</v>
          </cell>
          <cell r="G323" t="str">
            <v>DXM-UMT11</v>
          </cell>
          <cell r="H323" t="str">
            <v>DXM-UMT10</v>
          </cell>
          <cell r="I323" t="str">
            <v>DXM-UMT09</v>
          </cell>
          <cell r="J323" t="str">
            <v>DXM-UMT08</v>
          </cell>
          <cell r="K323" t="str">
            <v>DXM-UMT07</v>
          </cell>
          <cell r="L323" t="str">
            <v>DXM-UMT06</v>
          </cell>
          <cell r="M323" t="str">
            <v>DXM-UMT05</v>
          </cell>
          <cell r="W323" t="str">
            <v xml:space="preserve">DXM: UTILITIES MAINT </v>
          </cell>
        </row>
        <row r="324">
          <cell r="A324" t="str">
            <v>EDM: UTILITIES FY15 - GAS/WATER/ELECTRIC</v>
          </cell>
          <cell r="B324" t="str">
            <v>EDM</v>
          </cell>
          <cell r="C324" t="str">
            <v>EDM-EGW</v>
          </cell>
          <cell r="D324" t="str">
            <v>EDM-EGW-14</v>
          </cell>
          <cell r="E324" t="str">
            <v>EDM-EGW-13</v>
          </cell>
          <cell r="F324" t="str">
            <v>EDM-EGW-12</v>
          </cell>
          <cell r="G324" t="str">
            <v>EDM-EGW-11</v>
          </cell>
          <cell r="H324" t="str">
            <v>EDM-EGW-10</v>
          </cell>
          <cell r="I324" t="str">
            <v>EDM-EGW-09</v>
          </cell>
          <cell r="J324" t="str">
            <v>EDM-EGW-08</v>
          </cell>
          <cell r="K324" t="str">
            <v>EDM-EGW-07</v>
          </cell>
          <cell r="L324" t="str">
            <v>EDM-EGW-06</v>
          </cell>
          <cell r="M324" t="str">
            <v>EDM-EGW-05</v>
          </cell>
          <cell r="N324" t="str">
            <v>SWO003140</v>
          </cell>
          <cell r="O324" t="str">
            <v>SWO000970</v>
          </cell>
          <cell r="P324" t="str">
            <v>SWO000970</v>
          </cell>
          <cell r="Q324" t="str">
            <v>SWO000970</v>
          </cell>
          <cell r="R324" t="str">
            <v>SWO000970</v>
          </cell>
          <cell r="S324">
            <v>22523</v>
          </cell>
          <cell r="T324" t="str">
            <v>0960</v>
          </cell>
          <cell r="U324" t="str">
            <v>EDM</v>
          </cell>
          <cell r="V324" t="str">
            <v>HSC</v>
          </cell>
          <cell r="W324" t="str">
            <v xml:space="preserve">EDM: UTILITIES G/W/E </v>
          </cell>
          <cell r="X324" t="str">
            <v>N</v>
          </cell>
        </row>
        <row r="325">
          <cell r="A325" t="str">
            <v>EDM: UTILITIES CHILLED WATER FY15</v>
          </cell>
          <cell r="B325" t="str">
            <v>EDM</v>
          </cell>
          <cell r="C325" t="str">
            <v>EDM-UCW</v>
          </cell>
          <cell r="D325" t="str">
            <v>EDM-UCW14</v>
          </cell>
          <cell r="E325" t="str">
            <v>EDM-UCW13</v>
          </cell>
          <cell r="F325" t="str">
            <v>EDM-UCW12</v>
          </cell>
          <cell r="G325" t="str">
            <v>EDM-UCW11</v>
          </cell>
          <cell r="H325" t="str">
            <v>EDM-UCW10</v>
          </cell>
          <cell r="I325" t="str">
            <v>EDM-UCW09</v>
          </cell>
          <cell r="J325" t="str">
            <v>EDM-UCW08</v>
          </cell>
          <cell r="K325" t="str">
            <v>EDM-UCW07</v>
          </cell>
          <cell r="L325" t="str">
            <v>EDM-UCW06</v>
          </cell>
          <cell r="M325" t="str">
            <v>EDM-UCW05</v>
          </cell>
          <cell r="W325" t="str">
            <v xml:space="preserve">EDM: UTILITIES CHILLED WATER </v>
          </cell>
        </row>
        <row r="326">
          <cell r="A326" t="str">
            <v>EDM: UTILITIES DEBT SERVICE FY15</v>
          </cell>
          <cell r="B326" t="str">
            <v>EDM</v>
          </cell>
          <cell r="C326" t="str">
            <v>EDM-UDS</v>
          </cell>
          <cell r="D326" t="str">
            <v>EDM-UDS14</v>
          </cell>
          <cell r="E326" t="str">
            <v>EDM-UDS13</v>
          </cell>
          <cell r="F326" t="str">
            <v>EDM-UDS12</v>
          </cell>
          <cell r="G326" t="str">
            <v>EDM-UDS11</v>
          </cell>
          <cell r="H326" t="str">
            <v>EDM-UDS10</v>
          </cell>
          <cell r="I326" t="str">
            <v>EDM-UDS09</v>
          </cell>
          <cell r="J326" t="str">
            <v>EDM-UDS08</v>
          </cell>
          <cell r="K326" t="str">
            <v>EDM-UDS07</v>
          </cell>
          <cell r="L326" t="str">
            <v>EDM-UDS06</v>
          </cell>
          <cell r="M326" t="str">
            <v>EDM-UDS05</v>
          </cell>
          <cell r="W326" t="str">
            <v xml:space="preserve">EDM: UTILITIES DEBT SERVICE </v>
          </cell>
        </row>
        <row r="327">
          <cell r="A327" t="str">
            <v>EDM: UTILITIES MAINT FY15</v>
          </cell>
          <cell r="B327">
            <v>0</v>
          </cell>
          <cell r="C327" t="str">
            <v>EDM-UMT</v>
          </cell>
          <cell r="D327" t="str">
            <v>EDM-UMT14</v>
          </cell>
          <cell r="E327" t="str">
            <v>EDM-UMT13</v>
          </cell>
          <cell r="F327" t="str">
            <v>EDM-UMT12</v>
          </cell>
          <cell r="G327" t="str">
            <v>EDM-UMT11</v>
          </cell>
          <cell r="H327" t="str">
            <v>EDM-UMT10</v>
          </cell>
          <cell r="I327" t="str">
            <v>EDM-UMT09</v>
          </cell>
          <cell r="J327" t="str">
            <v>EDM-UMT08</v>
          </cell>
          <cell r="K327" t="str">
            <v>EDM-UMT07</v>
          </cell>
          <cell r="L327" t="str">
            <v>EDM-UMT06</v>
          </cell>
          <cell r="M327" t="str">
            <v>EDM-UMT05</v>
          </cell>
          <cell r="W327" t="str">
            <v xml:space="preserve">EDM: UTILITIES MAINT </v>
          </cell>
        </row>
        <row r="328">
          <cell r="A328" t="str">
            <v>KCH: UTILITIES FY15 - GAS/WATER/ELECTRIC</v>
          </cell>
          <cell r="B328" t="str">
            <v>KCH</v>
          </cell>
          <cell r="C328" t="str">
            <v>KCH-EGW</v>
          </cell>
          <cell r="D328" t="str">
            <v>KCH-EGW-14</v>
          </cell>
          <cell r="E328" t="str">
            <v>KCH-EGW-13</v>
          </cell>
          <cell r="F328" t="str">
            <v>KCH-EGW-12</v>
          </cell>
          <cell r="G328" t="str">
            <v>KCH-EGW-11</v>
          </cell>
          <cell r="H328" t="str">
            <v>KCH-EGW-10</v>
          </cell>
          <cell r="I328" t="str">
            <v>KCH-EGW-09</v>
          </cell>
          <cell r="J328" t="str">
            <v>KCH-EGW-08</v>
          </cell>
          <cell r="K328" t="str">
            <v>KCH-EGW-07</v>
          </cell>
          <cell r="L328" t="str">
            <v>KCH-EGW-06</v>
          </cell>
          <cell r="M328" t="str">
            <v>KCH-EGW-05</v>
          </cell>
          <cell r="N328" t="str">
            <v>SWO003181</v>
          </cell>
          <cell r="O328" t="str">
            <v>SWO000971</v>
          </cell>
          <cell r="P328" t="str">
            <v>SWO000971</v>
          </cell>
          <cell r="Q328" t="str">
            <v>SWO000971</v>
          </cell>
          <cell r="R328" t="str">
            <v>SWO000971</v>
          </cell>
          <cell r="S328">
            <v>22524</v>
          </cell>
          <cell r="T328" t="str">
            <v>0970</v>
          </cell>
          <cell r="U328" t="str">
            <v>KCH</v>
          </cell>
          <cell r="W328" t="str">
            <v xml:space="preserve">KCH: UTILITIES G/W/E </v>
          </cell>
          <cell r="X328" t="str">
            <v>N</v>
          </cell>
        </row>
        <row r="329">
          <cell r="A329" t="str">
            <v>KCH: UTILITIES CHILLED WATER FY15</v>
          </cell>
          <cell r="B329" t="str">
            <v>KCH</v>
          </cell>
          <cell r="C329" t="str">
            <v>KCH-UCW</v>
          </cell>
          <cell r="D329" t="str">
            <v>KCH-UCW14</v>
          </cell>
          <cell r="E329" t="str">
            <v>KCH-UCW13</v>
          </cell>
          <cell r="F329" t="str">
            <v>KCH-UCW12</v>
          </cell>
          <cell r="G329" t="str">
            <v>KCH-UCW11</v>
          </cell>
          <cell r="H329" t="str">
            <v>KCH-UCW10</v>
          </cell>
          <cell r="I329" t="str">
            <v>KCH-UCW09</v>
          </cell>
          <cell r="J329" t="str">
            <v>KCH-UCW08</v>
          </cell>
          <cell r="K329" t="str">
            <v>KCH-UCW07</v>
          </cell>
          <cell r="L329" t="str">
            <v>KCH-UCW06</v>
          </cell>
          <cell r="M329" t="str">
            <v>KCH-UCW05</v>
          </cell>
          <cell r="W329" t="str">
            <v xml:space="preserve">KCH: UTILITIES CHILLED WATER </v>
          </cell>
        </row>
        <row r="330">
          <cell r="A330" t="str">
            <v>KCH: UTILITIES DEBT SERVICE FY15</v>
          </cell>
          <cell r="B330" t="str">
            <v>KCH</v>
          </cell>
          <cell r="C330" t="str">
            <v>KCH-UDS</v>
          </cell>
          <cell r="D330" t="str">
            <v>KCH-UDS14</v>
          </cell>
          <cell r="E330" t="str">
            <v>KCH-UDS13</v>
          </cell>
          <cell r="F330" t="str">
            <v>KCH-UDS12</v>
          </cell>
          <cell r="G330" t="str">
            <v>KCH-UDS11</v>
          </cell>
          <cell r="H330" t="str">
            <v>KCH-UDS10</v>
          </cell>
          <cell r="I330" t="str">
            <v>KCH-UDS09</v>
          </cell>
          <cell r="J330" t="str">
            <v>KCH-UDS08</v>
          </cell>
          <cell r="K330" t="str">
            <v>KCH-UDS07</v>
          </cell>
          <cell r="L330" t="str">
            <v>KCH-UDS06</v>
          </cell>
          <cell r="M330" t="str">
            <v>KCH-UDS05</v>
          </cell>
          <cell r="W330" t="str">
            <v xml:space="preserve">KCH: UTILITIES DEBT SERVICE </v>
          </cell>
        </row>
        <row r="331">
          <cell r="A331" t="str">
            <v>KCH: UTILITIES MAINT FY15</v>
          </cell>
          <cell r="B331">
            <v>0</v>
          </cell>
          <cell r="C331" t="str">
            <v>KCH-UMT</v>
          </cell>
          <cell r="D331" t="str">
            <v>KCH-UMT14</v>
          </cell>
          <cell r="E331" t="str">
            <v>KCH-EGW-13</v>
          </cell>
          <cell r="F331" t="str">
            <v>KCH-EGW-12</v>
          </cell>
          <cell r="G331" t="str">
            <v>KCH-EGW-11</v>
          </cell>
          <cell r="H331" t="str">
            <v>KCH-EGW-10</v>
          </cell>
          <cell r="I331" t="str">
            <v>KCH-EGW-09</v>
          </cell>
          <cell r="J331" t="str">
            <v>KCH-EGW-08</v>
          </cell>
          <cell r="K331" t="str">
            <v>KCH-EGW-07</v>
          </cell>
          <cell r="L331" t="str">
            <v>KCH-EGW-06</v>
          </cell>
          <cell r="M331" t="str">
            <v>KCH-EGW-05</v>
          </cell>
          <cell r="W331" t="str">
            <v xml:space="preserve">KCH: UTILITIES G/W/E </v>
          </cell>
        </row>
        <row r="332">
          <cell r="A332" t="str">
            <v>EVK: UTILITIES FY15 - ELECTRIC</v>
          </cell>
          <cell r="B332" t="str">
            <v>EVK</v>
          </cell>
          <cell r="C332" t="str">
            <v>EVK-ELC</v>
          </cell>
          <cell r="D332" t="str">
            <v>EVK-ELC-14</v>
          </cell>
          <cell r="E332" t="str">
            <v>EVK-ELC-13</v>
          </cell>
          <cell r="F332" t="str">
            <v>EVK-ELC-12</v>
          </cell>
          <cell r="G332" t="str">
            <v>EVK-ELC-11</v>
          </cell>
          <cell r="H332" t="str">
            <v>EVK-ELC-10</v>
          </cell>
          <cell r="I332" t="str">
            <v>EVK-ELC-09</v>
          </cell>
          <cell r="J332" t="str">
            <v>EVK-ELC-08</v>
          </cell>
          <cell r="K332" t="str">
            <v>EVK-ELC-07</v>
          </cell>
          <cell r="L332" t="str">
            <v>SWO008985</v>
          </cell>
          <cell r="M332" t="str">
            <v>SWO006049</v>
          </cell>
          <cell r="N332" t="str">
            <v>SWO003410</v>
          </cell>
          <cell r="O332" t="str">
            <v>SWO002534</v>
          </cell>
          <cell r="P332" t="str">
            <v>SWO001792</v>
          </cell>
          <cell r="Q332" t="str">
            <v>SWO001293</v>
          </cell>
          <cell r="R332" t="str">
            <v>SWO000972</v>
          </cell>
          <cell r="S332">
            <v>22525</v>
          </cell>
          <cell r="T332" t="str">
            <v>0990</v>
          </cell>
          <cell r="U332" t="str">
            <v>EVK</v>
          </cell>
          <cell r="W332" t="str">
            <v>VonKleinsmid Residence - Electric</v>
          </cell>
          <cell r="X332" t="str">
            <v>Y</v>
          </cell>
          <cell r="Y332" t="str">
            <v>17-8200-0310</v>
          </cell>
          <cell r="Z332">
            <v>20215</v>
          </cell>
        </row>
        <row r="333">
          <cell r="A333" t="str">
            <v>EVK: UTILITIES FY15 - GAS</v>
          </cell>
          <cell r="B333" t="str">
            <v>EVK</v>
          </cell>
          <cell r="C333" t="str">
            <v>EVK-GAS</v>
          </cell>
          <cell r="D333" t="str">
            <v>EVK-GAS-14</v>
          </cell>
          <cell r="E333" t="str">
            <v>EVK-GAS-13</v>
          </cell>
          <cell r="F333" t="str">
            <v>EVK-GAS-12</v>
          </cell>
          <cell r="G333" t="str">
            <v>EVK-GAS-11</v>
          </cell>
          <cell r="H333" t="str">
            <v>EVK-GAS-10</v>
          </cell>
          <cell r="I333" t="str">
            <v>EVK-GAS-09</v>
          </cell>
          <cell r="J333" t="str">
            <v>EVK-GAS-08</v>
          </cell>
          <cell r="K333" t="str">
            <v>EVK-GAS-07</v>
          </cell>
          <cell r="L333" t="str">
            <v>SWO008984</v>
          </cell>
          <cell r="M333" t="str">
            <v>SWO006048</v>
          </cell>
          <cell r="N333" t="str">
            <v>SWO003411</v>
          </cell>
          <cell r="O333" t="str">
            <v>SWO002533</v>
          </cell>
          <cell r="P333" t="str">
            <v>SWO001791</v>
          </cell>
          <cell r="Q333" t="str">
            <v>SWO001294</v>
          </cell>
          <cell r="R333" t="str">
            <v>SWO000849</v>
          </cell>
          <cell r="S333">
            <v>22526</v>
          </cell>
          <cell r="W333" t="str">
            <v>VonKleinsmid Residence - Gas</v>
          </cell>
          <cell r="X333" t="str">
            <v>Y</v>
          </cell>
          <cell r="Y333" t="str">
            <v>17-8200-0310</v>
          </cell>
          <cell r="Z333">
            <v>20211</v>
          </cell>
        </row>
        <row r="334">
          <cell r="A334" t="str">
            <v>EVK: UTILITIES FY15 - WATER</v>
          </cell>
          <cell r="B334" t="str">
            <v>EVK</v>
          </cell>
          <cell r="C334" t="str">
            <v>EVK-WTR</v>
          </cell>
          <cell r="D334" t="str">
            <v>EVK-WTR-14</v>
          </cell>
          <cell r="E334" t="str">
            <v>EVK-WTR-13</v>
          </cell>
          <cell r="F334" t="str">
            <v>EVK-WTR-12</v>
          </cell>
          <cell r="G334" t="str">
            <v>EVK-WTR-11</v>
          </cell>
          <cell r="H334" t="str">
            <v>EVK-WTR-10</v>
          </cell>
          <cell r="I334" t="str">
            <v>EVK-WTR-09</v>
          </cell>
          <cell r="J334" t="str">
            <v>EVK-WTR-08</v>
          </cell>
          <cell r="K334" t="str">
            <v>EVK-WTR-07</v>
          </cell>
          <cell r="L334" t="str">
            <v>SWO008983</v>
          </cell>
          <cell r="M334" t="str">
            <v>SWO006047</v>
          </cell>
          <cell r="N334" t="str">
            <v>SWO003412</v>
          </cell>
          <cell r="O334" t="str">
            <v>SWO002532</v>
          </cell>
          <cell r="P334" t="str">
            <v>SWO001790</v>
          </cell>
          <cell r="Q334" t="str">
            <v>SWO001295</v>
          </cell>
          <cell r="R334" t="str">
            <v>SWO000973</v>
          </cell>
          <cell r="S334">
            <v>22527</v>
          </cell>
          <cell r="W334" t="str">
            <v>VonKleinsmid Residence - Water</v>
          </cell>
          <cell r="X334" t="str">
            <v>Y</v>
          </cell>
          <cell r="Y334" t="str">
            <v>17-8200-0310</v>
          </cell>
          <cell r="Z334">
            <v>20212</v>
          </cell>
        </row>
        <row r="335">
          <cell r="A335" t="str">
            <v>EVK: UTILITIES CHILLED WATER FY15</v>
          </cell>
          <cell r="B335" t="str">
            <v>EVK</v>
          </cell>
          <cell r="C335" t="str">
            <v>EVK-UCW</v>
          </cell>
          <cell r="D335" t="str">
            <v>EVK-UCW14</v>
          </cell>
          <cell r="E335" t="str">
            <v>EVK-UCW13</v>
          </cell>
          <cell r="F335" t="str">
            <v>EVK-UCW12</v>
          </cell>
          <cell r="G335" t="str">
            <v>EVK-UCW11</v>
          </cell>
          <cell r="H335" t="str">
            <v>EVK-UCW10</v>
          </cell>
          <cell r="I335" t="str">
            <v>EVK-UCW09</v>
          </cell>
          <cell r="J335" t="str">
            <v>EVK-UCW08</v>
          </cell>
          <cell r="K335" t="str">
            <v>EVK-UCW07</v>
          </cell>
          <cell r="L335" t="str">
            <v>EVK-UCW06</v>
          </cell>
          <cell r="M335" t="str">
            <v>EVK-UCW05</v>
          </cell>
          <cell r="W335" t="str">
            <v xml:space="preserve">EVK: UTILITIES CHILLED WATER </v>
          </cell>
        </row>
        <row r="336">
          <cell r="A336" t="str">
            <v>EVK: UTILITIES DEBT SERVICE FY15</v>
          </cell>
          <cell r="B336" t="str">
            <v>EVK</v>
          </cell>
          <cell r="C336" t="str">
            <v>EVK-UDS</v>
          </cell>
          <cell r="D336" t="str">
            <v>EVK-UDS14</v>
          </cell>
          <cell r="E336" t="str">
            <v>EVK-UDS13</v>
          </cell>
          <cell r="F336" t="str">
            <v>EVK-UDS12</v>
          </cell>
          <cell r="G336" t="str">
            <v>EVK-UDS11</v>
          </cell>
          <cell r="H336" t="str">
            <v>EVK-UDS10</v>
          </cell>
          <cell r="I336" t="str">
            <v>EVK-UDS09</v>
          </cell>
          <cell r="J336" t="str">
            <v>EVK-UDS08</v>
          </cell>
          <cell r="K336" t="str">
            <v>EVK-UDS07</v>
          </cell>
          <cell r="L336" t="str">
            <v>EVK-UDS06</v>
          </cell>
          <cell r="M336" t="str">
            <v>EVK-UDS05</v>
          </cell>
          <cell r="W336" t="str">
            <v xml:space="preserve">EVK: UTILITIES DEBT SERVICE </v>
          </cell>
        </row>
        <row r="337">
          <cell r="A337" t="str">
            <v>EVK: UTILITIES MAINT FY15</v>
          </cell>
          <cell r="B337">
            <v>0</v>
          </cell>
          <cell r="C337" t="str">
            <v>EVK-UMT</v>
          </cell>
          <cell r="D337" t="str">
            <v>EVK-UMT14</v>
          </cell>
          <cell r="E337" t="str">
            <v>EVK-UMT13</v>
          </cell>
          <cell r="F337" t="str">
            <v>EVK-UMT12</v>
          </cell>
          <cell r="G337" t="str">
            <v>EVK-UMT11</v>
          </cell>
          <cell r="H337" t="str">
            <v>EVK-UMT10</v>
          </cell>
          <cell r="I337" t="str">
            <v>EVK-UMT09</v>
          </cell>
          <cell r="J337" t="str">
            <v>EVK-UMT08</v>
          </cell>
          <cell r="K337" t="str">
            <v>EVK-UMT07</v>
          </cell>
          <cell r="L337" t="str">
            <v>EVK-UMT06</v>
          </cell>
          <cell r="M337" t="str">
            <v>EVK-UMT05</v>
          </cell>
          <cell r="W337" t="str">
            <v xml:space="preserve">EVK: UTILITIES MAINT </v>
          </cell>
        </row>
        <row r="338">
          <cell r="A338" t="str">
            <v>HRH: UTILITIES FY15 - ELECTRIC</v>
          </cell>
          <cell r="B338" t="str">
            <v>HRH</v>
          </cell>
          <cell r="C338" t="str">
            <v>HRH-ELC</v>
          </cell>
          <cell r="D338" t="str">
            <v>HRH-ELC-14</v>
          </cell>
          <cell r="E338" t="str">
            <v>HRH-ELC-13</v>
          </cell>
          <cell r="F338" t="str">
            <v>HRH-ELC-12</v>
          </cell>
          <cell r="G338" t="str">
            <v>HRH-ELC-11</v>
          </cell>
          <cell r="H338" t="str">
            <v>HRH-ELC-10</v>
          </cell>
          <cell r="I338" t="str">
            <v>HRH-ELC-09</v>
          </cell>
          <cell r="J338" t="str">
            <v>HRH-ELC-08</v>
          </cell>
          <cell r="K338" t="str">
            <v>HRH-ELC-07</v>
          </cell>
          <cell r="L338" t="str">
            <v>SWO009002</v>
          </cell>
          <cell r="M338" t="str">
            <v>SWO005993</v>
          </cell>
          <cell r="N338" t="str">
            <v>SWO003415</v>
          </cell>
          <cell r="O338" t="str">
            <v>SWO002518</v>
          </cell>
          <cell r="P338" t="str">
            <v>SWO001768</v>
          </cell>
          <cell r="Q338" t="str">
            <v>SWO001296</v>
          </cell>
          <cell r="R338" t="str">
            <v>SWO000974</v>
          </cell>
          <cell r="S338">
            <v>22528</v>
          </cell>
          <cell r="T338" t="str">
            <v>0991</v>
          </cell>
          <cell r="U338" t="str">
            <v>HRH</v>
          </cell>
          <cell r="W338" t="str">
            <v>Harris Residence Hall - Electric</v>
          </cell>
          <cell r="X338" t="str">
            <v>Y</v>
          </cell>
          <cell r="Y338" t="str">
            <v>17-8701-0302</v>
          </cell>
          <cell r="Z338">
            <v>20215</v>
          </cell>
        </row>
        <row r="339">
          <cell r="A339" t="str">
            <v>HRH: UTILITIES FY15 - GAS</v>
          </cell>
          <cell r="B339" t="str">
            <v>HRH</v>
          </cell>
          <cell r="C339" t="str">
            <v>HRH-GAS</v>
          </cell>
          <cell r="D339" t="str">
            <v>HRH-GAS-14</v>
          </cell>
          <cell r="E339" t="str">
            <v>HRH-GAS-13</v>
          </cell>
          <cell r="F339" t="str">
            <v>HRH-GAS-12</v>
          </cell>
          <cell r="G339" t="str">
            <v>HRH-GAS-11</v>
          </cell>
          <cell r="H339" t="str">
            <v>HRH-GAS-10</v>
          </cell>
          <cell r="I339" t="str">
            <v>HRH-GAS-09</v>
          </cell>
          <cell r="J339" t="str">
            <v>HRH-GAS-08</v>
          </cell>
          <cell r="K339" t="str">
            <v>HRH-GAS-07</v>
          </cell>
          <cell r="L339" t="str">
            <v>SWO009001</v>
          </cell>
          <cell r="M339" t="str">
            <v>SWO005992</v>
          </cell>
          <cell r="N339" t="str">
            <v>SWO003416</v>
          </cell>
          <cell r="O339" t="str">
            <v>SWO002499</v>
          </cell>
          <cell r="P339" t="str">
            <v>SWO001750</v>
          </cell>
          <cell r="Q339" t="str">
            <v>SWO001297</v>
          </cell>
          <cell r="R339" t="str">
            <v>SWO000975</v>
          </cell>
          <cell r="S339">
            <v>22529</v>
          </cell>
          <cell r="W339" t="str">
            <v>Harris Residence Hall - Gas</v>
          </cell>
          <cell r="X339" t="str">
            <v>Y</v>
          </cell>
          <cell r="Y339" t="str">
            <v>17-8701-0302</v>
          </cell>
          <cell r="Z339">
            <v>20211</v>
          </cell>
        </row>
        <row r="340">
          <cell r="A340" t="str">
            <v>HRH: UTILITIES FY15 - WATER</v>
          </cell>
          <cell r="B340" t="str">
            <v>HRH</v>
          </cell>
          <cell r="C340" t="str">
            <v>HRH-WTR</v>
          </cell>
          <cell r="D340" t="str">
            <v>HRH-WTR-14</v>
          </cell>
          <cell r="E340" t="str">
            <v>HRH-WTR-13</v>
          </cell>
          <cell r="F340" t="str">
            <v>HRH-WTR-12</v>
          </cell>
          <cell r="G340" t="str">
            <v>HRH-WTR-11</v>
          </cell>
          <cell r="H340" t="str">
            <v>HRH-WTR-10</v>
          </cell>
          <cell r="I340" t="str">
            <v>HRH-WTR-09</v>
          </cell>
          <cell r="J340" t="str">
            <v>HRH-WTR-08</v>
          </cell>
          <cell r="K340" t="str">
            <v>HRH-WTR-07</v>
          </cell>
          <cell r="L340" t="str">
            <v>SWO009000</v>
          </cell>
          <cell r="M340" t="str">
            <v>SWO005991</v>
          </cell>
          <cell r="N340" t="str">
            <v>SWO003417</v>
          </cell>
          <cell r="O340" t="str">
            <v>SWO002507</v>
          </cell>
          <cell r="P340" t="str">
            <v>SWO001758</v>
          </cell>
          <cell r="Q340" t="str">
            <v>SWO001298</v>
          </cell>
          <cell r="R340" t="str">
            <v>SWO000850</v>
          </cell>
          <cell r="S340">
            <v>22530</v>
          </cell>
          <cell r="W340" t="str">
            <v>Harris Residence Hall - Water</v>
          </cell>
          <cell r="X340" t="str">
            <v>Y</v>
          </cell>
          <cell r="Y340" t="str">
            <v>17-8701-0302</v>
          </cell>
          <cell r="Z340">
            <v>20212</v>
          </cell>
        </row>
        <row r="341">
          <cell r="A341" t="str">
            <v>HRH: UTILITIES CHILLED WATER FY15</v>
          </cell>
          <cell r="B341" t="str">
            <v>HRH</v>
          </cell>
          <cell r="C341" t="str">
            <v>HRH-UCW</v>
          </cell>
          <cell r="D341" t="str">
            <v>HRH-UCW14</v>
          </cell>
          <cell r="E341" t="str">
            <v>HRH-UCW13</v>
          </cell>
          <cell r="F341" t="str">
            <v>HRH-UCW12</v>
          </cell>
          <cell r="G341" t="str">
            <v>HRH-UCW11</v>
          </cell>
          <cell r="H341" t="str">
            <v>HRH-UCW10</v>
          </cell>
          <cell r="I341" t="str">
            <v>HRH-UCW09</v>
          </cell>
          <cell r="J341" t="str">
            <v>HRH-UCW08</v>
          </cell>
          <cell r="K341" t="str">
            <v>HRH-UCW07</v>
          </cell>
          <cell r="L341" t="str">
            <v>HRH-UCW06</v>
          </cell>
          <cell r="M341" t="str">
            <v>HRH-UCW05</v>
          </cell>
          <cell r="W341" t="str">
            <v xml:space="preserve">HRH: UTILITIES CHILLED WATER </v>
          </cell>
        </row>
        <row r="342">
          <cell r="A342" t="str">
            <v>HRH: UTILITIES DEBT SERVICE FY15</v>
          </cell>
          <cell r="B342" t="str">
            <v>HRH</v>
          </cell>
          <cell r="C342" t="str">
            <v>HRH-UDS</v>
          </cell>
          <cell r="D342" t="str">
            <v>HRH-UDS14</v>
          </cell>
          <cell r="E342" t="str">
            <v>HRH-UDS13</v>
          </cell>
          <cell r="F342" t="str">
            <v>HRH-UDS12</v>
          </cell>
          <cell r="G342" t="str">
            <v>HRH-UDS11</v>
          </cell>
          <cell r="H342" t="str">
            <v>HRH-UDS10</v>
          </cell>
          <cell r="I342" t="str">
            <v>HRH-UDS09</v>
          </cell>
          <cell r="J342" t="str">
            <v>HRH-UDS08</v>
          </cell>
          <cell r="K342" t="str">
            <v>HRH-UDS07</v>
          </cell>
          <cell r="L342" t="str">
            <v>HRH-UDS06</v>
          </cell>
          <cell r="M342" t="str">
            <v>HRH-UDS05</v>
          </cell>
          <cell r="W342" t="str">
            <v xml:space="preserve">HRH: UTILITIES DEBT SERVICE </v>
          </cell>
        </row>
        <row r="343">
          <cell r="A343" t="str">
            <v>HRH: UTILITIES MAINT FY15</v>
          </cell>
          <cell r="B343">
            <v>0</v>
          </cell>
          <cell r="C343" t="str">
            <v>HRH-UMT</v>
          </cell>
          <cell r="D343" t="str">
            <v>HRH-UMT14</v>
          </cell>
          <cell r="E343" t="str">
            <v>HRH-UMT13</v>
          </cell>
          <cell r="F343" t="str">
            <v>HRH-UMT12</v>
          </cell>
          <cell r="G343" t="str">
            <v>HRH-UMT11</v>
          </cell>
          <cell r="H343" t="str">
            <v>HRH-UMT10</v>
          </cell>
          <cell r="I343" t="str">
            <v>HRH-UMT09</v>
          </cell>
          <cell r="J343" t="str">
            <v>HRH-UMT08</v>
          </cell>
          <cell r="K343" t="str">
            <v>HRH-UMT07</v>
          </cell>
          <cell r="L343" t="str">
            <v>HRH-UMT06</v>
          </cell>
          <cell r="M343" t="str">
            <v>HRH-UMT05</v>
          </cell>
          <cell r="W343" t="str">
            <v xml:space="preserve">HRH: UTILITIES MAINT </v>
          </cell>
        </row>
        <row r="344">
          <cell r="A344" t="str">
            <v>COL: UTILITIES FY15 - ELECTRIC</v>
          </cell>
          <cell r="B344" t="str">
            <v>COL</v>
          </cell>
          <cell r="C344" t="str">
            <v>COL-ELC</v>
          </cell>
          <cell r="D344" t="str">
            <v>COL-ELC-14</v>
          </cell>
          <cell r="E344" t="str">
            <v>COL-ELC-13</v>
          </cell>
          <cell r="F344" t="str">
            <v>COL-ELC-12</v>
          </cell>
          <cell r="G344" t="str">
            <v>COL-ELC-11</v>
          </cell>
          <cell r="H344" t="str">
            <v>COL-ELC-10</v>
          </cell>
          <cell r="I344" t="str">
            <v>COL-ELC-09</v>
          </cell>
          <cell r="J344" t="str">
            <v>COL-ELC-08</v>
          </cell>
          <cell r="K344" t="str">
            <v>COL-ELC-07</v>
          </cell>
          <cell r="L344" t="str">
            <v>SWO008993</v>
          </cell>
          <cell r="M344" t="str">
            <v>SWO006035</v>
          </cell>
          <cell r="N344" t="str">
            <v>SWO003395</v>
          </cell>
          <cell r="O344" t="str">
            <v>SWO002516</v>
          </cell>
          <cell r="P344" t="str">
            <v>SWO001767</v>
          </cell>
          <cell r="Q344" t="str">
            <v>SWO001299</v>
          </cell>
          <cell r="R344" t="str">
            <v>SWO000976</v>
          </cell>
          <cell r="S344">
            <v>22531</v>
          </cell>
          <cell r="T344" t="str">
            <v>1000</v>
          </cell>
          <cell r="U344" t="str">
            <v>COL</v>
          </cell>
          <cell r="W344" t="str">
            <v>College Hall - Electric</v>
          </cell>
          <cell r="X344" t="str">
            <v>Y</v>
          </cell>
          <cell r="Y344" t="str">
            <v>17-8701-0301</v>
          </cell>
          <cell r="Z344">
            <v>20215</v>
          </cell>
        </row>
        <row r="345">
          <cell r="A345" t="str">
            <v>COL: UTILITIES FY15 - GAS</v>
          </cell>
          <cell r="B345" t="str">
            <v>COL</v>
          </cell>
          <cell r="C345" t="str">
            <v>COL-GAS</v>
          </cell>
          <cell r="D345" t="str">
            <v>COL-GAS-14</v>
          </cell>
          <cell r="E345" t="str">
            <v>COL-GAS-13</v>
          </cell>
          <cell r="F345" t="str">
            <v>COL-GAS-12</v>
          </cell>
          <cell r="G345" t="str">
            <v>COL-GAS-11</v>
          </cell>
          <cell r="H345" t="str">
            <v>COL-GAS-10</v>
          </cell>
          <cell r="I345" t="str">
            <v>COL-GAS-09</v>
          </cell>
          <cell r="J345" t="str">
            <v>COL-GAS-08</v>
          </cell>
          <cell r="K345" t="str">
            <v>COL-GAS-07</v>
          </cell>
          <cell r="L345" t="str">
            <v>SWO008992</v>
          </cell>
          <cell r="M345" t="str">
            <v>SWO006034</v>
          </cell>
          <cell r="N345" t="str">
            <v>SWO003396</v>
          </cell>
          <cell r="O345" t="str">
            <v>SWO002498</v>
          </cell>
          <cell r="P345" t="str">
            <v>SWO001749</v>
          </cell>
          <cell r="Q345" t="str">
            <v>SWO001300</v>
          </cell>
          <cell r="R345" t="str">
            <v>SWO000977</v>
          </cell>
          <cell r="S345">
            <v>22532</v>
          </cell>
          <cell r="W345" t="str">
            <v>College Hall - Gas</v>
          </cell>
          <cell r="X345" t="str">
            <v>Y</v>
          </cell>
          <cell r="Y345" t="str">
            <v>17-8701-0301</v>
          </cell>
          <cell r="Z345">
            <v>20211</v>
          </cell>
        </row>
        <row r="346">
          <cell r="A346" t="str">
            <v>COL: UTILITIES FY15 - WATER</v>
          </cell>
          <cell r="B346" t="str">
            <v>COL</v>
          </cell>
          <cell r="C346" t="str">
            <v>COL-WTR</v>
          </cell>
          <cell r="D346" t="str">
            <v>COL-WTR-14</v>
          </cell>
          <cell r="E346" t="str">
            <v>COL-WTR-13</v>
          </cell>
          <cell r="F346" t="str">
            <v>COL-WTR-12</v>
          </cell>
          <cell r="G346" t="str">
            <v>COL-WTR-11</v>
          </cell>
          <cell r="H346" t="str">
            <v>COL-WTR-10</v>
          </cell>
          <cell r="I346" t="str">
            <v>COL-WTR-09</v>
          </cell>
          <cell r="J346" t="str">
            <v>COL-WTR-08</v>
          </cell>
          <cell r="K346" t="str">
            <v>COL-WTR-07</v>
          </cell>
          <cell r="L346" t="str">
            <v>SWO008991</v>
          </cell>
          <cell r="M346" t="str">
            <v>SWO006033</v>
          </cell>
          <cell r="N346" t="str">
            <v>SWO003397</v>
          </cell>
          <cell r="O346" t="str">
            <v>SWO002506</v>
          </cell>
          <cell r="P346" t="str">
            <v>SWO001757</v>
          </cell>
          <cell r="Q346" t="str">
            <v>SWO001301</v>
          </cell>
          <cell r="R346" t="str">
            <v>SWO000978</v>
          </cell>
          <cell r="S346">
            <v>22533</v>
          </cell>
          <cell r="W346" t="str">
            <v>College Hall - Water</v>
          </cell>
          <cell r="X346" t="str">
            <v>Y</v>
          </cell>
          <cell r="Y346" t="str">
            <v>17-8701-0301</v>
          </cell>
          <cell r="Z346">
            <v>20212</v>
          </cell>
        </row>
        <row r="347">
          <cell r="A347" t="str">
            <v>COL: UTILITIES CHILLED WATER FY15</v>
          </cell>
          <cell r="B347" t="str">
            <v>COL</v>
          </cell>
          <cell r="C347" t="str">
            <v>COL-UCW</v>
          </cell>
          <cell r="D347" t="str">
            <v>COL-UCW14</v>
          </cell>
          <cell r="E347" t="str">
            <v>COL-UCW13</v>
          </cell>
          <cell r="F347" t="str">
            <v>COL-UCW12</v>
          </cell>
          <cell r="G347" t="str">
            <v>COL-UCW11</v>
          </cell>
          <cell r="H347" t="str">
            <v>COL-UCW10</v>
          </cell>
          <cell r="I347" t="str">
            <v>COL-UCW09</v>
          </cell>
          <cell r="J347" t="str">
            <v>COL-UCW08</v>
          </cell>
          <cell r="K347" t="str">
            <v>COL-UCW07</v>
          </cell>
          <cell r="L347" t="str">
            <v>COL-UCW06</v>
          </cell>
          <cell r="M347" t="str">
            <v>COL-UCW05</v>
          </cell>
          <cell r="W347" t="str">
            <v xml:space="preserve">COL: UTILITIES CHILLED WATER </v>
          </cell>
        </row>
        <row r="348">
          <cell r="A348" t="str">
            <v>COL: UTILITIES DEBT SERVICE FY15</v>
          </cell>
          <cell r="B348" t="str">
            <v>COL</v>
          </cell>
          <cell r="C348" t="str">
            <v>COL-UDS</v>
          </cell>
          <cell r="D348" t="str">
            <v>COL-UDS14</v>
          </cell>
          <cell r="E348" t="str">
            <v>COL-UDS13</v>
          </cell>
          <cell r="F348" t="str">
            <v>COL-UDS12</v>
          </cell>
          <cell r="G348" t="str">
            <v>COL-UDS11</v>
          </cell>
          <cell r="H348" t="str">
            <v>COL-UDS10</v>
          </cell>
          <cell r="I348" t="str">
            <v>COL-UDS09</v>
          </cell>
          <cell r="J348" t="str">
            <v>COL-UDS08</v>
          </cell>
          <cell r="K348" t="str">
            <v>COL-UDS07</v>
          </cell>
          <cell r="L348" t="str">
            <v>COL-UDS06</v>
          </cell>
          <cell r="M348" t="str">
            <v>COL-UDS05</v>
          </cell>
          <cell r="W348" t="str">
            <v xml:space="preserve">COL: UTILITIES DEBT SERVICE </v>
          </cell>
        </row>
        <row r="349">
          <cell r="A349" t="str">
            <v>COL: UTILITIES MAINT FY15</v>
          </cell>
          <cell r="B349">
            <v>0</v>
          </cell>
          <cell r="C349" t="str">
            <v>COL-UMT</v>
          </cell>
          <cell r="D349" t="str">
            <v>COL-UMT14</v>
          </cell>
          <cell r="E349" t="str">
            <v>COL-UMT13</v>
          </cell>
          <cell r="F349" t="str">
            <v>COL-UMT12</v>
          </cell>
          <cell r="G349" t="str">
            <v>COL-UMT11</v>
          </cell>
          <cell r="H349" t="str">
            <v>COL-UMT10</v>
          </cell>
          <cell r="I349" t="str">
            <v>COL-UMT09</v>
          </cell>
          <cell r="J349" t="str">
            <v>COL-UMT08</v>
          </cell>
          <cell r="K349" t="str">
            <v>COL-UMT07</v>
          </cell>
          <cell r="L349" t="str">
            <v>COL-UMT06</v>
          </cell>
          <cell r="M349" t="str">
            <v>COL-UMT05</v>
          </cell>
          <cell r="W349" t="str">
            <v xml:space="preserve">COL: UTILITIES MAINT </v>
          </cell>
        </row>
        <row r="350">
          <cell r="A350" t="str">
            <v>URH: UTILITIES FY15 - GAS</v>
          </cell>
          <cell r="B350" t="str">
            <v>URH</v>
          </cell>
          <cell r="C350" t="str">
            <v>URH-GAS</v>
          </cell>
          <cell r="D350" t="str">
            <v>URH-GAS-14</v>
          </cell>
          <cell r="E350" t="str">
            <v>URH-GAS-13</v>
          </cell>
          <cell r="T350">
            <v>1001</v>
          </cell>
          <cell r="U350" t="str">
            <v>URH</v>
          </cell>
          <cell r="W350" t="str">
            <v>URH: UTILITIES FY15 - GAS</v>
          </cell>
        </row>
        <row r="351">
          <cell r="B351" t="str">
            <v>URH</v>
          </cell>
          <cell r="W351" t="str">
            <v xml:space="preserve">URH: UTILITIES DEBT SERVICE </v>
          </cell>
        </row>
        <row r="352">
          <cell r="A352" t="str">
            <v>CWO: UTILITIES FY15 - GAS/WATER/ELECTRIC</v>
          </cell>
          <cell r="B352" t="str">
            <v>CWO</v>
          </cell>
          <cell r="C352" t="str">
            <v>CWO-EGW</v>
          </cell>
          <cell r="D352" t="str">
            <v>CWO-EGW-14</v>
          </cell>
          <cell r="E352" t="str">
            <v>CWO-EGW-13</v>
          </cell>
          <cell r="F352" t="str">
            <v>CWO-EGW-12</v>
          </cell>
          <cell r="G352" t="str">
            <v>CWO-EGW-11</v>
          </cell>
          <cell r="H352" t="str">
            <v>CWO-EGW-10</v>
          </cell>
          <cell r="I352" t="str">
            <v>CWO-EGW-09</v>
          </cell>
          <cell r="J352" t="str">
            <v>CWO-EGW-08</v>
          </cell>
          <cell r="K352" t="str">
            <v>CWO-EGW-07</v>
          </cell>
          <cell r="L352" t="str">
            <v>CWO-EGW-06</v>
          </cell>
          <cell r="M352" t="str">
            <v>CWO-EGW-05</v>
          </cell>
          <cell r="N352" t="str">
            <v>SWO003125</v>
          </cell>
          <cell r="O352" t="str">
            <v>SWO000979</v>
          </cell>
          <cell r="P352" t="str">
            <v>SWO000979</v>
          </cell>
          <cell r="Q352" t="str">
            <v>SWO000979</v>
          </cell>
          <cell r="R352" t="str">
            <v>SWO000979</v>
          </cell>
          <cell r="S352">
            <v>22534</v>
          </cell>
          <cell r="T352" t="str">
            <v>1020</v>
          </cell>
          <cell r="U352" t="str">
            <v>CWO</v>
          </cell>
          <cell r="W352" t="str">
            <v xml:space="preserve">CWO: UTILITIES G/W/E </v>
          </cell>
          <cell r="X352" t="str">
            <v>N</v>
          </cell>
          <cell r="Y352" t="str">
            <v>DEMOLISHED AUG 2014</v>
          </cell>
        </row>
        <row r="353">
          <cell r="A353" t="str">
            <v>CWO: UTILITIES CHILLED WATER FY15</v>
          </cell>
          <cell r="B353" t="str">
            <v>CWO</v>
          </cell>
          <cell r="C353" t="str">
            <v>CWO-UCW</v>
          </cell>
          <cell r="D353" t="str">
            <v>CWO-UCW14</v>
          </cell>
          <cell r="E353" t="str">
            <v>CWO-UCW13</v>
          </cell>
          <cell r="F353" t="str">
            <v>CWO-UCW12</v>
          </cell>
          <cell r="G353" t="str">
            <v>CWO-UCW11</v>
          </cell>
          <cell r="H353" t="str">
            <v>CWO-UCW10</v>
          </cell>
          <cell r="I353" t="str">
            <v>CWO-UCW09</v>
          </cell>
          <cell r="J353" t="str">
            <v>CWO-UCW08</v>
          </cell>
          <cell r="K353" t="str">
            <v>CWO-UCW07</v>
          </cell>
          <cell r="L353" t="str">
            <v>CWO-UCW06</v>
          </cell>
          <cell r="M353" t="str">
            <v>CWO-UCW05</v>
          </cell>
          <cell r="W353" t="str">
            <v xml:space="preserve">CWO: UTILITIES CHILLED WATER </v>
          </cell>
        </row>
        <row r="354">
          <cell r="A354" t="str">
            <v>CWO: UTILITIES DEBT SERVICE FY15</v>
          </cell>
          <cell r="B354" t="str">
            <v>CWO</v>
          </cell>
          <cell r="C354" t="str">
            <v>CWO-UDS</v>
          </cell>
          <cell r="D354" t="str">
            <v>CWO-UDS14</v>
          </cell>
          <cell r="E354" t="str">
            <v>CWO-UDS13</v>
          </cell>
          <cell r="F354" t="str">
            <v>CWO-UDS12</v>
          </cell>
          <cell r="G354" t="str">
            <v>CWO-UDS11</v>
          </cell>
          <cell r="H354" t="str">
            <v>CWO-UDS10</v>
          </cell>
          <cell r="I354" t="str">
            <v>CWO-UDS09</v>
          </cell>
          <cell r="J354" t="str">
            <v>CWO-UDS08</v>
          </cell>
          <cell r="K354" t="str">
            <v>CWO-UDS07</v>
          </cell>
          <cell r="L354" t="str">
            <v>CWO-UDS06</v>
          </cell>
          <cell r="M354" t="str">
            <v>CWO-UDS05</v>
          </cell>
          <cell r="W354" t="str">
            <v xml:space="preserve">CWO: UTILITIES DEBT SERVICE </v>
          </cell>
        </row>
        <row r="355">
          <cell r="A355" t="str">
            <v>CWO: UTILITIES MAINT FY15</v>
          </cell>
          <cell r="B355">
            <v>0</v>
          </cell>
          <cell r="C355" t="str">
            <v>CWO-UMT</v>
          </cell>
          <cell r="D355" t="str">
            <v>CWO-UMT14</v>
          </cell>
          <cell r="E355" t="str">
            <v>CWO-UMT13</v>
          </cell>
          <cell r="F355" t="str">
            <v>CWO-UMT12</v>
          </cell>
          <cell r="G355" t="str">
            <v>CWO-UMT11</v>
          </cell>
          <cell r="H355" t="str">
            <v>CWO-UMT10</v>
          </cell>
          <cell r="I355" t="str">
            <v>CWO-UMT09</v>
          </cell>
          <cell r="J355" t="str">
            <v>CWO-UMT08</v>
          </cell>
          <cell r="K355" t="str">
            <v>CWO-UMT07</v>
          </cell>
          <cell r="L355" t="str">
            <v>CWO-UMT06</v>
          </cell>
          <cell r="M355" t="str">
            <v>CWO-UMT05</v>
          </cell>
          <cell r="W355" t="str">
            <v xml:space="preserve">CWO: UTILITIES MAINT </v>
          </cell>
        </row>
        <row r="356">
          <cell r="B356" t="str">
            <v>PUS</v>
          </cell>
          <cell r="H356" t="e">
            <v>#N/A</v>
          </cell>
          <cell r="I356" t="str">
            <v>PUS-EGW-09</v>
          </cell>
          <cell r="J356" t="str">
            <v>PUS-EGW-08</v>
          </cell>
          <cell r="K356" t="str">
            <v>PUS-EGW-07</v>
          </cell>
          <cell r="L356" t="str">
            <v>PUS-EGW-06</v>
          </cell>
          <cell r="M356" t="str">
            <v>PUS-EGW-05</v>
          </cell>
          <cell r="N356" t="str">
            <v>SWO003232</v>
          </cell>
          <cell r="O356" t="str">
            <v>SWO000851</v>
          </cell>
          <cell r="P356" t="str">
            <v>SWO000851</v>
          </cell>
          <cell r="Q356" t="str">
            <v>SWO000851</v>
          </cell>
          <cell r="R356" t="str">
            <v>SWO000851</v>
          </cell>
          <cell r="S356">
            <v>22535</v>
          </cell>
          <cell r="T356" t="str">
            <v>1040</v>
          </cell>
          <cell r="U356" t="str">
            <v>PUS</v>
          </cell>
          <cell r="W356" t="str">
            <v xml:space="preserve">PUS: UTILITIES G/W/E </v>
          </cell>
          <cell r="X356" t="str">
            <v>N</v>
          </cell>
          <cell r="Y356" t="str">
            <v>DEMOLISHED JUNE 2009</v>
          </cell>
        </row>
        <row r="357">
          <cell r="A357" t="str">
            <v>HSH: UTILITIES FY15 - GAS/WATER/ELECTRIC</v>
          </cell>
          <cell r="B357" t="str">
            <v>HSH</v>
          </cell>
          <cell r="C357" t="str">
            <v>HSH-EGW</v>
          </cell>
          <cell r="D357" t="str">
            <v>HSH-EGW-14</v>
          </cell>
          <cell r="E357" t="str">
            <v>HSH-EGW-13</v>
          </cell>
          <cell r="F357" t="str">
            <v>HSH-EGW-12</v>
          </cell>
          <cell r="G357" t="str">
            <v>HSH-EGW-11</v>
          </cell>
          <cell r="H357" t="str">
            <v>HSH-EGW-10</v>
          </cell>
          <cell r="I357" t="str">
            <v>HSH-EGW-09</v>
          </cell>
          <cell r="J357" t="str">
            <v>HSH-EGW-08</v>
          </cell>
          <cell r="K357" t="str">
            <v>HSH-EGW-07</v>
          </cell>
          <cell r="L357" t="str">
            <v>HSH-EGW-06</v>
          </cell>
          <cell r="M357" t="str">
            <v>HSH-EGW-05</v>
          </cell>
          <cell r="N357" t="str">
            <v>SWO003167</v>
          </cell>
          <cell r="O357" t="str">
            <v>SWO000980</v>
          </cell>
          <cell r="P357" t="str">
            <v>SWO000980</v>
          </cell>
          <cell r="Q357" t="str">
            <v>SWO000980</v>
          </cell>
          <cell r="R357" t="str">
            <v>SWO000980</v>
          </cell>
          <cell r="S357">
            <v>22536</v>
          </cell>
          <cell r="T357" t="str">
            <v>1050</v>
          </cell>
          <cell r="U357" t="str">
            <v>HSH</v>
          </cell>
          <cell r="W357" t="str">
            <v xml:space="preserve">HSH: UTILITIES G/W/E </v>
          </cell>
          <cell r="X357" t="str">
            <v>N</v>
          </cell>
        </row>
        <row r="358">
          <cell r="A358" t="str">
            <v>HSH: UTILITIES CHILLED WATER FY15</v>
          </cell>
          <cell r="B358" t="str">
            <v>HSH</v>
          </cell>
          <cell r="C358" t="str">
            <v>HSH-UCW</v>
          </cell>
          <cell r="D358" t="str">
            <v>HSH-UCW14</v>
          </cell>
          <cell r="E358" t="str">
            <v>HSH-UCW13</v>
          </cell>
          <cell r="F358" t="str">
            <v>HSH-UCW12</v>
          </cell>
          <cell r="G358" t="str">
            <v>HSH-UCW11</v>
          </cell>
          <cell r="H358" t="str">
            <v>HSH-UCW10</v>
          </cell>
          <cell r="I358" t="str">
            <v>HSH-UCW09</v>
          </cell>
          <cell r="J358" t="str">
            <v>HSH-UCW08</v>
          </cell>
          <cell r="K358" t="str">
            <v>HSH-UCW07</v>
          </cell>
          <cell r="L358" t="str">
            <v>HSH-UCW06</v>
          </cell>
          <cell r="M358" t="str">
            <v>HSH-UCW05</v>
          </cell>
          <cell r="W358" t="str">
            <v xml:space="preserve">HSH: UTILITIES CHILLED WATER </v>
          </cell>
        </row>
        <row r="359">
          <cell r="A359" t="str">
            <v>HSH: UTILITIES DEBT SERVICE FY15</v>
          </cell>
          <cell r="B359" t="str">
            <v>HSH</v>
          </cell>
          <cell r="C359" t="str">
            <v>HSH-UDS</v>
          </cell>
          <cell r="D359" t="str">
            <v>HSH-UDS14</v>
          </cell>
          <cell r="E359" t="str">
            <v>HSH-UDS13</v>
          </cell>
          <cell r="F359" t="str">
            <v>HSH-UDS12</v>
          </cell>
          <cell r="G359" t="str">
            <v>HSH-UDS11</v>
          </cell>
          <cell r="H359" t="str">
            <v>HSH-UDS10</v>
          </cell>
          <cell r="I359" t="str">
            <v>HSH-UDS09</v>
          </cell>
          <cell r="J359" t="str">
            <v>HSH-UDS08</v>
          </cell>
          <cell r="K359" t="str">
            <v>HSH-UDS07</v>
          </cell>
          <cell r="L359" t="str">
            <v>HSH-UDS06</v>
          </cell>
          <cell r="M359" t="str">
            <v>HSH-UDS05</v>
          </cell>
          <cell r="W359" t="str">
            <v xml:space="preserve">HSH: UTILITIES DEBT SERVICE </v>
          </cell>
        </row>
        <row r="360">
          <cell r="A360" t="str">
            <v>HSH: UTILITIES MAINT FY15</v>
          </cell>
          <cell r="B360">
            <v>0</v>
          </cell>
          <cell r="C360" t="str">
            <v>HSH-UMT</v>
          </cell>
          <cell r="D360" t="str">
            <v>HSH-UMT14</v>
          </cell>
          <cell r="E360" t="str">
            <v>HSH-UMT13</v>
          </cell>
          <cell r="F360" t="str">
            <v>HSH-UMT12</v>
          </cell>
          <cell r="G360" t="str">
            <v>HSH-UMT11</v>
          </cell>
          <cell r="H360" t="str">
            <v>HSH-UMT10</v>
          </cell>
          <cell r="I360" t="str">
            <v>HSH-UMT09</v>
          </cell>
          <cell r="J360" t="str">
            <v>HSH-UMT08</v>
          </cell>
          <cell r="K360" t="str">
            <v>HSH-UMT07</v>
          </cell>
          <cell r="L360" t="str">
            <v>HSH-UMT06</v>
          </cell>
          <cell r="M360" t="str">
            <v>HSH-UMT05</v>
          </cell>
          <cell r="W360" t="str">
            <v xml:space="preserve">HSH: UTILITIES MAINT </v>
          </cell>
        </row>
        <row r="361">
          <cell r="A361" t="str">
            <v>SGM: UTILITIES FY15 - GAS/WATER/ELECTRIC</v>
          </cell>
          <cell r="B361" t="str">
            <v>SGM</v>
          </cell>
          <cell r="C361" t="str">
            <v>SGM-EGW</v>
          </cell>
          <cell r="D361" t="str">
            <v>SGM-EGW-14</v>
          </cell>
          <cell r="E361" t="str">
            <v>SGM-EGW-13</v>
          </cell>
          <cell r="F361" t="str">
            <v>SGM-EGW-12</v>
          </cell>
          <cell r="G361" t="str">
            <v>SGM-EGW-11</v>
          </cell>
          <cell r="H361" t="str">
            <v>SGM-EGW-10</v>
          </cell>
          <cell r="I361" t="str">
            <v>SGM-EGW-09</v>
          </cell>
          <cell r="J361" t="str">
            <v>SGM-EGW-08</v>
          </cell>
          <cell r="K361" t="str">
            <v>SGM-EGW-07</v>
          </cell>
          <cell r="L361" t="str">
            <v>SGM-EGW-06</v>
          </cell>
          <cell r="M361" t="str">
            <v>SGM-EGW-05</v>
          </cell>
          <cell r="N361" t="str">
            <v>SWO003246</v>
          </cell>
          <cell r="O361" t="str">
            <v>SWO000981</v>
          </cell>
          <cell r="P361" t="str">
            <v>SWO000981</v>
          </cell>
          <cell r="Q361" t="str">
            <v>SWO000981</v>
          </cell>
          <cell r="R361" t="str">
            <v>SWO000981</v>
          </cell>
          <cell r="S361">
            <v>22537</v>
          </cell>
          <cell r="T361" t="str">
            <v>1060</v>
          </cell>
          <cell r="U361" t="str">
            <v>SGM</v>
          </cell>
          <cell r="W361" t="str">
            <v xml:space="preserve">SGM: UTILITIES G/W/E </v>
          </cell>
          <cell r="X361" t="str">
            <v>N</v>
          </cell>
        </row>
        <row r="362">
          <cell r="A362" t="str">
            <v>SGM: UTILITIES CHILLED WATER FY15</v>
          </cell>
          <cell r="B362" t="str">
            <v>SGM</v>
          </cell>
          <cell r="C362" t="str">
            <v>SGM-UCW</v>
          </cell>
          <cell r="D362" t="str">
            <v>SGM-UCW14</v>
          </cell>
          <cell r="E362" t="str">
            <v>SGM-UCW13</v>
          </cell>
          <cell r="F362" t="str">
            <v>SGM-UCW12</v>
          </cell>
          <cell r="G362" t="str">
            <v>SGM-UCW11</v>
          </cell>
          <cell r="H362" t="str">
            <v>SGM-UCW10</v>
          </cell>
          <cell r="I362" t="str">
            <v>SGM-UCW09</v>
          </cell>
          <cell r="J362" t="str">
            <v>SGM-UCW08</v>
          </cell>
          <cell r="K362" t="str">
            <v>SGM-UCW07</v>
          </cell>
          <cell r="L362" t="str">
            <v>SGM-UCW06</v>
          </cell>
          <cell r="M362" t="str">
            <v>SGM-UCW05</v>
          </cell>
          <cell r="W362" t="str">
            <v xml:space="preserve">SGM: UTILITIES CHILLED WATER </v>
          </cell>
        </row>
        <row r="363">
          <cell r="A363" t="str">
            <v>SGM: UTILITIES DEBT SERVICE FY15</v>
          </cell>
          <cell r="B363" t="str">
            <v>SGM</v>
          </cell>
          <cell r="C363" t="str">
            <v>SGM-UDS</v>
          </cell>
          <cell r="D363" t="str">
            <v>SGM-UDS14</v>
          </cell>
          <cell r="E363" t="str">
            <v>SGM-UDS13</v>
          </cell>
          <cell r="F363" t="str">
            <v>SGM-UDS12</v>
          </cell>
          <cell r="G363" t="str">
            <v>SGM-UDS11</v>
          </cell>
          <cell r="H363" t="str">
            <v>SGM-UDS10</v>
          </cell>
          <cell r="I363" t="str">
            <v>SGM-UDS09</v>
          </cell>
          <cell r="J363" t="str">
            <v>SGM-UDS08</v>
          </cell>
          <cell r="K363" t="str">
            <v>SGM-UDS07</v>
          </cell>
          <cell r="L363" t="str">
            <v>SGM-UDS06</v>
          </cell>
          <cell r="M363" t="str">
            <v>SGM-UDS05</v>
          </cell>
          <cell r="W363" t="str">
            <v xml:space="preserve">SGM: UTILITIES DEBT SERVICE </v>
          </cell>
        </row>
        <row r="364">
          <cell r="A364" t="str">
            <v>SGM: UTILITIES MAINT FY15</v>
          </cell>
          <cell r="B364">
            <v>0</v>
          </cell>
          <cell r="C364" t="str">
            <v>SGM-UMT</v>
          </cell>
          <cell r="D364" t="str">
            <v>SGM-UMT14</v>
          </cell>
          <cell r="E364" t="str">
            <v>SGM-UMT13</v>
          </cell>
          <cell r="F364" t="str">
            <v>SGM-UMT12</v>
          </cell>
          <cell r="G364" t="str">
            <v>SGM-UMT11</v>
          </cell>
          <cell r="H364" t="str">
            <v>SGM-UMT10</v>
          </cell>
          <cell r="I364" t="str">
            <v>SGM-UMT09</v>
          </cell>
          <cell r="J364" t="str">
            <v>SGM-UMT08</v>
          </cell>
          <cell r="K364" t="str">
            <v>SGM-UMT07</v>
          </cell>
          <cell r="L364" t="str">
            <v>SGM-UMT06</v>
          </cell>
          <cell r="M364" t="str">
            <v>SGM-UMT05</v>
          </cell>
          <cell r="W364" t="str">
            <v xml:space="preserve">SGM: UTILITIES MAINT </v>
          </cell>
        </row>
        <row r="365">
          <cell r="A365" t="str">
            <v>SGM: CHILLER/CONTRACT PM FY15 - EQUIPMENT, D3030</v>
          </cell>
          <cell r="B365">
            <v>0</v>
          </cell>
          <cell r="D365" t="str">
            <v>SGM-CMC-14</v>
          </cell>
          <cell r="E365" t="str">
            <v>SGM-CMC-13</v>
          </cell>
          <cell r="W365" t="str">
            <v>SGM: CHILLER/CONTRACT PM FY13 - EQUIPMENT, D3030</v>
          </cell>
        </row>
        <row r="366">
          <cell r="A366" t="str">
            <v>SGM: FUMEHOOD PM FY15 - EQUIPMENT, D3040</v>
          </cell>
          <cell r="B366">
            <v>0</v>
          </cell>
          <cell r="D366" t="str">
            <v>SGM-FMC-14</v>
          </cell>
          <cell r="E366" t="str">
            <v>SGM-FMC-13</v>
          </cell>
          <cell r="W366" t="str">
            <v>SGM: FUMEHOOD PM FY13 - EQUIPMENT, D3040</v>
          </cell>
        </row>
        <row r="367">
          <cell r="A367" t="str">
            <v>MMR: UTILITIES FY15 - GAS/WATER/ELECTRIC</v>
          </cell>
          <cell r="B367" t="str">
            <v>MMR</v>
          </cell>
          <cell r="C367" t="str">
            <v>MMR-EGW</v>
          </cell>
          <cell r="D367" t="str">
            <v>MMR-EGW-14</v>
          </cell>
          <cell r="E367" t="str">
            <v>MMR-EGW-13</v>
          </cell>
          <cell r="F367" t="str">
            <v>MMR-EGW-12</v>
          </cell>
          <cell r="G367" t="str">
            <v>MMR-EGW-11</v>
          </cell>
          <cell r="H367" t="str">
            <v>MMR-EGW-10</v>
          </cell>
          <cell r="I367" t="str">
            <v>MMR-EGW-09</v>
          </cell>
          <cell r="J367" t="str">
            <v>MMR-EGW-08</v>
          </cell>
          <cell r="K367" t="str">
            <v>MMR-EGW-07</v>
          </cell>
          <cell r="L367" t="str">
            <v>MMR-EGW-06</v>
          </cell>
          <cell r="M367" t="str">
            <v>MMR-EGW-05</v>
          </cell>
          <cell r="N367" t="str">
            <v>SWO003199</v>
          </cell>
          <cell r="O367" t="str">
            <v>SWO000982</v>
          </cell>
          <cell r="P367" t="str">
            <v>SWO000982</v>
          </cell>
          <cell r="Q367" t="str">
            <v>SWO000982</v>
          </cell>
          <cell r="R367" t="str">
            <v>SWO000982</v>
          </cell>
          <cell r="S367">
            <v>22538</v>
          </cell>
          <cell r="T367" t="str">
            <v>1080</v>
          </cell>
          <cell r="U367" t="str">
            <v>MMR</v>
          </cell>
          <cell r="V367" t="str">
            <v>HSC</v>
          </cell>
          <cell r="W367" t="str">
            <v xml:space="preserve">MMR: UTILITIES G/W/E </v>
          </cell>
          <cell r="X367" t="str">
            <v>N</v>
          </cell>
        </row>
        <row r="368">
          <cell r="A368" t="str">
            <v>MMR: UTILITIES CHILLED WATER FY15</v>
          </cell>
          <cell r="B368" t="str">
            <v>MMR</v>
          </cell>
          <cell r="C368" t="str">
            <v>MMR-UCW</v>
          </cell>
          <cell r="D368" t="str">
            <v>MMR-UCW14</v>
          </cell>
          <cell r="E368" t="str">
            <v>MMR-UCW13</v>
          </cell>
          <cell r="F368" t="str">
            <v>MMR-UCW12</v>
          </cell>
          <cell r="G368" t="str">
            <v>MMR-UCW11</v>
          </cell>
          <cell r="H368" t="str">
            <v>MMR-UCW10</v>
          </cell>
          <cell r="I368" t="str">
            <v>MMR-UCW09</v>
          </cell>
          <cell r="J368" t="str">
            <v>MMR-UCW08</v>
          </cell>
          <cell r="K368" t="str">
            <v>MMR-UCW07</v>
          </cell>
          <cell r="L368" t="str">
            <v>MMR-UCW06</v>
          </cell>
          <cell r="M368" t="str">
            <v>MMR-UCW05</v>
          </cell>
          <cell r="W368" t="str">
            <v xml:space="preserve">MMR: UTILITIES CHILLED WATER </v>
          </cell>
        </row>
        <row r="369">
          <cell r="A369" t="str">
            <v>MMR: UTILITIES DEBT SERVICE FY15</v>
          </cell>
          <cell r="B369" t="str">
            <v>MMR</v>
          </cell>
          <cell r="C369" t="str">
            <v>MMR-UDS</v>
          </cell>
          <cell r="D369" t="str">
            <v>MMR-UDS14</v>
          </cell>
          <cell r="E369" t="str">
            <v>MMR-UDS13</v>
          </cell>
          <cell r="F369" t="str">
            <v>MMR-UDS12</v>
          </cell>
          <cell r="G369" t="str">
            <v>MMR-UDS11</v>
          </cell>
          <cell r="H369" t="str">
            <v>MMR-UDS10</v>
          </cell>
          <cell r="I369" t="str">
            <v>MMR-UDS09</v>
          </cell>
          <cell r="J369" t="str">
            <v>MMR-UDS08</v>
          </cell>
          <cell r="K369" t="str">
            <v>MMR-UDS07</v>
          </cell>
          <cell r="L369" t="str">
            <v>MMR-UDS06</v>
          </cell>
          <cell r="M369" t="str">
            <v>MMR-UDS05</v>
          </cell>
          <cell r="W369" t="str">
            <v xml:space="preserve">MMR: UTILITIES DEBT SERVICE </v>
          </cell>
        </row>
        <row r="370">
          <cell r="A370" t="str">
            <v>MMR: UTILITIES MAINT FY15</v>
          </cell>
          <cell r="B370">
            <v>0</v>
          </cell>
          <cell r="C370" t="str">
            <v>MMR-UMT</v>
          </cell>
          <cell r="D370" t="str">
            <v>MMR-UMT14</v>
          </cell>
          <cell r="E370" t="str">
            <v>MMR-UMT13</v>
          </cell>
          <cell r="F370" t="str">
            <v>MMR-UMT12</v>
          </cell>
          <cell r="G370" t="str">
            <v>MMR-UMT11</v>
          </cell>
          <cell r="H370" t="str">
            <v>MMR-UMT10</v>
          </cell>
          <cell r="I370" t="str">
            <v>MMR-UMT09</v>
          </cell>
          <cell r="J370" t="str">
            <v>MMR-UMT08</v>
          </cell>
          <cell r="K370" t="str">
            <v>MMR-UMT07</v>
          </cell>
          <cell r="L370" t="str">
            <v>MMR-UMT06</v>
          </cell>
          <cell r="M370" t="str">
            <v>MMR-UMT05</v>
          </cell>
          <cell r="W370" t="str">
            <v xml:space="preserve">MMR: UTILITIES MAINT </v>
          </cell>
        </row>
        <row r="371">
          <cell r="A371" t="str">
            <v>MCH: UTILITIES FY15 - GAS/WATER/ELECTRIC</v>
          </cell>
          <cell r="B371" t="str">
            <v>MCH</v>
          </cell>
          <cell r="C371" t="str">
            <v>MCH-EGW</v>
          </cell>
          <cell r="D371" t="str">
            <v>MCH-EGW-14</v>
          </cell>
          <cell r="E371" t="str">
            <v>MCH-EGW-13</v>
          </cell>
          <cell r="F371" t="str">
            <v>MCH-EGW-12</v>
          </cell>
          <cell r="G371" t="str">
            <v>MCH-EGW-11</v>
          </cell>
          <cell r="H371" t="str">
            <v>MCH-EGW-10</v>
          </cell>
          <cell r="I371" t="str">
            <v>MCH-EGW-09</v>
          </cell>
          <cell r="J371" t="str">
            <v>MCH-EGW-08</v>
          </cell>
          <cell r="K371" t="str">
            <v>MCH-EGW-07</v>
          </cell>
          <cell r="L371" t="str">
            <v>MCH-EGW-06</v>
          </cell>
          <cell r="M371" t="str">
            <v>MCH-EGW-05</v>
          </cell>
          <cell r="N371" t="str">
            <v>SWO003196</v>
          </cell>
          <cell r="O371" t="str">
            <v>SWO000852</v>
          </cell>
          <cell r="P371" t="str">
            <v>SWO000852</v>
          </cell>
          <cell r="Q371" t="str">
            <v>SWO000852</v>
          </cell>
          <cell r="R371" t="str">
            <v>SWO000852</v>
          </cell>
          <cell r="S371">
            <v>22539</v>
          </cell>
          <cell r="T371" t="str">
            <v>1081</v>
          </cell>
          <cell r="U371" t="str">
            <v>MCH</v>
          </cell>
          <cell r="V371" t="str">
            <v>HSC</v>
          </cell>
          <cell r="W371" t="str">
            <v xml:space="preserve">MCH: UTILITIES G/W/E </v>
          </cell>
          <cell r="X371" t="str">
            <v>N</v>
          </cell>
        </row>
        <row r="372">
          <cell r="A372" t="str">
            <v>MCH: UTILITIES CHILLED WATER FY15</v>
          </cell>
          <cell r="B372" t="str">
            <v>MCH</v>
          </cell>
          <cell r="C372" t="str">
            <v>MCH-UCW</v>
          </cell>
          <cell r="D372" t="str">
            <v>MCH-UCW14</v>
          </cell>
          <cell r="E372" t="str">
            <v>MCH-UCW13</v>
          </cell>
          <cell r="F372" t="str">
            <v>MCH-UCW12</v>
          </cell>
          <cell r="G372" t="str">
            <v>MCH-UCW11</v>
          </cell>
          <cell r="H372" t="str">
            <v>MCH-UCW10</v>
          </cell>
          <cell r="I372" t="str">
            <v>MCH-UCW09</v>
          </cell>
          <cell r="J372" t="str">
            <v>MCH-UCW08</v>
          </cell>
          <cell r="K372" t="str">
            <v>MCH-UCW07</v>
          </cell>
          <cell r="L372" t="str">
            <v>MCH-UCW06</v>
          </cell>
          <cell r="M372" t="str">
            <v>MCH-UCW05</v>
          </cell>
          <cell r="W372" t="str">
            <v xml:space="preserve">MCH: UTILITIES CHILLED WATER </v>
          </cell>
        </row>
        <row r="373">
          <cell r="A373" t="str">
            <v>MCH: UTILITIES DEBT SERVICE FY15</v>
          </cell>
          <cell r="B373" t="str">
            <v>MCH</v>
          </cell>
          <cell r="C373" t="str">
            <v>MCH-UDS</v>
          </cell>
          <cell r="D373" t="str">
            <v>MCH-UDS14</v>
          </cell>
          <cell r="E373" t="str">
            <v>MCH-UDS13</v>
          </cell>
          <cell r="F373" t="str">
            <v>MCH-UDS12</v>
          </cell>
          <cell r="G373" t="str">
            <v>MCH-UDS11</v>
          </cell>
          <cell r="H373" t="str">
            <v>MCH-UDS10</v>
          </cell>
          <cell r="I373" t="str">
            <v>MCH-UDS09</v>
          </cell>
          <cell r="J373" t="str">
            <v>MCH-UDS08</v>
          </cell>
          <cell r="K373" t="str">
            <v>MCH-UDS07</v>
          </cell>
          <cell r="L373" t="str">
            <v>MCH-UDS06</v>
          </cell>
          <cell r="M373" t="str">
            <v>MCH-UDS05</v>
          </cell>
          <cell r="W373" t="str">
            <v xml:space="preserve">MCH: UTILITIES DEBT SERVICE </v>
          </cell>
        </row>
        <row r="374">
          <cell r="A374" t="str">
            <v>MCH: UTILITIES MAINT FY15</v>
          </cell>
          <cell r="B374">
            <v>0</v>
          </cell>
          <cell r="C374" t="str">
            <v>MCH-UMT</v>
          </cell>
          <cell r="D374" t="str">
            <v>MCH-UMT14</v>
          </cell>
          <cell r="E374" t="str">
            <v>MCH-UMT13</v>
          </cell>
          <cell r="F374" t="str">
            <v>MCH-UMT12</v>
          </cell>
          <cell r="G374" t="str">
            <v>MCH-UMT11</v>
          </cell>
          <cell r="H374" t="str">
            <v>MCH-UMT10</v>
          </cell>
          <cell r="I374" t="str">
            <v>MCH-UMT09</v>
          </cell>
          <cell r="J374" t="str">
            <v>MCH-UMT08</v>
          </cell>
          <cell r="K374" t="str">
            <v>MCH-UMT07</v>
          </cell>
          <cell r="L374" t="str">
            <v>MCH-UMT06</v>
          </cell>
          <cell r="M374" t="str">
            <v>MCH-UMT05</v>
          </cell>
          <cell r="W374" t="str">
            <v xml:space="preserve">MCH: UTILITIES MAINT </v>
          </cell>
        </row>
        <row r="375">
          <cell r="A375" t="str">
            <v>MCH: CHILLER/CONTRACT PM FY15 - EQUIPMENT, D3030</v>
          </cell>
          <cell r="B375">
            <v>0</v>
          </cell>
          <cell r="D375" t="str">
            <v>MCH-CMC-14</v>
          </cell>
          <cell r="E375" t="str">
            <v>MCH-CMC-13</v>
          </cell>
          <cell r="W375" t="str">
            <v>MCH: CHILLER/CONTRACT PM FY13 - EQUIPMENT, D3030</v>
          </cell>
        </row>
        <row r="376">
          <cell r="A376" t="str">
            <v>MCA: UTILITIES FY15 - GAS/WATER/ELECTRIC</v>
          </cell>
          <cell r="B376" t="str">
            <v>MCA</v>
          </cell>
          <cell r="C376" t="str">
            <v>MCA-EGW</v>
          </cell>
          <cell r="D376" t="str">
            <v>MCA-EGW-14</v>
          </cell>
          <cell r="E376" t="str">
            <v>MCA-EGW-13</v>
          </cell>
          <cell r="F376" t="str">
            <v>MCA-EGW-12</v>
          </cell>
          <cell r="G376" t="str">
            <v>MCA-EGW-11</v>
          </cell>
          <cell r="H376" t="str">
            <v>MCA-EGW-10</v>
          </cell>
          <cell r="I376" t="str">
            <v>MCA-EGW-09</v>
          </cell>
          <cell r="J376" t="str">
            <v>MCA-EGW-08</v>
          </cell>
          <cell r="K376" t="str">
            <v>MCA-EGW-07</v>
          </cell>
          <cell r="L376" t="str">
            <v>MCA-EGW-06</v>
          </cell>
          <cell r="M376" t="str">
            <v>MCA-EGW-05</v>
          </cell>
          <cell r="N376" t="str">
            <v>SWO003195</v>
          </cell>
          <cell r="O376" t="str">
            <v>SWO000983</v>
          </cell>
          <cell r="P376" t="str">
            <v>SWO000983</v>
          </cell>
          <cell r="Q376" t="str">
            <v>SWO000983</v>
          </cell>
          <cell r="R376" t="str">
            <v>SWO000983</v>
          </cell>
          <cell r="S376">
            <v>22540</v>
          </cell>
          <cell r="T376" t="str">
            <v>1086</v>
          </cell>
          <cell r="U376" t="str">
            <v>MCA</v>
          </cell>
          <cell r="V376" t="str">
            <v>HSC</v>
          </cell>
          <cell r="W376" t="str">
            <v xml:space="preserve">MCA: UTILITIES G/W/E </v>
          </cell>
          <cell r="X376" t="str">
            <v>N</v>
          </cell>
        </row>
        <row r="377">
          <cell r="A377" t="str">
            <v>MCA: UTILITIES CHILLED WATER FY15</v>
          </cell>
          <cell r="B377" t="str">
            <v>MCA</v>
          </cell>
          <cell r="C377" t="str">
            <v>MCA-UCW</v>
          </cell>
          <cell r="D377" t="str">
            <v>MCA-UCW14</v>
          </cell>
          <cell r="E377" t="str">
            <v>MCA-UCW13</v>
          </cell>
          <cell r="F377" t="str">
            <v>MCA-UCW12</v>
          </cell>
          <cell r="G377" t="str">
            <v>MCA-UCW11</v>
          </cell>
          <cell r="H377" t="str">
            <v>MCA-UCW10</v>
          </cell>
          <cell r="I377" t="str">
            <v>MCA-UCW09</v>
          </cell>
          <cell r="J377" t="str">
            <v>MCA-UCW08</v>
          </cell>
          <cell r="K377" t="str">
            <v>MCA-UCW07</v>
          </cell>
          <cell r="L377" t="str">
            <v>MCA-UCW06</v>
          </cell>
          <cell r="M377" t="str">
            <v>MCA-UCW05</v>
          </cell>
          <cell r="W377" t="str">
            <v xml:space="preserve">MCA: UTILITIES CHILLED WATER </v>
          </cell>
        </row>
        <row r="378">
          <cell r="A378" t="str">
            <v>MCA: UTILITIES DEBT SERVICE FY15</v>
          </cell>
          <cell r="B378" t="str">
            <v>MCA</v>
          </cell>
          <cell r="C378" t="str">
            <v>MCA-UDS</v>
          </cell>
          <cell r="D378" t="str">
            <v>MCA-UDS14</v>
          </cell>
          <cell r="E378" t="str">
            <v>MCA-UDS13</v>
          </cell>
          <cell r="F378" t="str">
            <v>MCA-UDS12</v>
          </cell>
          <cell r="G378" t="str">
            <v>MCA-UDS11</v>
          </cell>
          <cell r="H378" t="str">
            <v>MCA-UDS10</v>
          </cell>
          <cell r="I378" t="str">
            <v>MCA-UDS09</v>
          </cell>
          <cell r="J378" t="str">
            <v>MCA-UDS08</v>
          </cell>
          <cell r="K378" t="str">
            <v>MCA-UDS07</v>
          </cell>
          <cell r="L378" t="str">
            <v>MCA-UDS06</v>
          </cell>
          <cell r="M378" t="str">
            <v>MCA-UDS05</v>
          </cell>
          <cell r="W378" t="str">
            <v xml:space="preserve">MCA: UTILITIES DEBT SERVICE </v>
          </cell>
        </row>
        <row r="379">
          <cell r="A379" t="str">
            <v>MCA: UTILITIES MAINT FY15</v>
          </cell>
          <cell r="B379">
            <v>0</v>
          </cell>
          <cell r="C379" t="str">
            <v>MCA-UMT</v>
          </cell>
          <cell r="D379" t="str">
            <v>MCA-UMT14</v>
          </cell>
          <cell r="E379" t="str">
            <v>MCA-UMT13</v>
          </cell>
          <cell r="F379" t="str">
            <v>MCA-UMT12</v>
          </cell>
          <cell r="G379" t="str">
            <v>MCA-UMT11</v>
          </cell>
          <cell r="H379" t="str">
            <v>MCA-UMT10</v>
          </cell>
          <cell r="I379" t="str">
            <v>MCA-UMT09</v>
          </cell>
          <cell r="J379" t="str">
            <v>MCA-UMT08</v>
          </cell>
          <cell r="K379" t="str">
            <v>MCA-UMT07</v>
          </cell>
          <cell r="L379" t="str">
            <v>MCA-UMT06</v>
          </cell>
          <cell r="M379" t="str">
            <v>MCA-UMT05</v>
          </cell>
          <cell r="W379" t="str">
            <v xml:space="preserve">MCA: UTILITIES MAINT </v>
          </cell>
        </row>
        <row r="380">
          <cell r="B380" t="str">
            <v>ASI</v>
          </cell>
          <cell r="G380" t="str">
            <v>ASI-EGW-11</v>
          </cell>
          <cell r="H380" t="str">
            <v>ASI-EGW-10</v>
          </cell>
          <cell r="I380" t="str">
            <v>ASI-EGW-09</v>
          </cell>
          <cell r="J380" t="str">
            <v>ASI-EGW-08</v>
          </cell>
          <cell r="K380" t="str">
            <v>ASI-EGW-07</v>
          </cell>
          <cell r="L380" t="str">
            <v>ASI-EGW-06</v>
          </cell>
          <cell r="M380" t="str">
            <v>ASI-EGW-05</v>
          </cell>
          <cell r="N380" t="str">
            <v>SWO003097</v>
          </cell>
          <cell r="O380" t="str">
            <v>SWO000984</v>
          </cell>
          <cell r="P380" t="str">
            <v>SWO000984</v>
          </cell>
          <cell r="Q380" t="str">
            <v>SWO000984</v>
          </cell>
          <cell r="R380" t="str">
            <v>SWO000984</v>
          </cell>
          <cell r="S380">
            <v>22541</v>
          </cell>
          <cell r="T380" t="str">
            <v>1100</v>
          </cell>
          <cell r="U380" t="str">
            <v>ASI</v>
          </cell>
          <cell r="W380" t="str">
            <v xml:space="preserve">ASI: UTILITIES G/W/E </v>
          </cell>
          <cell r="X380" t="str">
            <v>N</v>
          </cell>
          <cell r="Y380" t="str">
            <v>DEMOLISHED 12/31/2008</v>
          </cell>
        </row>
        <row r="381">
          <cell r="A381" t="str">
            <v>DRB: UTILITIES FY15 - GAS/WATER/ELECTRIC</v>
          </cell>
          <cell r="B381" t="str">
            <v>DRB</v>
          </cell>
          <cell r="C381" t="str">
            <v>DRB-EGW</v>
          </cell>
          <cell r="D381" t="str">
            <v>DRB-EGW-14</v>
          </cell>
          <cell r="E381" t="str">
            <v>DRB-EGW-13</v>
          </cell>
          <cell r="F381" t="str">
            <v>DRB-EGW-12</v>
          </cell>
          <cell r="G381" t="str">
            <v>DRB-EGW-11</v>
          </cell>
          <cell r="H381" t="str">
            <v>DRB-EGW-10</v>
          </cell>
          <cell r="I381" t="str">
            <v>DRB-EGW-09</v>
          </cell>
          <cell r="J381" t="str">
            <v>DRB-EGW-08</v>
          </cell>
          <cell r="K381" t="str">
            <v>DRB-EGW-07</v>
          </cell>
          <cell r="L381" t="str">
            <v>DRB-EGW-06</v>
          </cell>
          <cell r="M381" t="str">
            <v>DRB-EGW-05</v>
          </cell>
          <cell r="N381" t="str">
            <v>SWO003132</v>
          </cell>
          <cell r="O381" t="str">
            <v>SWO000985</v>
          </cell>
          <cell r="P381" t="str">
            <v>SWO000985</v>
          </cell>
          <cell r="Q381" t="str">
            <v>SWO000985</v>
          </cell>
          <cell r="R381" t="str">
            <v>SWO000985</v>
          </cell>
          <cell r="S381">
            <v>22542</v>
          </cell>
          <cell r="T381" t="str">
            <v>1110</v>
          </cell>
          <cell r="U381" t="str">
            <v>DRB</v>
          </cell>
          <cell r="W381" t="str">
            <v xml:space="preserve">DRB: UTILITIES G/W/E </v>
          </cell>
          <cell r="X381" t="str">
            <v>N</v>
          </cell>
        </row>
        <row r="382">
          <cell r="A382" t="str">
            <v>DRB: UTILITIES CHILLED WATER FY15</v>
          </cell>
          <cell r="B382" t="str">
            <v>DRB</v>
          </cell>
          <cell r="C382" t="str">
            <v>DRB-UCW</v>
          </cell>
          <cell r="D382" t="str">
            <v>DRB-UCW14</v>
          </cell>
          <cell r="E382" t="str">
            <v>DRB-UCW13</v>
          </cell>
          <cell r="F382" t="str">
            <v>DRB-UCW12</v>
          </cell>
          <cell r="G382" t="str">
            <v>DRB-UCW11</v>
          </cell>
          <cell r="H382" t="str">
            <v>DRB-UCW10</v>
          </cell>
          <cell r="I382" t="str">
            <v>DRB-UCW09</v>
          </cell>
          <cell r="J382" t="str">
            <v>DRB-UCW08</v>
          </cell>
          <cell r="K382" t="str">
            <v>DRB-UCW07</v>
          </cell>
          <cell r="L382" t="str">
            <v>DRB-UCW06</v>
          </cell>
          <cell r="M382" t="str">
            <v>DRB-UCW05</v>
          </cell>
          <cell r="W382" t="str">
            <v xml:space="preserve">DRB: UTILITIES CHILLED WATER </v>
          </cell>
        </row>
        <row r="383">
          <cell r="A383" t="str">
            <v>DRB: UTILITIES DEBT SERVICE FY15</v>
          </cell>
          <cell r="B383" t="str">
            <v>DRB</v>
          </cell>
          <cell r="C383" t="str">
            <v>DRB-UDS</v>
          </cell>
          <cell r="D383" t="str">
            <v>DRB-UDS14</v>
          </cell>
          <cell r="E383" t="str">
            <v>DRB-UDS13</v>
          </cell>
          <cell r="F383" t="str">
            <v>DRB-UDS12</v>
          </cell>
          <cell r="G383" t="str">
            <v>DRB-UDS11</v>
          </cell>
          <cell r="H383" t="str">
            <v>DRB-UDS10</v>
          </cell>
          <cell r="I383" t="str">
            <v>DRB-UDS09</v>
          </cell>
          <cell r="J383" t="str">
            <v>DRB-UDS08</v>
          </cell>
          <cell r="K383" t="str">
            <v>DRB-UDS07</v>
          </cell>
          <cell r="L383" t="str">
            <v>DRB-UDS06</v>
          </cell>
          <cell r="M383" t="str">
            <v>DRB-UDS05</v>
          </cell>
          <cell r="W383" t="str">
            <v xml:space="preserve">DRB: UTILITIES DEBT SERVICE </v>
          </cell>
        </row>
        <row r="384">
          <cell r="A384" t="str">
            <v>DRB: UTILITIES MAINT FY15</v>
          </cell>
          <cell r="B384">
            <v>0</v>
          </cell>
          <cell r="C384" t="str">
            <v>DRB-UMT</v>
          </cell>
          <cell r="D384" t="str">
            <v>DRB-UMT14</v>
          </cell>
          <cell r="E384" t="str">
            <v>DRB-UMT13</v>
          </cell>
          <cell r="F384" t="str">
            <v>DRB-UMT12</v>
          </cell>
          <cell r="G384" t="str">
            <v>DRB-UMT11</v>
          </cell>
          <cell r="H384" t="str">
            <v>DRB-UMT10</v>
          </cell>
          <cell r="I384" t="str">
            <v>DRB-UMT09</v>
          </cell>
          <cell r="J384" t="str">
            <v>DRB-UMT08</v>
          </cell>
          <cell r="K384" t="str">
            <v>DRB-UMT07</v>
          </cell>
          <cell r="L384" t="str">
            <v>DRB-UMT06</v>
          </cell>
          <cell r="M384" t="str">
            <v>DRB-UMT05</v>
          </cell>
          <cell r="W384" t="str">
            <v xml:space="preserve">DRB: UTILITIES MAINT </v>
          </cell>
        </row>
        <row r="385">
          <cell r="A385" t="str">
            <v>DRB: CHILLER/CONTRACT PM FY15 - EQUIPMENT, D3030</v>
          </cell>
          <cell r="B385">
            <v>0</v>
          </cell>
          <cell r="C385" t="e">
            <v>#N/A</v>
          </cell>
          <cell r="D385" t="str">
            <v>DRB-CMC-14</v>
          </cell>
          <cell r="E385" t="str">
            <v>DRB-CMC-13</v>
          </cell>
          <cell r="W385" t="str">
            <v>DRB: CHILLER/CONTRACT PM FY13 - EQUIPMENT, D3030</v>
          </cell>
        </row>
        <row r="386">
          <cell r="A386" t="str">
            <v>TGF: UTILITIES FY15 - ELECTRIC</v>
          </cell>
          <cell r="B386" t="str">
            <v>TGF</v>
          </cell>
          <cell r="C386" t="str">
            <v>TGF-ELC</v>
          </cell>
          <cell r="D386" t="str">
            <v>TGF-ELC-14</v>
          </cell>
          <cell r="E386" t="str">
            <v>TGF-ELC-13</v>
          </cell>
          <cell r="F386" t="str">
            <v>TGF-ELC-12</v>
          </cell>
          <cell r="G386" t="str">
            <v>TGF-ELC-11</v>
          </cell>
          <cell r="H386" t="str">
            <v>TGF-ELC-10</v>
          </cell>
          <cell r="I386" t="str">
            <v>TGF-ELC-09</v>
          </cell>
          <cell r="J386" t="str">
            <v>TGF-ELC-08</v>
          </cell>
          <cell r="K386" t="str">
            <v>TGF-ELC-07</v>
          </cell>
          <cell r="L386" t="str">
            <v>SWO008982</v>
          </cell>
          <cell r="M386" t="str">
            <v>SWO005982</v>
          </cell>
          <cell r="N386" t="str">
            <v>SWO003446</v>
          </cell>
          <cell r="O386" t="str">
            <v>SWO002531</v>
          </cell>
          <cell r="P386" t="str">
            <v>SWO001784</v>
          </cell>
          <cell r="Q386" t="str">
            <v>SWO001302</v>
          </cell>
          <cell r="R386" t="str">
            <v>SWO000853</v>
          </cell>
          <cell r="S386">
            <v>22543</v>
          </cell>
          <cell r="T386">
            <v>1121</v>
          </cell>
          <cell r="U386" t="str">
            <v>TGF</v>
          </cell>
          <cell r="W386" t="str">
            <v>Town &amp; Gown Foyer - Electric</v>
          </cell>
          <cell r="X386" t="str">
            <v>Y</v>
          </cell>
          <cell r="Y386" t="str">
            <v>17-8200-0222</v>
          </cell>
          <cell r="Z386">
            <v>20215</v>
          </cell>
        </row>
        <row r="387">
          <cell r="A387" t="str">
            <v>TGF: UTILITIES FY15 - GAS</v>
          </cell>
          <cell r="B387" t="str">
            <v>TGF</v>
          </cell>
          <cell r="C387" t="str">
            <v>TGF-GAS</v>
          </cell>
          <cell r="D387" t="str">
            <v>TGF-GAS-14</v>
          </cell>
          <cell r="E387" t="str">
            <v>TGF-GAS-13</v>
          </cell>
          <cell r="F387" t="str">
            <v>TGF-GAS-12</v>
          </cell>
          <cell r="G387" t="str">
            <v>TGF-GAS-11</v>
          </cell>
          <cell r="H387" t="str">
            <v>TGF-GAS-10</v>
          </cell>
          <cell r="I387" t="str">
            <v>TGF-GAS-09</v>
          </cell>
          <cell r="J387" t="str">
            <v>TGF-GAS-08</v>
          </cell>
          <cell r="K387" t="str">
            <v>TGF-GAS-07</v>
          </cell>
          <cell r="L387" t="str">
            <v>SWO008981</v>
          </cell>
          <cell r="M387" t="str">
            <v>SWO006026</v>
          </cell>
          <cell r="N387" t="str">
            <v>SWO003447</v>
          </cell>
          <cell r="O387" t="str">
            <v>SWO002529</v>
          </cell>
          <cell r="P387" t="str">
            <v>SWO001783</v>
          </cell>
          <cell r="Q387" t="str">
            <v>SWO001303</v>
          </cell>
          <cell r="R387" t="str">
            <v>SWO000986</v>
          </cell>
          <cell r="S387">
            <v>22544</v>
          </cell>
          <cell r="W387" t="str">
            <v>Town &amp; Gown Foyer - Gas</v>
          </cell>
          <cell r="X387" t="str">
            <v>Y</v>
          </cell>
          <cell r="Y387" t="str">
            <v>17-8200-0222</v>
          </cell>
          <cell r="Z387">
            <v>20211</v>
          </cell>
        </row>
        <row r="388">
          <cell r="A388" t="str">
            <v>TGF: UTILITIES FY15 - WATER</v>
          </cell>
          <cell r="B388" t="str">
            <v>TGF</v>
          </cell>
          <cell r="C388" t="str">
            <v>TGF-WTR</v>
          </cell>
          <cell r="D388" t="str">
            <v>TGF-WTR-14</v>
          </cell>
          <cell r="E388" t="str">
            <v>TGF-WTR-13</v>
          </cell>
          <cell r="F388" t="str">
            <v>TGF-WTR-12</v>
          </cell>
          <cell r="G388" t="str">
            <v>TGF-WTR-11</v>
          </cell>
          <cell r="H388" t="str">
            <v>TGF-WTR-10</v>
          </cell>
          <cell r="I388" t="str">
            <v>TGF-WTR-09</v>
          </cell>
          <cell r="J388" t="str">
            <v>TGF-WTR-08</v>
          </cell>
          <cell r="K388" t="str">
            <v>TGF-WTR-07</v>
          </cell>
          <cell r="L388" t="str">
            <v>SWO009029</v>
          </cell>
          <cell r="M388" t="str">
            <v>SWO006025</v>
          </cell>
          <cell r="N388" t="str">
            <v>SWO003448</v>
          </cell>
          <cell r="O388" t="str">
            <v>SWO002530</v>
          </cell>
          <cell r="P388" t="str">
            <v>SWO001782</v>
          </cell>
          <cell r="Q388" t="str">
            <v>SWO001304</v>
          </cell>
          <cell r="R388" t="str">
            <v>SWO000987</v>
          </cell>
          <cell r="S388">
            <v>22545</v>
          </cell>
          <cell r="W388" t="str">
            <v>Town &amp; Gown Foyer - Water</v>
          </cell>
          <cell r="X388" t="str">
            <v>Y</v>
          </cell>
          <cell r="Y388" t="str">
            <v>17-8200-0222</v>
          </cell>
          <cell r="Z388">
            <v>20212</v>
          </cell>
        </row>
        <row r="389">
          <cell r="A389" t="str">
            <v>TGF: UTILITIES CHILLED WATER FY15</v>
          </cell>
          <cell r="B389" t="str">
            <v>TGF</v>
          </cell>
          <cell r="C389" t="str">
            <v>TGF-UCW</v>
          </cell>
          <cell r="D389" t="str">
            <v>TGF-UCW14</v>
          </cell>
          <cell r="E389" t="str">
            <v>TGF-UCW13</v>
          </cell>
          <cell r="F389" t="str">
            <v>TGF-UCW12</v>
          </cell>
          <cell r="G389" t="str">
            <v>TGF-UCW11</v>
          </cell>
          <cell r="H389" t="str">
            <v>TGF-UCW10</v>
          </cell>
          <cell r="I389" t="str">
            <v>TGF-UCW09</v>
          </cell>
          <cell r="J389" t="str">
            <v>TGF-UCW08</v>
          </cell>
          <cell r="K389" t="str">
            <v>TGF-UCW07</v>
          </cell>
          <cell r="L389" t="str">
            <v>TGF-UCW06</v>
          </cell>
          <cell r="M389" t="str">
            <v>TGF-UCW05</v>
          </cell>
          <cell r="W389" t="str">
            <v xml:space="preserve">TGF: UTILITIES CHILLED WATER </v>
          </cell>
        </row>
        <row r="390">
          <cell r="A390" t="str">
            <v>TGF: UTILITIES DEBT SERVICE FY15</v>
          </cell>
          <cell r="B390" t="str">
            <v>TGF</v>
          </cell>
          <cell r="C390" t="str">
            <v>TGF-UDS</v>
          </cell>
          <cell r="D390" t="str">
            <v>TGF-UDS14</v>
          </cell>
          <cell r="E390" t="str">
            <v>TGF-UDS13</v>
          </cell>
          <cell r="F390" t="str">
            <v>TGF-UDS12</v>
          </cell>
          <cell r="G390" t="str">
            <v>TGF-UDS11</v>
          </cell>
          <cell r="H390" t="str">
            <v>TGF-UDS10</v>
          </cell>
          <cell r="I390" t="str">
            <v>TGF-UDS09</v>
          </cell>
          <cell r="J390" t="str">
            <v>TGF-UDS08</v>
          </cell>
          <cell r="K390" t="str">
            <v>TGF-UDS07</v>
          </cell>
          <cell r="L390" t="str">
            <v>TGF-UDS06</v>
          </cell>
          <cell r="M390" t="str">
            <v>TGF-UDS05</v>
          </cell>
          <cell r="W390" t="str">
            <v xml:space="preserve">TGF: UTILITIES DEBT SERVICE </v>
          </cell>
        </row>
        <row r="391">
          <cell r="A391" t="str">
            <v>TGF: UTILITIES MAINT FY15</v>
          </cell>
          <cell r="B391">
            <v>0</v>
          </cell>
          <cell r="C391" t="str">
            <v>TGF-UMT</v>
          </cell>
          <cell r="D391" t="str">
            <v>TGF-UMT14</v>
          </cell>
          <cell r="E391" t="str">
            <v>TGF-UMT13</v>
          </cell>
          <cell r="F391" t="str">
            <v>TGF-UMT12</v>
          </cell>
          <cell r="G391" t="str">
            <v>TGF-UMT11</v>
          </cell>
          <cell r="H391" t="str">
            <v>TGF-UMT10</v>
          </cell>
          <cell r="I391" t="str">
            <v>TGF-UMT09</v>
          </cell>
          <cell r="J391" t="str">
            <v>TGF-UMT08</v>
          </cell>
          <cell r="K391" t="str">
            <v>TGF-UMT07</v>
          </cell>
          <cell r="L391" t="str">
            <v>TGF-UMT06</v>
          </cell>
          <cell r="M391" t="str">
            <v>TGF-UMT05</v>
          </cell>
          <cell r="W391" t="str">
            <v xml:space="preserve">TGF: UTILITIES MAINT </v>
          </cell>
        </row>
        <row r="392">
          <cell r="A392" t="str">
            <v>TGF: UTILITIES FY15 - GAS/WATER/ELECTRIC</v>
          </cell>
          <cell r="B392" t="str">
            <v>TGF</v>
          </cell>
          <cell r="C392" t="str">
            <v>TGF-EGW</v>
          </cell>
          <cell r="D392" t="str">
            <v>TGF-EGW-14</v>
          </cell>
          <cell r="E392" t="str">
            <v>TGF-EGW-13</v>
          </cell>
          <cell r="F392" t="str">
            <v>TGF-EGW-12</v>
          </cell>
          <cell r="G392" t="str">
            <v>TGF-EGW-11</v>
          </cell>
          <cell r="H392" t="str">
            <v>TGF-EGW-10</v>
          </cell>
          <cell r="I392" t="str">
            <v>TGF-EGW-09</v>
          </cell>
          <cell r="J392" t="str">
            <v>TGF-EGW-08</v>
          </cell>
          <cell r="K392" t="str">
            <v>TGF-EGW-07</v>
          </cell>
          <cell r="L392" t="str">
            <v>TGF-EGW-06</v>
          </cell>
          <cell r="M392" t="str">
            <v>TGF-EGW-05</v>
          </cell>
          <cell r="N392" t="str">
            <v>SWO003259</v>
          </cell>
          <cell r="O392" t="str">
            <v>SWO000988</v>
          </cell>
          <cell r="P392" t="str">
            <v>SWO000988</v>
          </cell>
          <cell r="Q392" t="str">
            <v>SWO000988</v>
          </cell>
          <cell r="R392" t="str">
            <v>SWO000988</v>
          </cell>
          <cell r="S392">
            <v>22546</v>
          </cell>
          <cell r="T392" t="str">
            <v>1120</v>
          </cell>
          <cell r="U392" t="str">
            <v>TGF</v>
          </cell>
          <cell r="W392" t="str">
            <v xml:space="preserve">TGF: UTILITIES G/W/E </v>
          </cell>
          <cell r="X392" t="str">
            <v>N</v>
          </cell>
        </row>
        <row r="393">
          <cell r="A393" t="str">
            <v>ABA: UTILITIES FY15 - GAS/WATER/ELECTRIC</v>
          </cell>
          <cell r="B393" t="str">
            <v>ABA</v>
          </cell>
          <cell r="C393" t="str">
            <v>ABA-EGW</v>
          </cell>
          <cell r="D393" t="str">
            <v>ABA-EGW-14</v>
          </cell>
          <cell r="E393" t="str">
            <v>ABA-EGW-13</v>
          </cell>
          <cell r="F393" t="str">
            <v>ABA-EGW-12</v>
          </cell>
          <cell r="G393" t="str">
            <v>ABA-EGW-11</v>
          </cell>
          <cell r="H393" t="str">
            <v>ABA-EGW-10</v>
          </cell>
          <cell r="I393" t="str">
            <v>ABA-EGW-09</v>
          </cell>
          <cell r="J393" t="str">
            <v>ABA-EGW-08</v>
          </cell>
          <cell r="K393" t="str">
            <v>ABA-EGW-07</v>
          </cell>
          <cell r="L393" t="str">
            <v>ABA-EGW-06</v>
          </cell>
          <cell r="M393" t="str">
            <v>ABA-EGW-05</v>
          </cell>
          <cell r="N393" t="str">
            <v>SWO003088</v>
          </cell>
          <cell r="O393" t="str">
            <v>SWO000989</v>
          </cell>
          <cell r="P393" t="str">
            <v>SWO000989</v>
          </cell>
          <cell r="Q393" t="str">
            <v>SWO000989</v>
          </cell>
          <cell r="R393" t="str">
            <v>SWO000989</v>
          </cell>
          <cell r="S393">
            <v>22549</v>
          </cell>
          <cell r="T393" t="str">
            <v>1130</v>
          </cell>
          <cell r="U393" t="str">
            <v>ABA</v>
          </cell>
          <cell r="W393" t="str">
            <v xml:space="preserve">ABA: UTILITIES G/W/E </v>
          </cell>
          <cell r="X393" t="str">
            <v>N</v>
          </cell>
        </row>
        <row r="394">
          <cell r="A394" t="str">
            <v>ABA: UTILITIES CHILLED WATER FY15</v>
          </cell>
          <cell r="B394" t="str">
            <v>ABA</v>
          </cell>
          <cell r="C394" t="str">
            <v>ABA-UCW</v>
          </cell>
          <cell r="D394" t="str">
            <v>ABA-UCW14</v>
          </cell>
          <cell r="E394" t="str">
            <v>ABA-UCW13</v>
          </cell>
          <cell r="F394" t="str">
            <v>ABA-UCW12</v>
          </cell>
          <cell r="G394" t="str">
            <v>ABA-UCW11</v>
          </cell>
          <cell r="H394" t="str">
            <v>ABA-UCW10</v>
          </cell>
          <cell r="I394" t="str">
            <v>ABA-UCW09</v>
          </cell>
          <cell r="J394" t="str">
            <v>ABA-UCW08</v>
          </cell>
          <cell r="K394" t="str">
            <v>ABA-UCW07</v>
          </cell>
          <cell r="L394" t="str">
            <v>ABA-UCW06</v>
          </cell>
          <cell r="M394" t="str">
            <v>ABA-UCW05</v>
          </cell>
          <cell r="W394" t="str">
            <v xml:space="preserve">ABA: UTILITIES CHILLED WATER </v>
          </cell>
        </row>
        <row r="395">
          <cell r="A395" t="str">
            <v>ABA: UTILITIES DEBT SERVICE FY15</v>
          </cell>
          <cell r="B395" t="str">
            <v>ABA</v>
          </cell>
          <cell r="C395" t="str">
            <v>ABA-UDS</v>
          </cell>
          <cell r="D395" t="str">
            <v>ABA-UDS14</v>
          </cell>
          <cell r="E395" t="str">
            <v>ABA-UDS13</v>
          </cell>
          <cell r="F395" t="str">
            <v>ABA-UDS12</v>
          </cell>
          <cell r="G395" t="str">
            <v>ABA-UDS11</v>
          </cell>
          <cell r="H395" t="str">
            <v>ABA-UDS10</v>
          </cell>
          <cell r="I395" t="str">
            <v>ABA-UDS09</v>
          </cell>
          <cell r="J395" t="str">
            <v>ABA-UDS08</v>
          </cell>
          <cell r="K395" t="str">
            <v>ABA-UDS07</v>
          </cell>
          <cell r="L395" t="str">
            <v>ABA-UDS06</v>
          </cell>
          <cell r="M395" t="str">
            <v>ABA-UDS05</v>
          </cell>
          <cell r="W395" t="str">
            <v xml:space="preserve">ABA: UTILITIES DEBT SERVICE </v>
          </cell>
        </row>
        <row r="396">
          <cell r="A396" t="str">
            <v>ABA: UTILITIES MAINT FY15</v>
          </cell>
          <cell r="B396">
            <v>0</v>
          </cell>
          <cell r="C396" t="str">
            <v>ABA-UMT</v>
          </cell>
          <cell r="D396" t="str">
            <v>ABA-UMT14</v>
          </cell>
          <cell r="E396" t="str">
            <v>ABA-UMT13</v>
          </cell>
          <cell r="F396" t="str">
            <v>ABA-UMT12</v>
          </cell>
          <cell r="G396" t="str">
            <v>ABA-UMT11</v>
          </cell>
          <cell r="H396" t="str">
            <v>ABA-UMT10</v>
          </cell>
          <cell r="I396" t="str">
            <v>ABA-UMT09</v>
          </cell>
          <cell r="J396" t="str">
            <v>ABA-UMT08</v>
          </cell>
          <cell r="K396" t="str">
            <v>ABA-UMT07</v>
          </cell>
          <cell r="L396" t="str">
            <v>ABA-UMT06</v>
          </cell>
          <cell r="M396" t="str">
            <v>ABA-UMT05</v>
          </cell>
          <cell r="W396" t="str">
            <v xml:space="preserve">ABA: UTILITIES MAINT </v>
          </cell>
        </row>
        <row r="397">
          <cell r="A397" t="str">
            <v>STO: UTILITIES FY15 - GAS/WATER/ELECTRIC</v>
          </cell>
          <cell r="B397" t="str">
            <v>STO</v>
          </cell>
          <cell r="C397" t="str">
            <v>STO-EGW</v>
          </cell>
          <cell r="D397" t="str">
            <v>STO-EGW-14</v>
          </cell>
          <cell r="E397" t="str">
            <v>STO-EGW-13</v>
          </cell>
          <cell r="F397" t="str">
            <v>STO-EGW-12</v>
          </cell>
          <cell r="G397" t="str">
            <v>STO-EGW-11</v>
          </cell>
          <cell r="H397" t="str">
            <v>STO-EGW-10</v>
          </cell>
          <cell r="I397" t="str">
            <v>STO-EGW-09</v>
          </cell>
          <cell r="J397" t="str">
            <v>STO-EGW-08</v>
          </cell>
          <cell r="K397" t="str">
            <v>STO-EGW-07</v>
          </cell>
          <cell r="L397" t="str">
            <v>STO-EGW-06</v>
          </cell>
          <cell r="M397" t="str">
            <v>STO-EGW-05</v>
          </cell>
          <cell r="N397" t="str">
            <v>SWO003257</v>
          </cell>
          <cell r="O397" t="str">
            <v>SWO000854</v>
          </cell>
          <cell r="P397" t="str">
            <v>SWO000854</v>
          </cell>
          <cell r="Q397" t="str">
            <v>SWO000854</v>
          </cell>
          <cell r="R397" t="str">
            <v>SWO000854</v>
          </cell>
          <cell r="S397">
            <v>22550</v>
          </cell>
          <cell r="T397" t="str">
            <v>1140</v>
          </cell>
          <cell r="U397" t="str">
            <v>STO</v>
          </cell>
          <cell r="W397" t="str">
            <v xml:space="preserve">STO: UTILITIES G/W/E </v>
          </cell>
          <cell r="X397" t="str">
            <v>N</v>
          </cell>
        </row>
        <row r="398">
          <cell r="A398" t="str">
            <v>STO: UTILITIES CHILLED WATER FY15</v>
          </cell>
          <cell r="B398" t="str">
            <v>STO</v>
          </cell>
          <cell r="C398" t="str">
            <v>STO-UCW</v>
          </cell>
          <cell r="D398" t="str">
            <v>STO-UCW14</v>
          </cell>
          <cell r="E398" t="str">
            <v>STO-UCW13</v>
          </cell>
          <cell r="F398" t="str">
            <v>STO-UCW12</v>
          </cell>
          <cell r="G398" t="str">
            <v>STO-UCW11</v>
          </cell>
          <cell r="H398" t="str">
            <v>STO-UCW10</v>
          </cell>
          <cell r="I398" t="str">
            <v>STO-UCW09</v>
          </cell>
          <cell r="J398" t="str">
            <v>STO-UCW08</v>
          </cell>
          <cell r="K398" t="str">
            <v>STO-UCW07</v>
          </cell>
          <cell r="L398" t="str">
            <v>STO-UCW06</v>
          </cell>
          <cell r="M398" t="str">
            <v>STO-UCW05</v>
          </cell>
          <cell r="W398" t="str">
            <v xml:space="preserve">STO: UTILITIES CHILLED WATER </v>
          </cell>
        </row>
        <row r="399">
          <cell r="A399" t="str">
            <v>STO: UTILITIES DEBT SERVICE FY15</v>
          </cell>
          <cell r="B399" t="str">
            <v>STO</v>
          </cell>
          <cell r="C399" t="str">
            <v>STO-UDS</v>
          </cell>
          <cell r="D399" t="str">
            <v>STO-UDS14</v>
          </cell>
          <cell r="E399" t="str">
            <v>STO-UDS13</v>
          </cell>
          <cell r="F399" t="str">
            <v>STO-UDS12</v>
          </cell>
          <cell r="G399" t="str">
            <v>STO-UDS11</v>
          </cell>
          <cell r="H399" t="str">
            <v>STO-UDS10</v>
          </cell>
          <cell r="I399" t="str">
            <v>STO-UDS09</v>
          </cell>
          <cell r="J399" t="str">
            <v>STO-UDS08</v>
          </cell>
          <cell r="K399" t="str">
            <v>STO-UDS07</v>
          </cell>
          <cell r="L399" t="str">
            <v>STO-UDS06</v>
          </cell>
          <cell r="M399" t="str">
            <v>STO-UDS05</v>
          </cell>
          <cell r="W399" t="str">
            <v xml:space="preserve">STO: UTILITIES DEBT SERVICE </v>
          </cell>
        </row>
        <row r="400">
          <cell r="A400" t="str">
            <v>STO: UTILITIES MAINT FY15</v>
          </cell>
          <cell r="B400">
            <v>0</v>
          </cell>
          <cell r="C400" t="str">
            <v>STO-UMT</v>
          </cell>
          <cell r="D400" t="str">
            <v>STO-UMT14</v>
          </cell>
          <cell r="E400" t="str">
            <v>STO-UMT13</v>
          </cell>
          <cell r="F400" t="str">
            <v>STO-UMT12</v>
          </cell>
          <cell r="G400" t="str">
            <v>STO-UMT11</v>
          </cell>
          <cell r="H400" t="str">
            <v>STO-UMT10</v>
          </cell>
          <cell r="I400" t="str">
            <v>STO-UMT09</v>
          </cell>
          <cell r="J400" t="str">
            <v>STO-UMT08</v>
          </cell>
          <cell r="K400" t="str">
            <v>STO-UMT07</v>
          </cell>
          <cell r="L400" t="str">
            <v>STO-UMT06</v>
          </cell>
          <cell r="M400" t="str">
            <v>STO-UMT05</v>
          </cell>
          <cell r="N400" t="str">
            <v>SWO003146</v>
          </cell>
          <cell r="O400" t="str">
            <v>SWO001036</v>
          </cell>
          <cell r="P400" t="str">
            <v>SWO001036</v>
          </cell>
          <cell r="Q400" t="str">
            <v>SWO001036</v>
          </cell>
          <cell r="R400" t="str">
            <v>SWO001036</v>
          </cell>
          <cell r="S400">
            <v>28039</v>
          </cell>
          <cell r="W400" t="str">
            <v xml:space="preserve">STO: UTILITIES MAINT </v>
          </cell>
          <cell r="X400" t="str">
            <v>N</v>
          </cell>
        </row>
        <row r="401">
          <cell r="B401" t="str">
            <v>FAC</v>
          </cell>
          <cell r="L401" t="e">
            <v>#N/A</v>
          </cell>
          <cell r="M401" t="str">
            <v>SWO006103</v>
          </cell>
          <cell r="N401" t="str">
            <v>JOE</v>
          </cell>
          <cell r="T401" t="str">
            <v>1160</v>
          </cell>
          <cell r="U401" t="str">
            <v>FAC</v>
          </cell>
          <cell r="W401" t="str">
            <v>FAC: UTILITIES BILLING  - ELECTRIC</v>
          </cell>
          <cell r="Y401" t="str">
            <v>DEMOLISHED AUGUST 2012</v>
          </cell>
        </row>
        <row r="402">
          <cell r="L402" t="e">
            <v>#N/A</v>
          </cell>
          <cell r="M402" t="str">
            <v>SWO006265</v>
          </cell>
          <cell r="N402" t="str">
            <v>JOE</v>
          </cell>
          <cell r="W402" t="str">
            <v>FAC: UTILITIES BILLING  - GAS</v>
          </cell>
        </row>
        <row r="403">
          <cell r="L403" t="e">
            <v>#N/A</v>
          </cell>
          <cell r="M403" t="str">
            <v>SWO006102</v>
          </cell>
          <cell r="N403" t="str">
            <v>JOE</v>
          </cell>
          <cell r="W403" t="str">
            <v>FAC: UTILITIES BILLING  - WATER</v>
          </cell>
        </row>
        <row r="404">
          <cell r="A404" t="str">
            <v>FAC: UTILITIES CHILLED WATER FY15</v>
          </cell>
          <cell r="B404" t="str">
            <v>FAC</v>
          </cell>
          <cell r="C404" t="str">
            <v>FAC-UCW</v>
          </cell>
          <cell r="D404" t="str">
            <v>FAC-UCW14</v>
          </cell>
          <cell r="E404" t="str">
            <v>FAC-UCW13</v>
          </cell>
          <cell r="F404" t="str">
            <v>FAC-UCW12</v>
          </cell>
          <cell r="G404" t="str">
            <v>FAC-UCW11</v>
          </cell>
          <cell r="H404" t="str">
            <v>FAC-UCW10</v>
          </cell>
          <cell r="I404" t="str">
            <v>FAC-UCW09</v>
          </cell>
          <cell r="J404" t="str">
            <v>FAC-UCW08</v>
          </cell>
          <cell r="K404" t="str">
            <v>FAC-UCW07</v>
          </cell>
          <cell r="L404" t="str">
            <v>FAC-UCW06</v>
          </cell>
          <cell r="M404" t="str">
            <v>FAC-UCW05</v>
          </cell>
          <cell r="W404" t="str">
            <v xml:space="preserve">FAC: UTILITIES CHILLED WATER </v>
          </cell>
        </row>
        <row r="405">
          <cell r="A405" t="str">
            <v>FAC: UTILITIES DEBT SERVICE FY15</v>
          </cell>
          <cell r="B405" t="str">
            <v>FAC</v>
          </cell>
          <cell r="C405" t="str">
            <v>FAC-UDS</v>
          </cell>
          <cell r="D405" t="str">
            <v>FAC-UDS14</v>
          </cell>
          <cell r="E405" t="str">
            <v>FAC-UDS13</v>
          </cell>
          <cell r="F405" t="str">
            <v>FAC-UDS12</v>
          </cell>
          <cell r="G405" t="str">
            <v>FAC-UDS11</v>
          </cell>
          <cell r="H405" t="str">
            <v>FAC-UDS10</v>
          </cell>
          <cell r="I405" t="str">
            <v>FAC-UDS09</v>
          </cell>
          <cell r="J405" t="str">
            <v>FAC-UDS08</v>
          </cell>
          <cell r="K405" t="str">
            <v>FAC-UDS07</v>
          </cell>
          <cell r="L405" t="str">
            <v>FAC-UDS06</v>
          </cell>
          <cell r="M405" t="str">
            <v>FAC-UDS05</v>
          </cell>
          <cell r="W405" t="str">
            <v xml:space="preserve">FAC: UTILITIES DEBT SERVICE </v>
          </cell>
        </row>
        <row r="406">
          <cell r="A406" t="str">
            <v>FAC: UTILITIES MAINT FY15</v>
          </cell>
          <cell r="B406">
            <v>0</v>
          </cell>
          <cell r="C406" t="str">
            <v>FAC-UMT</v>
          </cell>
          <cell r="D406" t="str">
            <v>FAC-UMT14</v>
          </cell>
          <cell r="E406" t="str">
            <v>FAC-UMT13</v>
          </cell>
          <cell r="F406" t="str">
            <v>FAC-UMT12</v>
          </cell>
          <cell r="G406" t="str">
            <v>FAC-UMT11</v>
          </cell>
          <cell r="H406" t="str">
            <v>FAC-UMT10</v>
          </cell>
          <cell r="I406" t="str">
            <v>FAC-UMT09</v>
          </cell>
          <cell r="J406" t="str">
            <v>FAC-UMT08</v>
          </cell>
          <cell r="K406" t="str">
            <v>FAC-UMT07</v>
          </cell>
          <cell r="L406" t="str">
            <v>FAC-UMT06</v>
          </cell>
          <cell r="M406" t="str">
            <v>FAC-UMT05</v>
          </cell>
          <cell r="W406" t="str">
            <v xml:space="preserve">FAC: UTILITIES MAINT </v>
          </cell>
        </row>
        <row r="407">
          <cell r="A407" t="str">
            <v>FAC: UTILITIES FY15 - GAS/WATER/ELECTRIC</v>
          </cell>
          <cell r="B407" t="str">
            <v>FAC</v>
          </cell>
          <cell r="C407" t="str">
            <v>FAC-EGW</v>
          </cell>
          <cell r="D407" t="str">
            <v>FAC-EGW-14</v>
          </cell>
          <cell r="E407" t="str">
            <v>FAC-EGW-13</v>
          </cell>
          <cell r="F407" t="str">
            <v>FAC-EGW-12</v>
          </cell>
          <cell r="G407" t="str">
            <v>FAC-EGW-11</v>
          </cell>
          <cell r="H407" t="str">
            <v>FAC-EGW-10</v>
          </cell>
          <cell r="I407" t="str">
            <v>FAC-EGW-09</v>
          </cell>
          <cell r="J407" t="str">
            <v>FAC-EGW-08</v>
          </cell>
          <cell r="K407" t="str">
            <v>FAC-EGW-07</v>
          </cell>
          <cell r="L407" t="str">
            <v>FAC-EGW-06</v>
          </cell>
          <cell r="M407" t="str">
            <v>FAC-EGW-05</v>
          </cell>
          <cell r="W407" t="str">
            <v xml:space="preserve">FAC: UTILITIES G/W/E </v>
          </cell>
        </row>
        <row r="408">
          <cell r="A408" t="str">
            <v>PKS: UTILITIES FY15 - ELECTRIC</v>
          </cell>
          <cell r="B408" t="str">
            <v>PKS</v>
          </cell>
          <cell r="C408" t="str">
            <v>PKS-ELC</v>
          </cell>
          <cell r="D408" t="str">
            <v>PKS-ELC-14</v>
          </cell>
          <cell r="E408" t="str">
            <v>PKS-ELC-13</v>
          </cell>
          <cell r="F408" t="str">
            <v>PKS-ELC-12</v>
          </cell>
          <cell r="G408" t="str">
            <v>PKS-ELC-11</v>
          </cell>
          <cell r="H408" t="str">
            <v>PKS-ELC-10</v>
          </cell>
          <cell r="I408" t="str">
            <v>PKS-ELC-09</v>
          </cell>
          <cell r="J408" t="str">
            <v>PKS-ELC-08</v>
          </cell>
          <cell r="K408" t="str">
            <v>PKS-ELC-07</v>
          </cell>
          <cell r="L408" t="str">
            <v>SWO009020</v>
          </cell>
          <cell r="M408" t="str">
            <v>SWO006004</v>
          </cell>
          <cell r="N408" t="str">
            <v>SWO003424</v>
          </cell>
          <cell r="O408" t="str">
            <v>SWO002544</v>
          </cell>
          <cell r="P408" t="str">
            <v>SWO001805</v>
          </cell>
          <cell r="Q408" t="str">
            <v>SWO001305</v>
          </cell>
          <cell r="R408" t="str">
            <v>SWO000990</v>
          </cell>
          <cell r="S408">
            <v>22552</v>
          </cell>
          <cell r="T408">
            <v>1171</v>
          </cell>
          <cell r="U408" t="str">
            <v>PKS</v>
          </cell>
          <cell r="W408" t="str">
            <v>Parkside Apartments I - Electric</v>
          </cell>
          <cell r="X408" t="str">
            <v>Y</v>
          </cell>
          <cell r="Y408" t="str">
            <v>17-8701-0325</v>
          </cell>
          <cell r="Z408">
            <v>20215</v>
          </cell>
        </row>
        <row r="409">
          <cell r="A409" t="str">
            <v>PKS: UTILITIES FY15 - GAS</v>
          </cell>
          <cell r="B409" t="str">
            <v>PKS</v>
          </cell>
          <cell r="C409" t="str">
            <v>PKS-GAS</v>
          </cell>
          <cell r="D409" t="str">
            <v>PKS-GAS-14</v>
          </cell>
          <cell r="E409" t="str">
            <v>PKS-GAS-13</v>
          </cell>
          <cell r="F409" t="str">
            <v>PKS-GAS-12</v>
          </cell>
          <cell r="G409" t="str">
            <v>PKS-GAS-11</v>
          </cell>
          <cell r="H409" t="str">
            <v>PKS-GAS-10</v>
          </cell>
          <cell r="I409" t="str">
            <v>PKS-GAS-09</v>
          </cell>
          <cell r="J409" t="str">
            <v>PKS-GAS-08</v>
          </cell>
          <cell r="K409" t="str">
            <v>PKS-GAS-07</v>
          </cell>
          <cell r="L409" t="str">
            <v>SWO009019</v>
          </cell>
          <cell r="M409" t="str">
            <v>SWO006005</v>
          </cell>
          <cell r="N409" t="str">
            <v>SWO003425</v>
          </cell>
          <cell r="O409" t="str">
            <v>SWO002541</v>
          </cell>
          <cell r="P409" t="str">
            <v>SWO001801</v>
          </cell>
          <cell r="Q409" t="str">
            <v>SWO001306</v>
          </cell>
          <cell r="R409" t="str">
            <v>SWO000991</v>
          </cell>
          <cell r="S409">
            <v>22553</v>
          </cell>
          <cell r="T409">
            <v>1171</v>
          </cell>
          <cell r="U409" t="str">
            <v>PKS</v>
          </cell>
          <cell r="W409" t="str">
            <v>Parkside Apartments I - Gas</v>
          </cell>
          <cell r="X409" t="str">
            <v>Y</v>
          </cell>
          <cell r="Y409" t="str">
            <v>17-8701-0325</v>
          </cell>
          <cell r="Z409">
            <v>20211</v>
          </cell>
        </row>
        <row r="410">
          <cell r="A410" t="str">
            <v>PKS: UTILITIES FY15 - WATER</v>
          </cell>
          <cell r="B410" t="str">
            <v>PKS</v>
          </cell>
          <cell r="C410" t="str">
            <v>PKS-WTR</v>
          </cell>
          <cell r="D410" t="str">
            <v>PKS-WTR-14</v>
          </cell>
          <cell r="E410" t="str">
            <v>PKS-WTR-13</v>
          </cell>
          <cell r="F410" t="str">
            <v>PKS-WTR-12</v>
          </cell>
          <cell r="G410" t="str">
            <v>PKS-WTR-11</v>
          </cell>
          <cell r="H410" t="str">
            <v>PKS-WTR-10</v>
          </cell>
          <cell r="I410" t="str">
            <v>PKS-WTR-09</v>
          </cell>
          <cell r="J410" t="str">
            <v>PKS-WTR-08</v>
          </cell>
          <cell r="K410" t="str">
            <v>PKS-WTR-07</v>
          </cell>
          <cell r="L410" t="str">
            <v>SWO009018</v>
          </cell>
          <cell r="M410" t="str">
            <v>SWO006003</v>
          </cell>
          <cell r="N410" t="str">
            <v>SWO003426</v>
          </cell>
          <cell r="O410" t="str">
            <v>SWO002542</v>
          </cell>
          <cell r="P410" t="str">
            <v>SWO001803</v>
          </cell>
          <cell r="Q410" t="str">
            <v>SWO001307</v>
          </cell>
          <cell r="R410" t="str">
            <v>SWO000992</v>
          </cell>
          <cell r="S410">
            <v>22554</v>
          </cell>
          <cell r="T410">
            <v>1171</v>
          </cell>
          <cell r="U410" t="str">
            <v>PKS</v>
          </cell>
          <cell r="W410" t="str">
            <v>Parkside Apartments I - Water</v>
          </cell>
          <cell r="X410" t="str">
            <v>Y</v>
          </cell>
          <cell r="Y410" t="str">
            <v>17-8701-0325</v>
          </cell>
          <cell r="Z410">
            <v>20212</v>
          </cell>
        </row>
        <row r="411">
          <cell r="A411" t="str">
            <v>PKS: UTILITIES CHILLED WATER FY15</v>
          </cell>
          <cell r="B411" t="str">
            <v>PKS</v>
          </cell>
          <cell r="C411" t="str">
            <v>PKS-UCW</v>
          </cell>
          <cell r="D411" t="str">
            <v>PKS-UCW14</v>
          </cell>
          <cell r="E411" t="str">
            <v>PKS-UCW13</v>
          </cell>
          <cell r="F411" t="str">
            <v>PKS-UCW12</v>
          </cell>
          <cell r="G411" t="str">
            <v>PKS-UCW11</v>
          </cell>
          <cell r="H411" t="str">
            <v>PKS-UCW10</v>
          </cell>
          <cell r="I411" t="str">
            <v>PKS-UCW09</v>
          </cell>
          <cell r="J411" t="str">
            <v>PKS-UCW08</v>
          </cell>
          <cell r="K411" t="str">
            <v>PKS-UCW07</v>
          </cell>
          <cell r="L411" t="str">
            <v>PKS-UCW06</v>
          </cell>
          <cell r="M411" t="str">
            <v>PKS-UCW05</v>
          </cell>
          <cell r="W411" t="str">
            <v xml:space="preserve">PKS: UTILITIES CHILLED WATER </v>
          </cell>
        </row>
        <row r="412">
          <cell r="A412" t="str">
            <v>PKS: UTILITIES DEBT SERVICE FY15</v>
          </cell>
          <cell r="B412" t="str">
            <v>PKS</v>
          </cell>
          <cell r="C412" t="str">
            <v>PKS-UDS</v>
          </cell>
          <cell r="D412" t="str">
            <v>PKS-UDS14</v>
          </cell>
          <cell r="E412" t="str">
            <v>PKS-UDS13</v>
          </cell>
          <cell r="F412" t="str">
            <v>PKS-UDS12</v>
          </cell>
          <cell r="G412" t="str">
            <v>PKS-UDS11</v>
          </cell>
          <cell r="H412" t="str">
            <v>PKS-UDS10</v>
          </cell>
          <cell r="I412" t="str">
            <v>PKS-UDS09</v>
          </cell>
          <cell r="J412" t="str">
            <v>PKS-UDS08</v>
          </cell>
          <cell r="K412" t="str">
            <v>PKS-UDS07</v>
          </cell>
          <cell r="L412" t="str">
            <v>PKS-UDS06</v>
          </cell>
          <cell r="M412" t="str">
            <v>PKS-UDS05</v>
          </cell>
          <cell r="W412" t="str">
            <v xml:space="preserve">PKS: UTILITIES DEBT SERVICE </v>
          </cell>
        </row>
        <row r="413">
          <cell r="A413" t="str">
            <v>PKS: UTILITIES MAINT FY15</v>
          </cell>
          <cell r="B413">
            <v>0</v>
          </cell>
          <cell r="C413" t="str">
            <v>PKS-UMT</v>
          </cell>
          <cell r="D413" t="str">
            <v>PKS-UMT14</v>
          </cell>
          <cell r="E413" t="str">
            <v>PKS-UMT13</v>
          </cell>
          <cell r="F413" t="str">
            <v>PKS-UMT12</v>
          </cell>
          <cell r="G413" t="str">
            <v>PKS-UMT11</v>
          </cell>
          <cell r="H413" t="str">
            <v>PKS-UMT10</v>
          </cell>
          <cell r="I413" t="str">
            <v>PKS-UMT09</v>
          </cell>
          <cell r="J413" t="str">
            <v>PKS-UMT08</v>
          </cell>
          <cell r="K413" t="str">
            <v>PKS-UMT07</v>
          </cell>
          <cell r="L413" t="str">
            <v>PKS-UMT06</v>
          </cell>
          <cell r="M413" t="str">
            <v>PKS-UMT05</v>
          </cell>
          <cell r="W413" t="str">
            <v xml:space="preserve">PKS: UTILITIES MAINT </v>
          </cell>
        </row>
        <row r="414">
          <cell r="B414" t="str">
            <v>PKS</v>
          </cell>
          <cell r="G414" t="str">
            <v>PKS-EGW-11</v>
          </cell>
          <cell r="H414" t="str">
            <v>PKS-EGW-10</v>
          </cell>
          <cell r="I414" t="str">
            <v>PKS-EGW-09</v>
          </cell>
          <cell r="J414" t="str">
            <v>PKS-EGW-08</v>
          </cell>
          <cell r="K414" t="str">
            <v>PKS-EGW-07</v>
          </cell>
          <cell r="L414" t="str">
            <v>PKS-EGW-06</v>
          </cell>
          <cell r="M414" t="str">
            <v>PKS-EGW-05</v>
          </cell>
          <cell r="N414" t="str">
            <v>SWO003218</v>
          </cell>
          <cell r="O414" t="str">
            <v>SWO000855</v>
          </cell>
          <cell r="P414" t="str">
            <v>SWO000855</v>
          </cell>
          <cell r="Q414" t="str">
            <v>SWO000855</v>
          </cell>
          <cell r="R414" t="str">
            <v>SWO000855</v>
          </cell>
          <cell r="S414">
            <v>22555</v>
          </cell>
          <cell r="T414" t="str">
            <v>1170</v>
          </cell>
          <cell r="U414" t="str">
            <v>PKS</v>
          </cell>
          <cell r="W414" t="str">
            <v xml:space="preserve">PKS: UTILITIES G/W/E </v>
          </cell>
          <cell r="X414" t="str">
            <v>N</v>
          </cell>
        </row>
        <row r="415">
          <cell r="A415" t="str">
            <v>RRB: UTILITIES FY15 - GAS/WATER/ELECTRIC</v>
          </cell>
          <cell r="B415" t="str">
            <v>RRB</v>
          </cell>
          <cell r="C415" t="str">
            <v>RRB-EGW</v>
          </cell>
          <cell r="D415" t="str">
            <v>RRB-EGW-14</v>
          </cell>
          <cell r="E415" t="str">
            <v>RRB-EGW-13</v>
          </cell>
          <cell r="F415" t="str">
            <v>RRB-EGW-12</v>
          </cell>
          <cell r="G415" t="str">
            <v>RRB-EGW-11</v>
          </cell>
          <cell r="H415" t="str">
            <v>RRB-EGW-10</v>
          </cell>
          <cell r="I415" t="str">
            <v>RRB-EGW-09</v>
          </cell>
          <cell r="J415" t="str">
            <v>RRB-EGW-08</v>
          </cell>
          <cell r="K415" t="str">
            <v>RRB-EGW-07</v>
          </cell>
          <cell r="L415" t="str">
            <v>RRB-EGW-06</v>
          </cell>
          <cell r="M415" t="str">
            <v>RRB-EGW-05</v>
          </cell>
          <cell r="N415" t="str">
            <v>SWO003239</v>
          </cell>
          <cell r="O415" t="str">
            <v>SWO000993</v>
          </cell>
          <cell r="P415" t="str">
            <v>SWO000993</v>
          </cell>
          <cell r="Q415" t="str">
            <v>SWO000993</v>
          </cell>
          <cell r="R415" t="str">
            <v>SWO000993</v>
          </cell>
          <cell r="S415">
            <v>22558</v>
          </cell>
          <cell r="T415" t="str">
            <v>1190</v>
          </cell>
          <cell r="U415" t="str">
            <v>RRB</v>
          </cell>
          <cell r="W415" t="str">
            <v>RRB: UTILITIES G/W/E FY04</v>
          </cell>
          <cell r="X415" t="str">
            <v>N</v>
          </cell>
        </row>
        <row r="416">
          <cell r="A416" t="str">
            <v>RRB: UTILITIES CHILLED WATER FY15</v>
          </cell>
          <cell r="B416" t="str">
            <v>RRB</v>
          </cell>
          <cell r="C416" t="str">
            <v>RRB-UCW</v>
          </cell>
          <cell r="D416" t="str">
            <v>RRB-UCW14</v>
          </cell>
          <cell r="E416" t="str">
            <v>RRB-UCW13</v>
          </cell>
          <cell r="F416" t="str">
            <v>RRB-UCW12</v>
          </cell>
          <cell r="G416" t="str">
            <v>RRB-UCW11</v>
          </cell>
          <cell r="H416" t="str">
            <v>RRB-UCW10</v>
          </cell>
          <cell r="I416" t="str">
            <v>RRB-UCW09</v>
          </cell>
          <cell r="J416" t="str">
            <v>RRB-UCW08</v>
          </cell>
          <cell r="K416" t="str">
            <v>RRB-UCW07</v>
          </cell>
          <cell r="L416" t="str">
            <v>RRB-UCW06</v>
          </cell>
          <cell r="M416" t="str">
            <v>RRB-UCW05</v>
          </cell>
          <cell r="W416" t="str">
            <v xml:space="preserve">RRB: UTILITIES CHILLED WATER </v>
          </cell>
        </row>
        <row r="417">
          <cell r="A417" t="str">
            <v>RRB: UTILITIES DEBT SERVICE FY15</v>
          </cell>
          <cell r="B417" t="str">
            <v>RRB</v>
          </cell>
          <cell r="C417" t="str">
            <v>RRB-UDS</v>
          </cell>
          <cell r="D417" t="str">
            <v>RRB-UDS14</v>
          </cell>
          <cell r="E417" t="str">
            <v>RRB-UDS13</v>
          </cell>
          <cell r="F417" t="str">
            <v>RRB-UDS12</v>
          </cell>
          <cell r="G417" t="str">
            <v>RRB-UDS11</v>
          </cell>
          <cell r="H417" t="str">
            <v>RRB-UDS10</v>
          </cell>
          <cell r="I417" t="str">
            <v>RRB-UDS09</v>
          </cell>
          <cell r="J417" t="str">
            <v>RRB-UDS08</v>
          </cell>
          <cell r="K417" t="str">
            <v>RRB-UDS07</v>
          </cell>
          <cell r="L417" t="str">
            <v>RRB-UDS06</v>
          </cell>
          <cell r="M417" t="str">
            <v>RRB-UDS05</v>
          </cell>
          <cell r="W417" t="str">
            <v xml:space="preserve">RRB: UTILITIES DEBT SERVICE </v>
          </cell>
        </row>
        <row r="418">
          <cell r="A418" t="str">
            <v>RRB: UTILITIES MAINT FY15</v>
          </cell>
          <cell r="B418">
            <v>0</v>
          </cell>
          <cell r="C418" t="str">
            <v>RRB-UMT</v>
          </cell>
          <cell r="D418" t="str">
            <v>RRB-UMT14</v>
          </cell>
          <cell r="E418" t="str">
            <v>RRB-UMT13</v>
          </cell>
          <cell r="F418" t="str">
            <v>RRB-UMT12</v>
          </cell>
          <cell r="G418" t="str">
            <v>RRB-UMT11</v>
          </cell>
          <cell r="H418" t="str">
            <v>RRB-UMT10</v>
          </cell>
          <cell r="I418" t="str">
            <v>RRB-UMT09</v>
          </cell>
          <cell r="J418" t="str">
            <v>RRB-UMT08</v>
          </cell>
          <cell r="K418" t="str">
            <v>RRB-UMT07</v>
          </cell>
          <cell r="L418" t="str">
            <v>RRB-UMT06</v>
          </cell>
          <cell r="M418" t="str">
            <v>RRB-UMT05</v>
          </cell>
          <cell r="W418" t="str">
            <v xml:space="preserve">RRB: UTILITIES MAINT </v>
          </cell>
        </row>
        <row r="419">
          <cell r="A419" t="str">
            <v>TRO: UTILITIES FY15 - ELECTRIC</v>
          </cell>
          <cell r="B419" t="str">
            <v>TRO1</v>
          </cell>
          <cell r="C419" t="str">
            <v>TRO-ELC</v>
          </cell>
          <cell r="D419" t="str">
            <v>TRO-ELC-14</v>
          </cell>
          <cell r="E419" t="str">
            <v>TRO-ELC-13</v>
          </cell>
          <cell r="F419" t="str">
            <v>TRO-ELC-12</v>
          </cell>
          <cell r="G419" t="str">
            <v>TRO-ELC-11</v>
          </cell>
          <cell r="H419" t="str">
            <v>TRO-ELC-10</v>
          </cell>
          <cell r="I419" t="str">
            <v>TRO-ELC-09</v>
          </cell>
          <cell r="J419" t="str">
            <v>TRO-ELC-08</v>
          </cell>
          <cell r="K419" t="str">
            <v>TRO-ELC-07</v>
          </cell>
          <cell r="L419" t="str">
            <v>SWO009037</v>
          </cell>
          <cell r="M419" t="str">
            <v>SWO005984</v>
          </cell>
          <cell r="N419" t="str">
            <v>SWO003449</v>
          </cell>
          <cell r="O419" t="str">
            <v>SWO002524</v>
          </cell>
          <cell r="P419" t="str">
            <v>SWO001774</v>
          </cell>
          <cell r="Q419" t="str">
            <v>SWO001308</v>
          </cell>
          <cell r="R419" t="str">
            <v>SWO000994</v>
          </cell>
          <cell r="S419">
            <v>22561</v>
          </cell>
          <cell r="T419">
            <v>1201</v>
          </cell>
          <cell r="U419" t="str">
            <v>TRO</v>
          </cell>
          <cell r="W419" t="str">
            <v>Trojan Hall - Electric</v>
          </cell>
          <cell r="X419" t="str">
            <v>Y</v>
          </cell>
          <cell r="Y419" t="str">
            <v>17-8701-0306</v>
          </cell>
          <cell r="Z419">
            <v>20215</v>
          </cell>
        </row>
        <row r="420">
          <cell r="A420" t="str">
            <v>TRO: UTILITIES FY15 - GAS</v>
          </cell>
          <cell r="B420" t="str">
            <v>TRO</v>
          </cell>
          <cell r="C420" t="str">
            <v>TRO-GAS</v>
          </cell>
          <cell r="D420" t="str">
            <v>TRO-GAS-14</v>
          </cell>
          <cell r="E420" t="str">
            <v>TRO-GAS-13</v>
          </cell>
          <cell r="F420" t="str">
            <v>TRO-GAS-12</v>
          </cell>
          <cell r="G420" t="str">
            <v>TRO-GAS-11</v>
          </cell>
          <cell r="H420" t="str">
            <v>TRO-GAS-10</v>
          </cell>
          <cell r="I420" t="str">
            <v>TRO-GAS-09</v>
          </cell>
          <cell r="J420" t="str">
            <v>TRO-GAS-08</v>
          </cell>
          <cell r="K420" t="str">
            <v>TRO-GAS-07</v>
          </cell>
          <cell r="L420" t="str">
            <v>SWO008977</v>
          </cell>
          <cell r="M420" t="str">
            <v>SWO005985</v>
          </cell>
          <cell r="N420" t="str">
            <v>SWO003450</v>
          </cell>
          <cell r="O420" t="str">
            <v>SWO002504</v>
          </cell>
          <cell r="P420" t="str">
            <v>SWO001755</v>
          </cell>
          <cell r="Q420" t="str">
            <v>SWO001309</v>
          </cell>
          <cell r="R420" t="str">
            <v>SWO000856</v>
          </cell>
          <cell r="S420">
            <v>22562</v>
          </cell>
          <cell r="T420">
            <v>1201</v>
          </cell>
          <cell r="U420" t="str">
            <v>TRO</v>
          </cell>
          <cell r="W420" t="str">
            <v>Trojan Hall - Gas</v>
          </cell>
          <cell r="X420" t="str">
            <v>Y</v>
          </cell>
          <cell r="Y420" t="str">
            <v>17-8701-0306</v>
          </cell>
          <cell r="Z420">
            <v>20211</v>
          </cell>
        </row>
        <row r="421">
          <cell r="A421" t="str">
            <v>TRO: UTILITIES FY15 - WATER</v>
          </cell>
          <cell r="B421" t="str">
            <v>TRO</v>
          </cell>
          <cell r="C421" t="str">
            <v>TRO-WTR</v>
          </cell>
          <cell r="D421" t="str">
            <v>TRO-WTR-14</v>
          </cell>
          <cell r="E421" t="str">
            <v>TRO-WTR-13</v>
          </cell>
          <cell r="F421" t="str">
            <v>TRO-WTR-12</v>
          </cell>
          <cell r="G421" t="str">
            <v>TRO-WTR-11</v>
          </cell>
          <cell r="H421" t="str">
            <v>TRO-WTR-10</v>
          </cell>
          <cell r="I421" t="str">
            <v>TRO-WTR-09</v>
          </cell>
          <cell r="J421" t="str">
            <v>TRO-WTR-08</v>
          </cell>
          <cell r="K421" t="str">
            <v>TRO-WTR-07</v>
          </cell>
          <cell r="L421" t="str">
            <v>SWO008976</v>
          </cell>
          <cell r="M421" t="str">
            <v>SWO005983</v>
          </cell>
          <cell r="N421" t="str">
            <v>SWO003451</v>
          </cell>
          <cell r="O421" t="str">
            <v>SWO002513</v>
          </cell>
          <cell r="P421" t="str">
            <v>SWO001764</v>
          </cell>
          <cell r="Q421" t="str">
            <v>SWO001310</v>
          </cell>
          <cell r="R421" t="str">
            <v>SWO000857</v>
          </cell>
          <cell r="S421">
            <v>22563</v>
          </cell>
          <cell r="T421">
            <v>1201</v>
          </cell>
          <cell r="U421" t="str">
            <v>TRO</v>
          </cell>
          <cell r="W421" t="str">
            <v>Trojan Hall - Water</v>
          </cell>
          <cell r="X421" t="str">
            <v>Y</v>
          </cell>
          <cell r="Y421" t="str">
            <v>17-8701-0306</v>
          </cell>
          <cell r="Z421">
            <v>20212</v>
          </cell>
        </row>
        <row r="422">
          <cell r="A422" t="str">
            <v>TRO: UTILITIES CHILLED WATER FY15</v>
          </cell>
          <cell r="B422" t="str">
            <v>TRO</v>
          </cell>
          <cell r="C422" t="str">
            <v>TRO-UCW</v>
          </cell>
          <cell r="D422" t="str">
            <v>TRO-UCW14</v>
          </cell>
          <cell r="E422" t="str">
            <v>TRO-UCW13</v>
          </cell>
          <cell r="F422" t="str">
            <v>TRO-UCW12</v>
          </cell>
          <cell r="G422" t="str">
            <v>TRO-UCW11</v>
          </cell>
          <cell r="H422" t="str">
            <v>TRO-UCW10</v>
          </cell>
          <cell r="I422" t="str">
            <v>TRO-UCW09</v>
          </cell>
          <cell r="J422" t="str">
            <v>TRO-UCW08</v>
          </cell>
          <cell r="K422" t="str">
            <v>TRO-UCW07</v>
          </cell>
          <cell r="L422" t="str">
            <v>TRO-UCW06</v>
          </cell>
          <cell r="M422" t="str">
            <v>TRO-UCW05</v>
          </cell>
          <cell r="W422" t="str">
            <v xml:space="preserve">TRO: UTILITIES CHILLED WATER </v>
          </cell>
        </row>
        <row r="423">
          <cell r="A423" t="str">
            <v>TRO: UTILITIES DEBT SERVICE FY15</v>
          </cell>
          <cell r="B423" t="str">
            <v>TRO</v>
          </cell>
          <cell r="C423" t="str">
            <v>TRO-UDS</v>
          </cell>
          <cell r="D423" t="str">
            <v>TRO-UDS14</v>
          </cell>
          <cell r="E423" t="str">
            <v>TRO-UDS13</v>
          </cell>
          <cell r="F423" t="str">
            <v>TRO-UDS12</v>
          </cell>
          <cell r="G423" t="str">
            <v>TRO-UDS11</v>
          </cell>
          <cell r="H423" t="str">
            <v>TRO-UDS10</v>
          </cell>
          <cell r="I423" t="str">
            <v>TRO-UDS09</v>
          </cell>
          <cell r="J423" t="str">
            <v>TRO-UDS08</v>
          </cell>
          <cell r="K423" t="str">
            <v>TRO-UDS07</v>
          </cell>
          <cell r="L423" t="str">
            <v>TRO-UDS06</v>
          </cell>
          <cell r="M423" t="str">
            <v>TRO-UDS05</v>
          </cell>
          <cell r="W423" t="str">
            <v xml:space="preserve">TRO: UTILITIES DEBT SERVICE </v>
          </cell>
        </row>
        <row r="424">
          <cell r="A424" t="str">
            <v>TRO: UTILITIES MAINT FY15</v>
          </cell>
          <cell r="B424">
            <v>0</v>
          </cell>
          <cell r="C424" t="str">
            <v>TRO-UMT</v>
          </cell>
          <cell r="D424" t="str">
            <v>TRO-UMT14</v>
          </cell>
          <cell r="E424" t="str">
            <v>TRO-UMT13</v>
          </cell>
          <cell r="F424" t="str">
            <v>TRO-UMT12</v>
          </cell>
          <cell r="G424" t="str">
            <v>TRO-UMT11</v>
          </cell>
          <cell r="H424" t="str">
            <v>TRO-UMT10</v>
          </cell>
          <cell r="I424" t="str">
            <v>TRO-UMT09</v>
          </cell>
          <cell r="J424" t="str">
            <v>TRO-UMT08</v>
          </cell>
          <cell r="K424" t="str">
            <v>TRO-UMT07</v>
          </cell>
          <cell r="L424" t="str">
            <v>TRO-UMT06</v>
          </cell>
          <cell r="M424" t="str">
            <v>TRO-UMT05</v>
          </cell>
          <cell r="W424" t="str">
            <v xml:space="preserve">TRO: UTILITIES MAINT </v>
          </cell>
        </row>
        <row r="425">
          <cell r="A425" t="str">
            <v>TRO: UTILITIES FY15 - GAS/WATER/ELECTRIC</v>
          </cell>
          <cell r="B425" t="str">
            <v>TRO</v>
          </cell>
          <cell r="C425" t="str">
            <v>TRO-EGW</v>
          </cell>
          <cell r="D425" t="str">
            <v>TRO-EGW-14</v>
          </cell>
          <cell r="E425" t="str">
            <v>TRO-EGW-13</v>
          </cell>
          <cell r="F425" t="str">
            <v>TRO-EGW-12</v>
          </cell>
          <cell r="G425" t="str">
            <v>TRO-EGW-11</v>
          </cell>
          <cell r="H425" t="str">
            <v>TRO-EGW-10</v>
          </cell>
          <cell r="I425" t="str">
            <v>TRO-EGW-09</v>
          </cell>
          <cell r="J425" t="str">
            <v>TRO-EGW-08</v>
          </cell>
          <cell r="K425" t="str">
            <v>TRO-EGW-07</v>
          </cell>
          <cell r="L425" t="str">
            <v>TRO-EGW-06</v>
          </cell>
          <cell r="M425" t="str">
            <v>TRO-EGW-05</v>
          </cell>
          <cell r="N425" t="str">
            <v>SWO003261</v>
          </cell>
          <cell r="O425" t="str">
            <v>SWO000858</v>
          </cell>
          <cell r="P425" t="str">
            <v>SWO000858</v>
          </cell>
          <cell r="Q425" t="str">
            <v>SWO000858</v>
          </cell>
          <cell r="R425" t="str">
            <v>SWO000858</v>
          </cell>
          <cell r="S425">
            <v>22564</v>
          </cell>
          <cell r="T425" t="str">
            <v>1200</v>
          </cell>
          <cell r="U425" t="str">
            <v>TRO</v>
          </cell>
          <cell r="W425" t="str">
            <v xml:space="preserve">TRO: UTILITIES G/W/E </v>
          </cell>
          <cell r="X425" t="str">
            <v>N</v>
          </cell>
        </row>
        <row r="426">
          <cell r="A426" t="str">
            <v>PCE: UTILITIES FY15 - GAS/WATER/ELECTRIC</v>
          </cell>
          <cell r="B426" t="str">
            <v>PCE</v>
          </cell>
          <cell r="C426" t="str">
            <v>PCE-EGW</v>
          </cell>
          <cell r="D426" t="str">
            <v>PCE-EGW-14</v>
          </cell>
          <cell r="E426" t="str">
            <v>PCE-EGW-13</v>
          </cell>
          <cell r="F426" t="str">
            <v>PCE-EGW-12</v>
          </cell>
          <cell r="G426" t="str">
            <v>PCE-EGW-11</v>
          </cell>
          <cell r="H426" t="str">
            <v>PCE-EGW-10</v>
          </cell>
          <cell r="I426" t="str">
            <v>PCE-EGW-09</v>
          </cell>
          <cell r="J426" t="str">
            <v>PCE-EGW-08</v>
          </cell>
          <cell r="K426" t="str">
            <v>PCE-EGW-07</v>
          </cell>
          <cell r="L426" t="str">
            <v>PCE-EGW-06</v>
          </cell>
          <cell r="M426" t="str">
            <v>PCE-EGW-05</v>
          </cell>
          <cell r="N426" t="str">
            <v>SWO003213</v>
          </cell>
          <cell r="O426" t="str">
            <v>SWO000859</v>
          </cell>
          <cell r="P426" t="str">
            <v>SWO000859</v>
          </cell>
          <cell r="Q426" t="str">
            <v>SWO000859</v>
          </cell>
          <cell r="R426" t="str">
            <v>SWO000859</v>
          </cell>
          <cell r="S426">
            <v>22567</v>
          </cell>
          <cell r="T426" t="str">
            <v>1210</v>
          </cell>
          <cell r="U426" t="str">
            <v>PCE</v>
          </cell>
          <cell r="W426" t="str">
            <v xml:space="preserve">PCE: UTILITIES G/W/E </v>
          </cell>
          <cell r="X426" t="str">
            <v>N</v>
          </cell>
        </row>
        <row r="427">
          <cell r="A427" t="str">
            <v>PCE: UTILITIES CHILLED WATER FY15</v>
          </cell>
          <cell r="B427" t="str">
            <v>PCE</v>
          </cell>
          <cell r="C427" t="str">
            <v>PCE-UCW</v>
          </cell>
          <cell r="D427" t="str">
            <v>PCE-UCW14</v>
          </cell>
          <cell r="E427" t="str">
            <v>PCE-UCW13</v>
          </cell>
          <cell r="F427" t="str">
            <v>PCE-UCW12</v>
          </cell>
          <cell r="G427" t="str">
            <v>PCE-UCW11</v>
          </cell>
          <cell r="H427" t="str">
            <v>PCE-UCW10</v>
          </cell>
          <cell r="I427" t="str">
            <v>PCE-UCW09</v>
          </cell>
          <cell r="J427" t="str">
            <v>PCE-UCW08</v>
          </cell>
          <cell r="K427" t="str">
            <v>PCE-UCW07</v>
          </cell>
          <cell r="L427" t="str">
            <v>PCE-UCW06</v>
          </cell>
          <cell r="M427" t="str">
            <v>PCE-UCW05</v>
          </cell>
          <cell r="W427" t="str">
            <v xml:space="preserve">PCE: UTILITIES CHILLED WATER </v>
          </cell>
        </row>
        <row r="428">
          <cell r="A428" t="str">
            <v>PCE: UTILITIES DEBT SERVICE FY15</v>
          </cell>
          <cell r="B428" t="str">
            <v>PCE</v>
          </cell>
          <cell r="C428" t="str">
            <v>PCE-UDS</v>
          </cell>
          <cell r="D428" t="str">
            <v>PCE-UDS14</v>
          </cell>
          <cell r="E428" t="str">
            <v>PCE-UDS13</v>
          </cell>
          <cell r="F428" t="str">
            <v>PCE-UDS12</v>
          </cell>
          <cell r="G428" t="str">
            <v>PCE-UDS11</v>
          </cell>
          <cell r="H428" t="str">
            <v>PCE-UDS10</v>
          </cell>
          <cell r="I428" t="str">
            <v>PCE-UDS09</v>
          </cell>
          <cell r="J428" t="str">
            <v>PCE-UDS08</v>
          </cell>
          <cell r="K428" t="str">
            <v>PCE-UDS07</v>
          </cell>
          <cell r="L428" t="str">
            <v>PCE-UDS06</v>
          </cell>
          <cell r="M428" t="str">
            <v>PCE-UDS05</v>
          </cell>
          <cell r="W428" t="str">
            <v xml:space="preserve">PCE: UTILITIES DEBT SERVICE </v>
          </cell>
        </row>
        <row r="429">
          <cell r="A429" t="str">
            <v>PCE: UTILITIES MAINT FY15</v>
          </cell>
          <cell r="B429">
            <v>0</v>
          </cell>
          <cell r="C429" t="str">
            <v>PCE-UMT</v>
          </cell>
          <cell r="D429" t="str">
            <v>PCE-UMT14</v>
          </cell>
          <cell r="E429" t="str">
            <v>PCE-UMT13</v>
          </cell>
          <cell r="F429" t="str">
            <v>PCE-UMT12</v>
          </cell>
          <cell r="G429" t="str">
            <v>PCE-UMT11</v>
          </cell>
          <cell r="H429" t="str">
            <v>PCE-UMT10</v>
          </cell>
          <cell r="I429" t="str">
            <v>PCE-UMT09</v>
          </cell>
          <cell r="J429" t="str">
            <v>PCE-UMT08</v>
          </cell>
          <cell r="K429" t="str">
            <v>PCE-UMT07</v>
          </cell>
          <cell r="L429" t="str">
            <v>PCE-UMT06</v>
          </cell>
          <cell r="M429" t="str">
            <v>PCE-UMT05</v>
          </cell>
          <cell r="W429" t="str">
            <v xml:space="preserve">PCE: UTILITIES MAINT </v>
          </cell>
        </row>
        <row r="430">
          <cell r="B430" t="str">
            <v>MCS</v>
          </cell>
          <cell r="M430" t="str">
            <v>DEMOLISHED</v>
          </cell>
          <cell r="O430" t="str">
            <v>SWO001027</v>
          </cell>
          <cell r="P430" t="str">
            <v>SWO001027</v>
          </cell>
          <cell r="Q430" t="str">
            <v>SWO001027</v>
          </cell>
          <cell r="R430" t="str">
            <v>SWO001027</v>
          </cell>
          <cell r="S430">
            <v>27845</v>
          </cell>
          <cell r="T430" t="str">
            <v>1230</v>
          </cell>
          <cell r="U430" t="str">
            <v>MCS</v>
          </cell>
          <cell r="W430" t="str">
            <v>Institute of Marine Study - Electric, Gas &amp; Wate</v>
          </cell>
          <cell r="X430" t="str">
            <v>N</v>
          </cell>
        </row>
        <row r="431">
          <cell r="A431" t="str">
            <v>FIG: UTILITIES FY15 - GAS/WATER/ELECTRIC</v>
          </cell>
          <cell r="B431" t="str">
            <v>FIG</v>
          </cell>
          <cell r="C431" t="str">
            <v>FIG-EGW</v>
          </cell>
          <cell r="D431" t="str">
            <v>FIG-EGW-14</v>
          </cell>
          <cell r="E431" t="str">
            <v>FIG-EGW-13</v>
          </cell>
          <cell r="F431" t="str">
            <v>FIG-EGW-12</v>
          </cell>
          <cell r="G431" t="str">
            <v>FIG-EGW-11</v>
          </cell>
          <cell r="H431" t="str">
            <v>FIG-EGW-10</v>
          </cell>
          <cell r="I431" t="str">
            <v>FIG-EGW-09</v>
          </cell>
          <cell r="J431" t="str">
            <v>FIG-EGW-08</v>
          </cell>
          <cell r="K431" t="str">
            <v>FIG-EGW-07</v>
          </cell>
          <cell r="L431" t="str">
            <v>FIG-EGW-06</v>
          </cell>
          <cell r="M431" t="str">
            <v>FIG-EGW-05</v>
          </cell>
          <cell r="N431" t="str">
            <v>SWO003149</v>
          </cell>
          <cell r="O431" t="str">
            <v>SWO000860</v>
          </cell>
          <cell r="P431" t="str">
            <v>SWO000860</v>
          </cell>
          <cell r="Q431" t="str">
            <v>SWO000860</v>
          </cell>
          <cell r="R431" t="str">
            <v>SWO000860</v>
          </cell>
          <cell r="S431">
            <v>22568</v>
          </cell>
          <cell r="T431" t="str">
            <v>1260</v>
          </cell>
          <cell r="U431" t="str">
            <v>FIG</v>
          </cell>
          <cell r="W431" t="str">
            <v xml:space="preserve">FIG: UTILITIES G/W/E </v>
          </cell>
          <cell r="X431" t="str">
            <v>N</v>
          </cell>
        </row>
        <row r="432">
          <cell r="A432" t="str">
            <v>FIG: UTILITIES CHILLED WATER FY15</v>
          </cell>
          <cell r="B432" t="str">
            <v>FIG</v>
          </cell>
          <cell r="C432" t="str">
            <v>FIG-UCW</v>
          </cell>
          <cell r="D432" t="str">
            <v>FIG-UCW14</v>
          </cell>
          <cell r="E432" t="str">
            <v>FIG-UCW13</v>
          </cell>
          <cell r="F432" t="str">
            <v>FIG-UCW12</v>
          </cell>
          <cell r="G432" t="str">
            <v>FIG-UCW11</v>
          </cell>
          <cell r="H432" t="str">
            <v>FIG-UCW10</v>
          </cell>
          <cell r="I432" t="str">
            <v>FIG-UCW09</v>
          </cell>
          <cell r="J432" t="str">
            <v>FIG-UCW08</v>
          </cell>
          <cell r="K432" t="str">
            <v>FIG-UCW07</v>
          </cell>
          <cell r="L432" t="str">
            <v>FIG-UCW06</v>
          </cell>
          <cell r="M432" t="str">
            <v>FIG-UCW05</v>
          </cell>
          <cell r="W432" t="str">
            <v xml:space="preserve">FIG: UTILITIES CHILLED WATER </v>
          </cell>
        </row>
        <row r="433">
          <cell r="A433" t="str">
            <v>FIG: UTILITIES DEBT SERVICE FY15</v>
          </cell>
          <cell r="B433" t="str">
            <v>FIG</v>
          </cell>
          <cell r="C433" t="str">
            <v>FIG-UDS</v>
          </cell>
          <cell r="D433" t="str">
            <v>FIG-UDS14</v>
          </cell>
          <cell r="E433" t="str">
            <v>FIG-UDS13</v>
          </cell>
          <cell r="F433" t="str">
            <v>FIG-UDS12</v>
          </cell>
          <cell r="G433" t="str">
            <v>FIG-UDS11</v>
          </cell>
          <cell r="H433" t="str">
            <v>FIG-UDS10</v>
          </cell>
          <cell r="I433" t="str">
            <v>FIG-UDS09</v>
          </cell>
          <cell r="J433" t="str">
            <v>FIG-UDS08</v>
          </cell>
          <cell r="K433" t="str">
            <v>FIG-UDS07</v>
          </cell>
          <cell r="L433" t="str">
            <v>FIG-UDS06</v>
          </cell>
          <cell r="M433" t="str">
            <v>FIG-UDS05</v>
          </cell>
          <cell r="W433" t="str">
            <v xml:space="preserve">FIG: UTILITIES DEBT SERVICE </v>
          </cell>
        </row>
        <row r="434">
          <cell r="A434" t="str">
            <v>FIG: UTILITIES MAINT FY15</v>
          </cell>
          <cell r="B434">
            <v>0</v>
          </cell>
          <cell r="C434" t="str">
            <v>FIG-UMT</v>
          </cell>
          <cell r="D434" t="str">
            <v>FIG-UMT14</v>
          </cell>
          <cell r="E434" t="str">
            <v>FIG-UMT13</v>
          </cell>
          <cell r="F434" t="str">
            <v>FIG-UMT12</v>
          </cell>
          <cell r="G434" t="str">
            <v>FIG-UMT11</v>
          </cell>
          <cell r="H434" t="str">
            <v>FIG-UMT10</v>
          </cell>
          <cell r="I434" t="str">
            <v>FIG-UMT09</v>
          </cell>
          <cell r="J434" t="str">
            <v>FIG-UMT08</v>
          </cell>
          <cell r="K434" t="str">
            <v>FIG-UMT07</v>
          </cell>
          <cell r="L434" t="str">
            <v>FIG-UMT06</v>
          </cell>
          <cell r="M434" t="str">
            <v>FIG-UMT05</v>
          </cell>
          <cell r="W434" t="str">
            <v xml:space="preserve">FIG: UTILITIES MAINT </v>
          </cell>
        </row>
        <row r="435">
          <cell r="A435" t="str">
            <v>CLH: UTILITIES FY15 - GAS/WATER/ELECTRIC</v>
          </cell>
          <cell r="B435" t="str">
            <v>CLH</v>
          </cell>
          <cell r="C435" t="str">
            <v>CLH-EGW</v>
          </cell>
          <cell r="D435" t="str">
            <v>CLH-EGW-14</v>
          </cell>
          <cell r="E435" t="str">
            <v>CLH-EGW-13</v>
          </cell>
          <cell r="F435" t="str">
            <v>CLH-EGW-12</v>
          </cell>
          <cell r="G435" t="str">
            <v>CLH-EGW-11</v>
          </cell>
          <cell r="H435" t="str">
            <v>CLH-EGW-10</v>
          </cell>
          <cell r="I435" t="str">
            <v>FWH-EGW-09</v>
          </cell>
          <cell r="J435" t="str">
            <v>FWH-EGW-08</v>
          </cell>
          <cell r="K435" t="str">
            <v>FWH-EGW-07</v>
          </cell>
          <cell r="L435" t="str">
            <v>FWH-EGW-06</v>
          </cell>
          <cell r="M435" t="str">
            <v>FWH-EGW-05</v>
          </cell>
          <cell r="N435" t="str">
            <v>SWO003152</v>
          </cell>
          <cell r="O435" t="str">
            <v>SWO000861</v>
          </cell>
          <cell r="P435" t="str">
            <v>SWO000861</v>
          </cell>
          <cell r="Q435" t="str">
            <v>SWO000861</v>
          </cell>
          <cell r="R435" t="str">
            <v>SWO000861</v>
          </cell>
          <cell r="S435">
            <v>22569</v>
          </cell>
          <cell r="T435" t="str">
            <v>1270</v>
          </cell>
          <cell r="U435" t="str">
            <v>CLH</v>
          </cell>
          <cell r="W435" t="str">
            <v xml:space="preserve">FWH: UTILITIES G/W/E </v>
          </cell>
          <cell r="X435" t="str">
            <v>N</v>
          </cell>
        </row>
        <row r="436">
          <cell r="A436" t="str">
            <v>CLH: UTILITIES CHILLED WATER FY15</v>
          </cell>
          <cell r="B436" t="str">
            <v>CLH</v>
          </cell>
          <cell r="C436" t="str">
            <v>CLH-UCW</v>
          </cell>
          <cell r="D436" t="str">
            <v>CLH-UCW14</v>
          </cell>
          <cell r="E436" t="str">
            <v>CLH-UCW13</v>
          </cell>
          <cell r="F436" t="str">
            <v>CLH-UCW12</v>
          </cell>
          <cell r="G436" t="str">
            <v>CLH-UCW11</v>
          </cell>
          <cell r="H436" t="str">
            <v>CLH-UCW10</v>
          </cell>
          <cell r="I436" t="str">
            <v>FWH-UCW09</v>
          </cell>
          <cell r="J436" t="str">
            <v>FWH-UCW08</v>
          </cell>
          <cell r="K436" t="str">
            <v>FWH-UCW07</v>
          </cell>
          <cell r="L436" t="str">
            <v>FWH-UCW06</v>
          </cell>
          <cell r="M436" t="str">
            <v>FWH-UCW05</v>
          </cell>
          <cell r="W436" t="str">
            <v xml:space="preserve">FWH: UTILITIES CHILLED WATER </v>
          </cell>
        </row>
        <row r="437">
          <cell r="A437" t="str">
            <v>CLH: UTILITIES DEBT SERVICE FY15</v>
          </cell>
          <cell r="B437" t="str">
            <v>CLH</v>
          </cell>
          <cell r="C437" t="str">
            <v>CLH-UDS</v>
          </cell>
          <cell r="D437" t="str">
            <v>CLH-UDS14</v>
          </cell>
          <cell r="E437" t="str">
            <v>CLH-UDS13</v>
          </cell>
          <cell r="F437" t="str">
            <v>CLH-UDS12</v>
          </cell>
          <cell r="G437" t="str">
            <v>CLH-UDS11</v>
          </cell>
          <cell r="H437" t="str">
            <v>CLH-UDS10</v>
          </cell>
          <cell r="I437" t="str">
            <v>FWH-UDS09</v>
          </cell>
          <cell r="J437" t="str">
            <v>FWH-UDS08</v>
          </cell>
          <cell r="K437" t="str">
            <v>FWH-UDS07</v>
          </cell>
          <cell r="L437" t="str">
            <v>FWH-UDS06</v>
          </cell>
          <cell r="M437" t="str">
            <v>FWH-UDS05</v>
          </cell>
          <cell r="W437" t="str">
            <v xml:space="preserve">FWH: UTILITIES DEBT SERVICE </v>
          </cell>
        </row>
        <row r="438">
          <cell r="A438" t="str">
            <v>CLH: UTILITIES MAINT FY15</v>
          </cell>
          <cell r="B438">
            <v>0</v>
          </cell>
          <cell r="C438" t="str">
            <v>CLH-UMT</v>
          </cell>
          <cell r="D438" t="str">
            <v>CLH-UMT14</v>
          </cell>
          <cell r="E438" t="str">
            <v>CLH-UMT13</v>
          </cell>
          <cell r="F438" t="str">
            <v>CLH-UMT12</v>
          </cell>
          <cell r="G438" t="str">
            <v>CLH-UMT11</v>
          </cell>
          <cell r="H438" t="str">
            <v>CLH-UMT10</v>
          </cell>
          <cell r="I438" t="str">
            <v>FWH-UMT09</v>
          </cell>
          <cell r="J438" t="str">
            <v>FWH-UMT08</v>
          </cell>
          <cell r="K438" t="str">
            <v>FWH-UMT07</v>
          </cell>
          <cell r="L438" t="str">
            <v>FWH-UMT06</v>
          </cell>
          <cell r="M438" t="str">
            <v>FWH-UMT05</v>
          </cell>
          <cell r="W438" t="str">
            <v xml:space="preserve">FWH: UTILITIES MAINT </v>
          </cell>
        </row>
        <row r="439">
          <cell r="A439" t="str">
            <v>MAC: UTILITIES FY15 - GAS/WATER/ELECTRIC</v>
          </cell>
          <cell r="B439" t="str">
            <v>MAC</v>
          </cell>
          <cell r="C439" t="str">
            <v>MAC-EGW</v>
          </cell>
          <cell r="D439" t="str">
            <v>MAC-EGW-14</v>
          </cell>
          <cell r="E439" t="str">
            <v>MAC-EGW-13</v>
          </cell>
          <cell r="F439" t="str">
            <v>MAC-EGW-12</v>
          </cell>
          <cell r="G439" t="str">
            <v>MAC-EGW-11</v>
          </cell>
          <cell r="H439" t="str">
            <v>MAC-EGW-10</v>
          </cell>
          <cell r="I439" t="str">
            <v>MAC-EGW-09</v>
          </cell>
          <cell r="J439" t="str">
            <v>MAC-EGW-08</v>
          </cell>
          <cell r="K439" t="str">
            <v>MAC-EGW-07</v>
          </cell>
          <cell r="L439" t="str">
            <v>MAC-EGW-06</v>
          </cell>
          <cell r="M439" t="str">
            <v>MAC-EGW-05</v>
          </cell>
          <cell r="N439" t="str">
            <v>SWO003193</v>
          </cell>
          <cell r="O439" t="str">
            <v>SWO000862</v>
          </cell>
          <cell r="P439" t="str">
            <v>SWO000862</v>
          </cell>
          <cell r="Q439" t="str">
            <v>SWO000862</v>
          </cell>
          <cell r="R439" t="str">
            <v>SWO000862</v>
          </cell>
          <cell r="S439">
            <v>22570</v>
          </cell>
          <cell r="T439" t="str">
            <v>1280</v>
          </cell>
          <cell r="U439" t="str">
            <v>MAC</v>
          </cell>
          <cell r="W439" t="str">
            <v xml:space="preserve">MAC: UTILITIES G/W/E </v>
          </cell>
          <cell r="X439" t="str">
            <v>N</v>
          </cell>
        </row>
        <row r="440">
          <cell r="A440" t="str">
            <v>MAC: UTILITIES CHILLED WATER FY15</v>
          </cell>
          <cell r="B440" t="str">
            <v>MAC</v>
          </cell>
          <cell r="C440" t="str">
            <v>MAC-UCW</v>
          </cell>
          <cell r="D440" t="str">
            <v>MAC-UCW14</v>
          </cell>
          <cell r="E440" t="str">
            <v>MAC-UCW13</v>
          </cell>
          <cell r="F440" t="str">
            <v>MAC-UCW12</v>
          </cell>
          <cell r="G440" t="str">
            <v>MAC-UCW11</v>
          </cell>
          <cell r="H440" t="str">
            <v>MAC-UCW10</v>
          </cell>
          <cell r="I440" t="str">
            <v>MAC-UCW09</v>
          </cell>
          <cell r="J440" t="str">
            <v>MAC-UCW08</v>
          </cell>
          <cell r="K440" t="str">
            <v>MAC-UCW07</v>
          </cell>
          <cell r="L440" t="str">
            <v>MAC-UCW06</v>
          </cell>
          <cell r="M440" t="str">
            <v>MAC-UCW05</v>
          </cell>
          <cell r="W440" t="str">
            <v xml:space="preserve">MAC: UTILITIES CHILLED WATER </v>
          </cell>
        </row>
        <row r="441">
          <cell r="A441" t="str">
            <v>MAC: UTILITIES DEBT SERVICE FY15</v>
          </cell>
          <cell r="B441" t="str">
            <v>MAC</v>
          </cell>
          <cell r="C441" t="str">
            <v>MAC-UDS</v>
          </cell>
          <cell r="D441" t="str">
            <v>MAC-UDS14</v>
          </cell>
          <cell r="E441" t="str">
            <v>MAC-UDS13</v>
          </cell>
          <cell r="F441" t="str">
            <v>MAC-UDS12</v>
          </cell>
          <cell r="G441" t="str">
            <v>MAC-UDS11</v>
          </cell>
          <cell r="H441" t="str">
            <v>MAC-UDS10</v>
          </cell>
          <cell r="I441" t="str">
            <v>MAC-UDS09</v>
          </cell>
          <cell r="J441" t="str">
            <v>MAC-UDS08</v>
          </cell>
          <cell r="K441" t="str">
            <v>MAC-UDS07</v>
          </cell>
          <cell r="L441" t="str">
            <v>MAC-UDS06</v>
          </cell>
          <cell r="M441" t="str">
            <v>MAC-UDS05</v>
          </cell>
          <cell r="W441" t="str">
            <v xml:space="preserve">MAC: UTILITIES DEBT SERVICE </v>
          </cell>
        </row>
        <row r="442">
          <cell r="A442" t="str">
            <v>MAC: UTILITIES MAINT FY15</v>
          </cell>
          <cell r="B442">
            <v>0</v>
          </cell>
          <cell r="C442" t="str">
            <v>MAC-UMT</v>
          </cell>
          <cell r="D442" t="str">
            <v>MAC-UMT14</v>
          </cell>
          <cell r="E442" t="str">
            <v>MAC-UMT13</v>
          </cell>
          <cell r="F442" t="str">
            <v>MAC-UMT12</v>
          </cell>
          <cell r="G442" t="str">
            <v>MAC-UMT11</v>
          </cell>
          <cell r="H442" t="str">
            <v>MAC-UMT10</v>
          </cell>
          <cell r="I442" t="str">
            <v>MAC-UMT09</v>
          </cell>
          <cell r="J442" t="str">
            <v>MAC-UMT08</v>
          </cell>
          <cell r="K442" t="str">
            <v>MAC-UMT07</v>
          </cell>
          <cell r="L442" t="str">
            <v>MAC-UMT06</v>
          </cell>
          <cell r="M442" t="str">
            <v>MAC-UMT05</v>
          </cell>
          <cell r="W442" t="str">
            <v xml:space="preserve">MAC: UTILITIES MAINT </v>
          </cell>
        </row>
        <row r="443">
          <cell r="A443" t="str">
            <v>JEF: UTILITIES FY15 - GAS/WATER/ELECTRIC</v>
          </cell>
          <cell r="B443" t="str">
            <v>JEF</v>
          </cell>
          <cell r="C443" t="str">
            <v>JEF-EGW</v>
          </cell>
          <cell r="D443" t="str">
            <v>JEF-EGW-14</v>
          </cell>
          <cell r="E443" t="str">
            <v>JEF-EGW-13</v>
          </cell>
          <cell r="F443" t="str">
            <v>JEF-EGW-12</v>
          </cell>
          <cell r="G443" t="str">
            <v>JEF-EGW-11</v>
          </cell>
          <cell r="H443" t="str">
            <v>JEF-EGW-10</v>
          </cell>
          <cell r="I443" t="str">
            <v>JEF-EGW-09</v>
          </cell>
          <cell r="J443" t="str">
            <v>JEF-EGW-08</v>
          </cell>
          <cell r="K443" t="str">
            <v>JEF-EGW-07</v>
          </cell>
          <cell r="L443" t="str">
            <v>JEF-EGW-06</v>
          </cell>
          <cell r="M443" t="str">
            <v>JEF-EGW-05</v>
          </cell>
          <cell r="N443" t="str">
            <v>SWO003175</v>
          </cell>
          <cell r="O443" t="str">
            <v>SWO000863</v>
          </cell>
          <cell r="P443" t="str">
            <v>SWO000863</v>
          </cell>
          <cell r="Q443" t="str">
            <v>SWO000863</v>
          </cell>
          <cell r="R443" t="str">
            <v>SWO000863</v>
          </cell>
          <cell r="S443">
            <v>22571</v>
          </cell>
          <cell r="T443" t="str">
            <v>1290</v>
          </cell>
          <cell r="U443" t="str">
            <v>JEF</v>
          </cell>
          <cell r="W443" t="str">
            <v xml:space="preserve">JEF: UTILITIES G/W/E </v>
          </cell>
          <cell r="X443" t="str">
            <v>N</v>
          </cell>
        </row>
        <row r="444">
          <cell r="A444" t="str">
            <v>JEF: UTILITIES CHILLED WATER FY15</v>
          </cell>
          <cell r="B444" t="str">
            <v>JEF</v>
          </cell>
          <cell r="C444" t="str">
            <v>JEF-UCW</v>
          </cell>
          <cell r="D444" t="str">
            <v>JEF-UCW14</v>
          </cell>
          <cell r="E444" t="str">
            <v>JEF-UCW13</v>
          </cell>
          <cell r="F444" t="str">
            <v>JEF-UCW12</v>
          </cell>
          <cell r="G444" t="str">
            <v>JEF-UCW11</v>
          </cell>
          <cell r="H444" t="str">
            <v>JEF-UCW10</v>
          </cell>
          <cell r="I444" t="str">
            <v>JEF-UCW09</v>
          </cell>
          <cell r="J444" t="str">
            <v>JEF-UCW08</v>
          </cell>
          <cell r="K444" t="str">
            <v>JEF-UCW07</v>
          </cell>
          <cell r="L444" t="str">
            <v>JEF-UCW06</v>
          </cell>
          <cell r="M444" t="str">
            <v>JEF-UCW05</v>
          </cell>
          <cell r="W444" t="str">
            <v xml:space="preserve">JEF: UTILITIES CHILLED WATER </v>
          </cell>
        </row>
        <row r="445">
          <cell r="A445" t="str">
            <v>JEF: UTILITIES DEBT SERVICE FY15</v>
          </cell>
          <cell r="B445" t="str">
            <v>JEF</v>
          </cell>
          <cell r="C445" t="str">
            <v>JEF-UDS</v>
          </cell>
          <cell r="D445" t="str">
            <v>JEF-UDS14</v>
          </cell>
          <cell r="E445" t="str">
            <v>JEF-UDS13</v>
          </cell>
          <cell r="F445" t="str">
            <v>JEF-UDS12</v>
          </cell>
          <cell r="G445" t="str">
            <v>JEF-UDS11</v>
          </cell>
          <cell r="H445" t="str">
            <v>JEF-UDS10</v>
          </cell>
          <cell r="I445" t="str">
            <v>JEF-UDS09</v>
          </cell>
          <cell r="J445" t="str">
            <v>JEF-UDS08</v>
          </cell>
          <cell r="K445" t="str">
            <v>JEF-UDS07</v>
          </cell>
          <cell r="L445" t="str">
            <v>JEF-UDS06</v>
          </cell>
          <cell r="M445" t="str">
            <v>JEF-UDS05</v>
          </cell>
          <cell r="W445" t="str">
            <v xml:space="preserve">JEF: UTILITIES DEBT SERVICE </v>
          </cell>
        </row>
        <row r="446">
          <cell r="A446" t="str">
            <v>JEF: UTILITIES MAINT FY15</v>
          </cell>
          <cell r="B446">
            <v>0</v>
          </cell>
          <cell r="C446" t="str">
            <v>JEF-UMT</v>
          </cell>
          <cell r="D446" t="str">
            <v>JEF-UMT14</v>
          </cell>
          <cell r="E446" t="str">
            <v>JEF-UMT13</v>
          </cell>
          <cell r="F446" t="str">
            <v>JEF-UMT12</v>
          </cell>
          <cell r="G446" t="str">
            <v>JEF-UMT11</v>
          </cell>
          <cell r="H446" t="str">
            <v>JEF-UMT10</v>
          </cell>
          <cell r="I446" t="str">
            <v>JEF-UMT09</v>
          </cell>
          <cell r="J446" t="str">
            <v>JEF-UMT08</v>
          </cell>
          <cell r="K446" t="str">
            <v>JEF-UMT07</v>
          </cell>
          <cell r="L446" t="str">
            <v>JEF-UMT06</v>
          </cell>
          <cell r="M446" t="str">
            <v>JEF-UMT05</v>
          </cell>
          <cell r="W446" t="str">
            <v xml:space="preserve">JEF: UTILITIES MAINT </v>
          </cell>
        </row>
        <row r="447">
          <cell r="A447" t="str">
            <v>PSX: UTILITIES FY15 - ELECTRIC, AUXILIARY</v>
          </cell>
          <cell r="B447" t="str">
            <v>PSX1</v>
          </cell>
          <cell r="C447" t="str">
            <v>PSX-ELC</v>
          </cell>
          <cell r="D447" t="str">
            <v>PSX-ELC-14</v>
          </cell>
          <cell r="E447" t="str">
            <v>PSX-ELC-13</v>
          </cell>
          <cell r="F447" t="str">
            <v>PSX-ELC-12</v>
          </cell>
          <cell r="G447" t="str">
            <v>PSX-ELC-11</v>
          </cell>
          <cell r="H447" t="str">
            <v>PSX-ELC-10</v>
          </cell>
          <cell r="I447" t="str">
            <v>PSX-ELC-09</v>
          </cell>
          <cell r="J447" t="str">
            <v>PSX-ELC-08</v>
          </cell>
          <cell r="K447" t="str">
            <v>PSX-ELC-07</v>
          </cell>
          <cell r="L447" t="str">
            <v>SWO009007</v>
          </cell>
          <cell r="M447" t="str">
            <v>SWO006009</v>
          </cell>
          <cell r="N447" t="str">
            <v>SWO003430</v>
          </cell>
          <cell r="O447" t="str">
            <v>SWO002552</v>
          </cell>
          <cell r="P447" t="str">
            <v>SWO001818</v>
          </cell>
          <cell r="Q447" t="str">
            <v>SWO001365</v>
          </cell>
          <cell r="R447" t="str">
            <v>SWO000864</v>
          </cell>
          <cell r="S447">
            <v>22572</v>
          </cell>
          <cell r="T447">
            <v>1331</v>
          </cell>
          <cell r="U447" t="str">
            <v>PSX</v>
          </cell>
          <cell r="W447" t="str">
            <v>Parking Structure C (PSX) - Electric</v>
          </cell>
          <cell r="X447" t="str">
            <v>Y</v>
          </cell>
          <cell r="Y447" t="str">
            <v>17-8060-0000</v>
          </cell>
          <cell r="Z447">
            <v>20215</v>
          </cell>
        </row>
        <row r="448">
          <cell r="A448" t="str">
            <v>PSX: UTILITIES FY15 - NON-AUXILIARY</v>
          </cell>
          <cell r="B448" t="str">
            <v>PSX</v>
          </cell>
          <cell r="C448" t="str">
            <v>PSX-EGW</v>
          </cell>
          <cell r="D448" t="str">
            <v>PSX-EGW-14</v>
          </cell>
          <cell r="E448" t="str">
            <v>PSX-EGW-13</v>
          </cell>
          <cell r="F448" t="str">
            <v>PSX-EGW-12</v>
          </cell>
          <cell r="G448" t="str">
            <v>PSX-EGW-11</v>
          </cell>
          <cell r="H448" t="str">
            <v>PSX-EGW-10</v>
          </cell>
          <cell r="I448" t="str">
            <v>PSX-EGW-09</v>
          </cell>
          <cell r="J448" t="str">
            <v>PSX-EGW-08</v>
          </cell>
          <cell r="K448" t="str">
            <v>PSX-EGW-07</v>
          </cell>
          <cell r="L448" t="str">
            <v>PSX-EGW-06</v>
          </cell>
          <cell r="M448" t="str">
            <v>PSX-EGW-05</v>
          </cell>
          <cell r="N448" t="str">
            <v>SWO003230</v>
          </cell>
          <cell r="O448" t="str">
            <v>SWO000915</v>
          </cell>
          <cell r="P448" t="str">
            <v>SWO000915</v>
          </cell>
          <cell r="Q448" t="str">
            <v>SWO000915</v>
          </cell>
          <cell r="R448" t="str">
            <v>SWO000915</v>
          </cell>
          <cell r="S448">
            <v>27850</v>
          </cell>
          <cell r="T448" t="str">
            <v>1330</v>
          </cell>
          <cell r="U448" t="str">
            <v>PSX</v>
          </cell>
          <cell r="W448" t="str">
            <v>PSX: UTILITIES G/W/E  - NON-AUXILIARY</v>
          </cell>
          <cell r="X448" t="str">
            <v>N</v>
          </cell>
        </row>
        <row r="449">
          <cell r="A449" t="str">
            <v>PSX: UTILITIES CHILLED WATER FY15</v>
          </cell>
          <cell r="B449" t="str">
            <v>PSX</v>
          </cell>
          <cell r="C449" t="str">
            <v>PSX-UCW</v>
          </cell>
          <cell r="D449" t="str">
            <v>PSX-UCW14</v>
          </cell>
          <cell r="E449" t="str">
            <v>PSX-UCW13</v>
          </cell>
          <cell r="F449" t="str">
            <v>PSX-UCW12</v>
          </cell>
          <cell r="G449" t="str">
            <v>PSX-UCW11</v>
          </cell>
          <cell r="H449" t="str">
            <v>PSX-UCW10</v>
          </cell>
          <cell r="I449" t="str">
            <v>PSX-UCW09</v>
          </cell>
          <cell r="J449" t="str">
            <v>PSX-UCW08</v>
          </cell>
          <cell r="K449" t="str">
            <v>PSX-UCW07</v>
          </cell>
          <cell r="L449" t="str">
            <v>PSX-UCW06</v>
          </cell>
          <cell r="M449" t="str">
            <v>PSX-UCW05</v>
          </cell>
          <cell r="W449" t="str">
            <v xml:space="preserve">PSX: UTILITIES CHILLED WATER </v>
          </cell>
        </row>
        <row r="450">
          <cell r="A450" t="str">
            <v>PSX: UTILITIES DEBT SERVICE FY15</v>
          </cell>
          <cell r="B450" t="str">
            <v>PSX</v>
          </cell>
          <cell r="C450" t="str">
            <v>PSX-UDS</v>
          </cell>
          <cell r="D450" t="str">
            <v>PSX-UDS14</v>
          </cell>
          <cell r="E450" t="str">
            <v>PSX-UDS13</v>
          </cell>
          <cell r="F450" t="str">
            <v>PSX-UDS12</v>
          </cell>
          <cell r="G450" t="str">
            <v>PSX-UDS11</v>
          </cell>
          <cell r="H450" t="str">
            <v>PSX-UDS10</v>
          </cell>
          <cell r="I450" t="str">
            <v>PSX-UDS09</v>
          </cell>
          <cell r="J450" t="str">
            <v>PSX-UDS08</v>
          </cell>
          <cell r="K450" t="str">
            <v>PSX-UDS07</v>
          </cell>
          <cell r="L450" t="str">
            <v>PSX-UDS06</v>
          </cell>
          <cell r="M450" t="str">
            <v>PSX-UDS05</v>
          </cell>
          <cell r="W450" t="str">
            <v xml:space="preserve">PSX: UTILITIES DEBT SERVICE </v>
          </cell>
        </row>
        <row r="451">
          <cell r="A451" t="str">
            <v>PSX: UTILITIES MAINT FY15</v>
          </cell>
          <cell r="B451">
            <v>0</v>
          </cell>
          <cell r="C451" t="str">
            <v>PSX-UMT</v>
          </cell>
          <cell r="D451" t="str">
            <v>PSX-UMT14</v>
          </cell>
          <cell r="E451" t="str">
            <v>PSX-UMT13</v>
          </cell>
          <cell r="F451" t="str">
            <v>PSX-UMT12</v>
          </cell>
          <cell r="G451" t="str">
            <v>PSX-UMT11</v>
          </cell>
          <cell r="H451" t="str">
            <v>PSX-UMT10</v>
          </cell>
          <cell r="I451" t="str">
            <v>PSX-UMT09</v>
          </cell>
          <cell r="J451" t="str">
            <v>PSX-UMT08</v>
          </cell>
          <cell r="K451" t="str">
            <v>PSX-UMT07</v>
          </cell>
          <cell r="L451" t="str">
            <v>PSX-UMT06</v>
          </cell>
          <cell r="M451" t="str">
            <v>PSX-UMT05</v>
          </cell>
          <cell r="W451" t="str">
            <v xml:space="preserve">PSX: UTILITIES MAINT </v>
          </cell>
        </row>
        <row r="452">
          <cell r="A452" t="str">
            <v>SHS: UTILITIES FY15 - GAS/WATER/ELECTRIC</v>
          </cell>
          <cell r="B452" t="str">
            <v>SHS</v>
          </cell>
          <cell r="C452" t="str">
            <v>SHS-EGW</v>
          </cell>
          <cell r="D452" t="str">
            <v>SHS-EGW-14</v>
          </cell>
          <cell r="E452" t="str">
            <v>SHS-EGW-13</v>
          </cell>
          <cell r="F452" t="str">
            <v>SHS-EGW-12</v>
          </cell>
          <cell r="G452" t="str">
            <v>SHS-EGW-11</v>
          </cell>
          <cell r="H452" t="str">
            <v>SHS-EGW-10</v>
          </cell>
          <cell r="I452" t="str">
            <v>SHS-EGW-09</v>
          </cell>
          <cell r="J452" t="str">
            <v>SHS-EGW-08</v>
          </cell>
          <cell r="K452" t="str">
            <v>SHS-EGW-07</v>
          </cell>
          <cell r="L452" t="str">
            <v>SHS-EGW-06</v>
          </cell>
          <cell r="M452" t="str">
            <v>SHS-EGW-05</v>
          </cell>
          <cell r="N452" t="str">
            <v>SWO003248</v>
          </cell>
          <cell r="O452" t="str">
            <v>SWO000865</v>
          </cell>
          <cell r="P452" t="str">
            <v>SWO000865</v>
          </cell>
          <cell r="Q452" t="str">
            <v>SWO000865</v>
          </cell>
          <cell r="R452" t="str">
            <v>SWO000865</v>
          </cell>
          <cell r="S452">
            <v>22573</v>
          </cell>
          <cell r="T452" t="str">
            <v>1340</v>
          </cell>
          <cell r="U452" t="str">
            <v>SHS</v>
          </cell>
          <cell r="W452" t="str">
            <v xml:space="preserve">SHS: UTILITIES G/W/E </v>
          </cell>
          <cell r="X452" t="str">
            <v>N</v>
          </cell>
        </row>
        <row r="453">
          <cell r="A453" t="str">
            <v>SHS: UTILITIES CHILLED WATER FY15</v>
          </cell>
          <cell r="B453" t="str">
            <v>SHS</v>
          </cell>
          <cell r="C453" t="str">
            <v>SHS-UCW</v>
          </cell>
          <cell r="D453" t="str">
            <v>SHS-UCW14</v>
          </cell>
          <cell r="E453" t="str">
            <v>SHS-UCW13</v>
          </cell>
          <cell r="F453" t="str">
            <v>SHS-UCW12</v>
          </cell>
          <cell r="G453" t="str">
            <v>SHS-UCW11</v>
          </cell>
          <cell r="H453" t="str">
            <v>SHS-UCW10</v>
          </cell>
          <cell r="I453" t="str">
            <v>SHS-UCW09</v>
          </cell>
          <cell r="J453" t="str">
            <v>SHS-UCW08</v>
          </cell>
          <cell r="K453" t="str">
            <v>SHS-UCW07</v>
          </cell>
          <cell r="L453" t="str">
            <v>SHS-UCW06</v>
          </cell>
          <cell r="M453" t="str">
            <v>SHS-UCW05</v>
          </cell>
          <cell r="W453" t="str">
            <v xml:space="preserve">SHS: UTILITIES CHILLED WATER </v>
          </cell>
        </row>
        <row r="454">
          <cell r="A454" t="str">
            <v>SHS: UTILITIES DEBT SERVICE FY15</v>
          </cell>
          <cell r="B454" t="str">
            <v>SHS</v>
          </cell>
          <cell r="C454" t="str">
            <v>SHS-UDS</v>
          </cell>
          <cell r="D454" t="str">
            <v>SHS-UDS14</v>
          </cell>
          <cell r="E454" t="str">
            <v>SHS-UDS13</v>
          </cell>
          <cell r="F454" t="str">
            <v>SHS-UDS12</v>
          </cell>
          <cell r="G454" t="str">
            <v>SHS-UDS11</v>
          </cell>
          <cell r="H454" t="str">
            <v>SHS-UDS10</v>
          </cell>
          <cell r="I454" t="str">
            <v>SHS-UDS09</v>
          </cell>
          <cell r="J454" t="str">
            <v>SHS-UDS08</v>
          </cell>
          <cell r="K454" t="str">
            <v>SHS-UDS07</v>
          </cell>
          <cell r="L454" t="str">
            <v>SHS-UDS06</v>
          </cell>
          <cell r="M454" t="str">
            <v>SHS-UDS05</v>
          </cell>
          <cell r="W454" t="str">
            <v xml:space="preserve">SHS: UTILITIES DEBT SERVICE </v>
          </cell>
        </row>
        <row r="455">
          <cell r="A455" t="str">
            <v>SHS: UTILITIES MAINT FY15</v>
          </cell>
          <cell r="B455">
            <v>0</v>
          </cell>
          <cell r="C455" t="str">
            <v>SHS-UMT</v>
          </cell>
          <cell r="D455" t="str">
            <v>SHS-UMT14</v>
          </cell>
          <cell r="E455" t="str">
            <v>SHS-UMT13</v>
          </cell>
          <cell r="F455" t="str">
            <v>SHS-UMT12</v>
          </cell>
          <cell r="G455" t="str">
            <v>SHS-UMT11</v>
          </cell>
          <cell r="H455" t="str">
            <v>SHS-UMT10</v>
          </cell>
          <cell r="I455" t="str">
            <v>SHS-UMT09</v>
          </cell>
          <cell r="J455" t="str">
            <v>SHS-UMT08</v>
          </cell>
          <cell r="K455" t="str">
            <v>SHS-UMT07</v>
          </cell>
          <cell r="L455" t="str">
            <v>SHS-UMT06</v>
          </cell>
          <cell r="M455" t="str">
            <v>SHS-UMT05</v>
          </cell>
          <cell r="W455" t="str">
            <v xml:space="preserve">SHS: UTILITIES MAINT </v>
          </cell>
        </row>
        <row r="456">
          <cell r="A456" t="str">
            <v>SLH: UTILITIES FY15 - GAS/WATER/ELECTRIC</v>
          </cell>
          <cell r="B456" t="str">
            <v>SLH</v>
          </cell>
          <cell r="C456" t="str">
            <v>SLH-EGW</v>
          </cell>
          <cell r="D456" t="str">
            <v>SLH-EGW-14</v>
          </cell>
          <cell r="E456" t="str">
            <v>SLH-EGW-13</v>
          </cell>
          <cell r="F456" t="str">
            <v>SLH-EGW-12</v>
          </cell>
          <cell r="G456" t="str">
            <v>SLH-EGW-11</v>
          </cell>
          <cell r="H456" t="str">
            <v>SLH-EGW-10</v>
          </cell>
          <cell r="I456" t="str">
            <v>SLH-EGW-09</v>
          </cell>
          <cell r="J456" t="str">
            <v>SLH-EGW-08</v>
          </cell>
          <cell r="K456" t="str">
            <v>SLH-EGW-07</v>
          </cell>
          <cell r="L456" t="str">
            <v>SLH-EGW-06</v>
          </cell>
          <cell r="M456" t="str">
            <v>SLH-EGW-05</v>
          </cell>
          <cell r="N456" t="str">
            <v>SWO003249</v>
          </cell>
          <cell r="O456" t="str">
            <v>SWO000866</v>
          </cell>
          <cell r="P456" t="str">
            <v>SWO000866</v>
          </cell>
          <cell r="Q456" t="str">
            <v>SWO000866</v>
          </cell>
          <cell r="R456" t="str">
            <v>SWO000866</v>
          </cell>
          <cell r="S456">
            <v>22574</v>
          </cell>
          <cell r="T456" t="str">
            <v>1350</v>
          </cell>
          <cell r="U456" t="str">
            <v>SLH</v>
          </cell>
          <cell r="W456" t="str">
            <v xml:space="preserve">SLH: UTILITIES G/W/E </v>
          </cell>
          <cell r="X456" t="str">
            <v>N</v>
          </cell>
        </row>
        <row r="457">
          <cell r="A457" t="str">
            <v>SLH: UTILITIES CHILLED WATER FY15</v>
          </cell>
          <cell r="B457" t="str">
            <v>SLH</v>
          </cell>
          <cell r="C457" t="str">
            <v>SLH-UCW</v>
          </cell>
          <cell r="D457" t="str">
            <v>SLH-UCW14</v>
          </cell>
          <cell r="E457" t="str">
            <v>SLH-UCW13</v>
          </cell>
          <cell r="F457" t="str">
            <v>SLH-UCW12</v>
          </cell>
          <cell r="G457" t="str">
            <v>SLH-UCW11</v>
          </cell>
          <cell r="H457" t="str">
            <v>SLH-UCW10</v>
          </cell>
          <cell r="I457" t="str">
            <v>SLH-UCW09</v>
          </cell>
          <cell r="J457" t="str">
            <v>SLH-UCW08</v>
          </cell>
          <cell r="K457" t="str">
            <v>SLH-UCW07</v>
          </cell>
          <cell r="L457" t="str">
            <v>SLH-UCW06</v>
          </cell>
          <cell r="M457" t="str">
            <v>SLH-UCW05</v>
          </cell>
          <cell r="W457" t="str">
            <v xml:space="preserve">SLH: UTILITIES CHILLED WATER </v>
          </cell>
        </row>
        <row r="458">
          <cell r="A458" t="str">
            <v>SLH: UTILITIES DEBT SERVICE FY15</v>
          </cell>
          <cell r="B458" t="str">
            <v>SLH</v>
          </cell>
          <cell r="C458" t="str">
            <v>SLH-UDS</v>
          </cell>
          <cell r="D458" t="str">
            <v>SLH-UDS14</v>
          </cell>
          <cell r="E458" t="str">
            <v>SLH-UDS13</v>
          </cell>
          <cell r="F458" t="str">
            <v>SLH-UDS12</v>
          </cell>
          <cell r="G458" t="str">
            <v>SLH-UDS11</v>
          </cell>
          <cell r="H458" t="str">
            <v>SLH-UDS10</v>
          </cell>
          <cell r="I458" t="str">
            <v>SLH-UDS09</v>
          </cell>
          <cell r="J458" t="str">
            <v>SLH-UDS08</v>
          </cell>
          <cell r="K458" t="str">
            <v>SLH-UDS07</v>
          </cell>
          <cell r="L458" t="str">
            <v>SLH-UDS06</v>
          </cell>
          <cell r="M458" t="str">
            <v>SLH-UDS05</v>
          </cell>
          <cell r="W458" t="str">
            <v xml:space="preserve">SLH: UTILITIES DEBT SERVICE </v>
          </cell>
        </row>
        <row r="459">
          <cell r="A459" t="str">
            <v>SLH: UTILITIES FY15 - GAS/WATER/ELECTRIC</v>
          </cell>
          <cell r="B459" t="str">
            <v>SLH</v>
          </cell>
          <cell r="C459" t="str">
            <v>SLH-EGW</v>
          </cell>
          <cell r="D459" t="str">
            <v>SLH-EGW-14</v>
          </cell>
          <cell r="E459" t="str">
            <v>SLH-EGW-13</v>
          </cell>
          <cell r="F459" t="str">
            <v>SLH-EGW-12</v>
          </cell>
          <cell r="G459" t="str">
            <v>SLH-EGW-11</v>
          </cell>
          <cell r="H459" t="str">
            <v>SLH-EGW-10</v>
          </cell>
          <cell r="I459" t="str">
            <v>SLH-EGW-09</v>
          </cell>
          <cell r="J459" t="str">
            <v>SLH-EGW-08</v>
          </cell>
          <cell r="K459" t="str">
            <v>SLH-EGW-07</v>
          </cell>
          <cell r="L459" t="str">
            <v>SLH-EGW-06</v>
          </cell>
          <cell r="M459" t="str">
            <v>SLH-EGW-05</v>
          </cell>
          <cell r="W459" t="str">
            <v xml:space="preserve">SLH: UTILITIES G/W/E </v>
          </cell>
        </row>
        <row r="460">
          <cell r="B460" t="str">
            <v>ITS</v>
          </cell>
          <cell r="M460" t="str">
            <v>DEMOLISHED</v>
          </cell>
          <cell r="O460" t="str">
            <v>SWO000867</v>
          </cell>
          <cell r="P460" t="str">
            <v>SWO000867</v>
          </cell>
          <cell r="Q460" t="str">
            <v>SWO000867</v>
          </cell>
          <cell r="R460" t="str">
            <v>SWO000867</v>
          </cell>
          <cell r="S460">
            <v>22575</v>
          </cell>
          <cell r="T460" t="str">
            <v>1360</v>
          </cell>
          <cell r="U460" t="str">
            <v>ITS</v>
          </cell>
          <cell r="W460" t="str">
            <v>Transnational Studies - Electric, Gas &amp; Water</v>
          </cell>
          <cell r="X460" t="str">
            <v>N</v>
          </cell>
          <cell r="Y460" t="str">
            <v>DEMOLISHED 2005</v>
          </cell>
        </row>
        <row r="461">
          <cell r="B461" t="str">
            <v>FEB</v>
          </cell>
          <cell r="M461" t="str">
            <v>DEMOLISHED</v>
          </cell>
          <cell r="O461" t="str">
            <v>SWO000868</v>
          </cell>
          <cell r="P461" t="str">
            <v>SWO000868</v>
          </cell>
          <cell r="Q461" t="str">
            <v>SWO000868</v>
          </cell>
          <cell r="R461" t="str">
            <v>SWO000868</v>
          </cell>
          <cell r="S461">
            <v>22576</v>
          </cell>
          <cell r="T461" t="str">
            <v>1370</v>
          </cell>
          <cell r="U461" t="str">
            <v>FEB</v>
          </cell>
          <cell r="W461" t="str">
            <v>Flexible Education Bldg - Electric, Gas &amp; Water</v>
          </cell>
          <cell r="X461" t="str">
            <v>N</v>
          </cell>
          <cell r="Y461" t="str">
            <v>DEMOLISHED 2005</v>
          </cell>
        </row>
        <row r="462">
          <cell r="A462" t="str">
            <v>PRB: UTILITIES FY15 - ELECTRIC</v>
          </cell>
          <cell r="B462" t="str">
            <v>PRB</v>
          </cell>
          <cell r="C462" t="str">
            <v>PRB-NELC</v>
          </cell>
          <cell r="D462" t="str">
            <v>PRB-NELC14</v>
          </cell>
          <cell r="E462" t="str">
            <v>PRB-NELC13</v>
          </cell>
          <cell r="F462" t="str">
            <v>PRB-NELC12</v>
          </cell>
          <cell r="G462" t="str">
            <v>PRB-NELC11</v>
          </cell>
          <cell r="H462" t="str">
            <v>PRB-NELC10</v>
          </cell>
          <cell r="I462" t="str">
            <v>PRB-NELC09</v>
          </cell>
          <cell r="J462" t="str">
            <v>PRB-NELC08</v>
          </cell>
          <cell r="T462" t="str">
            <v>1390</v>
          </cell>
          <cell r="U462" t="str">
            <v>PRB</v>
          </cell>
          <cell r="W462" t="str">
            <v>PARKSIDE II RESIDENCE BLDG - ELECTRIC</v>
          </cell>
        </row>
        <row r="463">
          <cell r="A463" t="str">
            <v>PRB: UTILITIES FY15 - GAS</v>
          </cell>
          <cell r="B463" t="str">
            <v>PRB</v>
          </cell>
          <cell r="C463" t="str">
            <v>PRB-NGAS</v>
          </cell>
          <cell r="D463" t="str">
            <v>PRB-NGAS14</v>
          </cell>
          <cell r="E463" t="str">
            <v>PRB-NGAS13</v>
          </cell>
          <cell r="F463" t="str">
            <v>PRB-NGAS12</v>
          </cell>
          <cell r="G463" t="str">
            <v>PRB-NGAS11</v>
          </cell>
          <cell r="H463" t="str">
            <v>PRB-NGAS10</v>
          </cell>
          <cell r="I463" t="str">
            <v>PRB-NGAS09</v>
          </cell>
          <cell r="J463" t="str">
            <v>PRB-NGAS08</v>
          </cell>
          <cell r="W463" t="str">
            <v>PARKSIDE II RESIDENCE BLDG - GAS</v>
          </cell>
        </row>
        <row r="464">
          <cell r="A464" t="str">
            <v>PRB: UTILITIES FY15 - WATER</v>
          </cell>
          <cell r="B464" t="str">
            <v>PRB</v>
          </cell>
          <cell r="C464" t="str">
            <v>PRB-NWTR</v>
          </cell>
          <cell r="D464" t="str">
            <v>PRB-NWTR14</v>
          </cell>
          <cell r="E464" t="str">
            <v>PRB-NWTR13</v>
          </cell>
          <cell r="F464" t="str">
            <v>PRB-NWTR12</v>
          </cell>
          <cell r="G464" t="str">
            <v>PRB-NWTR11</v>
          </cell>
          <cell r="H464" t="str">
            <v>PRB-NWTR10</v>
          </cell>
          <cell r="I464" t="str">
            <v>PRB-NWTR09</v>
          </cell>
          <cell r="J464" t="str">
            <v>PRB-NWTR08</v>
          </cell>
          <cell r="W464" t="str">
            <v>PARKSIDE II RESIDENCE BLDG - WATER</v>
          </cell>
        </row>
        <row r="465">
          <cell r="A465" t="str">
            <v>PRB: UTILITIES CHILLED WATER FY15</v>
          </cell>
          <cell r="B465" t="str">
            <v>PRB</v>
          </cell>
          <cell r="C465" t="str">
            <v>PRB-UCW</v>
          </cell>
          <cell r="D465" t="str">
            <v>PRB-UCW-14</v>
          </cell>
          <cell r="E465" t="str">
            <v>PRB-UCW-13</v>
          </cell>
          <cell r="H465" t="str">
            <v>PRB-UCW-10</v>
          </cell>
          <cell r="I465" t="str">
            <v>PRB-UCW-09</v>
          </cell>
          <cell r="W465" t="str">
            <v xml:space="preserve">PARKSIDE II RESIDENCE BLDG - CHILLED WATER </v>
          </cell>
        </row>
        <row r="466">
          <cell r="A466" t="str">
            <v>PRB: UTILITIES DEBT SERVICE FY15</v>
          </cell>
          <cell r="B466" t="str">
            <v>PRB</v>
          </cell>
          <cell r="C466" t="str">
            <v>PRB-UDS</v>
          </cell>
          <cell r="D466" t="str">
            <v>PRB-UDS-14</v>
          </cell>
          <cell r="E466" t="str">
            <v>PRB-UDS-13</v>
          </cell>
          <cell r="H466" t="str">
            <v>PRB-UDS-10</v>
          </cell>
          <cell r="I466" t="str">
            <v>PRB-UDS-09</v>
          </cell>
          <cell r="W466" t="str">
            <v xml:space="preserve">PARKSIDE II RESIDENCE BLDG - DEBT SERVICE </v>
          </cell>
        </row>
        <row r="467">
          <cell r="A467" t="str">
            <v>PRB: UTILITIES MAINT FY15</v>
          </cell>
          <cell r="B467">
            <v>0</v>
          </cell>
          <cell r="C467" t="str">
            <v>PRB-UMT</v>
          </cell>
          <cell r="D467" t="str">
            <v>PRB-UMT-14</v>
          </cell>
          <cell r="E467" t="str">
            <v>PRB-UMT-13</v>
          </cell>
          <cell r="H467" t="str">
            <v>PRB-UMT-10</v>
          </cell>
          <cell r="I467" t="str">
            <v>PRB-UMT-09</v>
          </cell>
          <cell r="W467" t="str">
            <v xml:space="preserve">PARKSIDE II RESIDENCE BLDG - MAINT </v>
          </cell>
        </row>
        <row r="468">
          <cell r="A468" t="str">
            <v>REG: UTILITIES FY15 - GAS/WATER/ELECTRIC</v>
          </cell>
          <cell r="B468" t="str">
            <v>REG</v>
          </cell>
          <cell r="C468" t="str">
            <v>REG-EGW</v>
          </cell>
          <cell r="D468" t="str">
            <v>REG-EGW-14</v>
          </cell>
          <cell r="E468" t="str">
            <v>REG-EGW-13</v>
          </cell>
          <cell r="F468" t="str">
            <v>REG-EGW-12</v>
          </cell>
          <cell r="G468" t="str">
            <v>REG-EGW-11</v>
          </cell>
          <cell r="H468" t="str">
            <v>REG-EGW-10</v>
          </cell>
          <cell r="I468" t="str">
            <v>REG-EGW-09</v>
          </cell>
          <cell r="J468" t="str">
            <v>REG-EGW-08</v>
          </cell>
          <cell r="K468" t="str">
            <v>REG-EGW-07</v>
          </cell>
          <cell r="L468" t="str">
            <v>REG-EGW-06</v>
          </cell>
          <cell r="M468" t="str">
            <v>REG-EGW-05</v>
          </cell>
          <cell r="N468" t="str">
            <v>SWO003234</v>
          </cell>
          <cell r="O468" t="str">
            <v>SWO000869</v>
          </cell>
          <cell r="P468" t="str">
            <v>SWO000869</v>
          </cell>
          <cell r="Q468" t="str">
            <v>SWO000869</v>
          </cell>
          <cell r="R468" t="str">
            <v>SWO000869</v>
          </cell>
          <cell r="S468">
            <v>22577</v>
          </cell>
          <cell r="T468" t="str">
            <v>1410</v>
          </cell>
          <cell r="U468" t="str">
            <v>REG</v>
          </cell>
          <cell r="W468" t="str">
            <v xml:space="preserve">REG: UTILITIES G/W/E </v>
          </cell>
          <cell r="X468" t="str">
            <v>N</v>
          </cell>
          <cell r="Y468" t="str">
            <v>DEMOLISHED 6/24/2014</v>
          </cell>
        </row>
        <row r="469">
          <cell r="A469" t="str">
            <v>REG: UTILITIES CHILLED WATER FY15</v>
          </cell>
          <cell r="B469" t="str">
            <v>REG</v>
          </cell>
          <cell r="C469" t="str">
            <v>REG-UCW</v>
          </cell>
          <cell r="D469" t="str">
            <v>REG-UCW14</v>
          </cell>
          <cell r="E469" t="str">
            <v>REG-UCW13</v>
          </cell>
          <cell r="F469" t="str">
            <v>REG-UCW12</v>
          </cell>
          <cell r="G469" t="str">
            <v>REG-UCW11</v>
          </cell>
          <cell r="H469" t="str">
            <v>REG-UCW10</v>
          </cell>
          <cell r="I469" t="str">
            <v>REG-UCW09</v>
          </cell>
          <cell r="J469" t="str">
            <v>REG-UCW08</v>
          </cell>
          <cell r="K469" t="str">
            <v>REG-UCW07</v>
          </cell>
          <cell r="L469" t="str">
            <v>REG-UCW06</v>
          </cell>
          <cell r="M469" t="str">
            <v>REG-UCW05</v>
          </cell>
          <cell r="W469" t="str">
            <v xml:space="preserve">REG: UTILITIES CHILLED WATER </v>
          </cell>
        </row>
        <row r="470">
          <cell r="A470" t="str">
            <v>REG: UTILITIES DEBT SERVICE FY15</v>
          </cell>
          <cell r="B470" t="str">
            <v>REG</v>
          </cell>
          <cell r="C470" t="str">
            <v>REG-UDS</v>
          </cell>
          <cell r="D470" t="str">
            <v>REG-UDS14</v>
          </cell>
          <cell r="E470" t="str">
            <v>REG-UDS13</v>
          </cell>
          <cell r="F470" t="str">
            <v>REG-UDS12</v>
          </cell>
          <cell r="G470" t="str">
            <v>REG-UDS11</v>
          </cell>
          <cell r="H470" t="str">
            <v>REG-UDS10</v>
          </cell>
          <cell r="I470" t="str">
            <v>REG-UDS09</v>
          </cell>
          <cell r="J470" t="str">
            <v>REG-UDS08</v>
          </cell>
          <cell r="K470" t="str">
            <v>REG-UDS07</v>
          </cell>
          <cell r="L470" t="str">
            <v>REG-UDS06</v>
          </cell>
          <cell r="M470" t="str">
            <v>REG-UDS05</v>
          </cell>
          <cell r="W470" t="str">
            <v xml:space="preserve">REG: UTILITIES DEBT SERVICE </v>
          </cell>
        </row>
        <row r="471">
          <cell r="A471" t="str">
            <v>REG: UTILITIES MAINT FY15</v>
          </cell>
          <cell r="B471">
            <v>0</v>
          </cell>
          <cell r="C471" t="str">
            <v>REG-UMT</v>
          </cell>
          <cell r="D471" t="str">
            <v>REG-UMT14</v>
          </cell>
          <cell r="E471" t="str">
            <v>REG-UMT13</v>
          </cell>
          <cell r="F471" t="str">
            <v>REG-UMT12</v>
          </cell>
          <cell r="G471" t="str">
            <v>REG-UMT11</v>
          </cell>
          <cell r="H471" t="str">
            <v>REG-UMT10</v>
          </cell>
          <cell r="I471" t="str">
            <v>REG-UMT09</v>
          </cell>
          <cell r="J471" t="str">
            <v>REG-UMT08</v>
          </cell>
          <cell r="K471" t="str">
            <v>REG-UMT07</v>
          </cell>
          <cell r="L471" t="str">
            <v>REG-UMT06</v>
          </cell>
          <cell r="M471" t="str">
            <v>REG-UMT05</v>
          </cell>
          <cell r="W471" t="str">
            <v xml:space="preserve">REG: UTILITIES MAINT </v>
          </cell>
        </row>
        <row r="472">
          <cell r="A472" t="str">
            <v>HOH: UTILITIES FY15 - GAS/WATER/ELECTRIC</v>
          </cell>
          <cell r="B472" t="str">
            <v>HOH</v>
          </cell>
          <cell r="C472" t="str">
            <v>HOH-EGW</v>
          </cell>
          <cell r="D472" t="str">
            <v>HOH-EGW-14</v>
          </cell>
          <cell r="E472" t="str">
            <v>HOH-EGW-13</v>
          </cell>
          <cell r="F472" t="str">
            <v>HOH-EGW-12</v>
          </cell>
          <cell r="G472" t="str">
            <v>HOH-EGW-11</v>
          </cell>
          <cell r="H472" t="str">
            <v>HOH-EGW-10</v>
          </cell>
          <cell r="I472" t="str">
            <v>HOH-EGW-09</v>
          </cell>
          <cell r="J472" t="str">
            <v>HOH-EGW-08</v>
          </cell>
          <cell r="K472" t="str">
            <v>HOH-EGW-07</v>
          </cell>
          <cell r="L472" t="str">
            <v>HOH-EGW-06</v>
          </cell>
          <cell r="M472" t="str">
            <v>HOH-EGW-05</v>
          </cell>
          <cell r="N472" t="str">
            <v>SWO003164</v>
          </cell>
          <cell r="O472" t="str">
            <v>SWO000870</v>
          </cell>
          <cell r="P472" t="str">
            <v>SWO000870</v>
          </cell>
          <cell r="Q472" t="str">
            <v>SWO000870</v>
          </cell>
          <cell r="R472" t="str">
            <v>SWO000870</v>
          </cell>
          <cell r="S472">
            <v>22578</v>
          </cell>
          <cell r="T472" t="str">
            <v>1420</v>
          </cell>
          <cell r="U472" t="str">
            <v>HOH</v>
          </cell>
          <cell r="W472" t="str">
            <v xml:space="preserve">HOH: UTILITIES G/W/E </v>
          </cell>
          <cell r="X472" t="str">
            <v>N</v>
          </cell>
        </row>
        <row r="473">
          <cell r="A473" t="str">
            <v>HOH: UTILITIES CHILLED WATER FY15</v>
          </cell>
          <cell r="B473" t="str">
            <v>HOH</v>
          </cell>
          <cell r="C473" t="str">
            <v>HOH-UCW</v>
          </cell>
          <cell r="D473" t="str">
            <v>HOH-UCW14</v>
          </cell>
          <cell r="E473" t="str">
            <v>HOH-UCW13</v>
          </cell>
          <cell r="F473" t="str">
            <v>HOH-UCW12</v>
          </cell>
          <cell r="G473" t="str">
            <v>HOH-UCW11</v>
          </cell>
          <cell r="H473" t="str">
            <v>HOH-UCW10</v>
          </cell>
          <cell r="I473" t="str">
            <v>HOH-UCW09</v>
          </cell>
          <cell r="J473" t="str">
            <v>HOH-UCW08</v>
          </cell>
          <cell r="K473" t="str">
            <v>HOH-UCW07</v>
          </cell>
          <cell r="L473" t="str">
            <v>HOH-UCW06</v>
          </cell>
          <cell r="M473" t="str">
            <v>HOH-UCW05</v>
          </cell>
          <cell r="W473" t="str">
            <v xml:space="preserve">HOH: UTILITIES CHILLED WATER </v>
          </cell>
        </row>
        <row r="474">
          <cell r="A474" t="str">
            <v>HOH: UTILITIES DEBT SERVICE FY15</v>
          </cell>
          <cell r="B474" t="str">
            <v>HOH</v>
          </cell>
          <cell r="C474" t="str">
            <v>HOH-UDS</v>
          </cell>
          <cell r="D474" t="str">
            <v>HOH-UDS14</v>
          </cell>
          <cell r="E474" t="str">
            <v>HOH-UDS13</v>
          </cell>
          <cell r="F474" t="str">
            <v>HOH-UDS12</v>
          </cell>
          <cell r="G474" t="str">
            <v>HOH-UDS11</v>
          </cell>
          <cell r="H474" t="str">
            <v>HOH-UDS10</v>
          </cell>
          <cell r="I474" t="str">
            <v>HOH-UDS09</v>
          </cell>
          <cell r="J474" t="str">
            <v>HOH-UDS08</v>
          </cell>
          <cell r="K474" t="str">
            <v>HOH-UDS07</v>
          </cell>
          <cell r="L474" t="str">
            <v>HOH-UDS06</v>
          </cell>
          <cell r="M474" t="str">
            <v>HOH-UDS05</v>
          </cell>
          <cell r="W474" t="str">
            <v xml:space="preserve">HOH: UTILITIES DEBT SERVICE </v>
          </cell>
        </row>
        <row r="475">
          <cell r="A475" t="str">
            <v>HOH: UTILITIES MAINT FY15</v>
          </cell>
          <cell r="B475">
            <v>0</v>
          </cell>
          <cell r="C475" t="str">
            <v>HOH-UMT</v>
          </cell>
          <cell r="D475" t="str">
            <v>HOH-UMT14</v>
          </cell>
          <cell r="E475" t="str">
            <v>HOH-UMT13</v>
          </cell>
          <cell r="F475" t="str">
            <v>HOH-UMT12</v>
          </cell>
          <cell r="G475" t="str">
            <v>HOH-UMT11</v>
          </cell>
          <cell r="H475" t="str">
            <v>HOH-UMT10</v>
          </cell>
          <cell r="I475" t="str">
            <v>HOH-UMT09</v>
          </cell>
          <cell r="J475" t="str">
            <v>HOH-UMT08</v>
          </cell>
          <cell r="K475" t="str">
            <v>HOH-UMT07</v>
          </cell>
          <cell r="L475" t="str">
            <v>HOH-UMT06</v>
          </cell>
          <cell r="M475" t="str">
            <v>HOH-UMT05</v>
          </cell>
          <cell r="W475" t="str">
            <v xml:space="preserve">HOH: UTILITIES MAINT </v>
          </cell>
        </row>
        <row r="476">
          <cell r="A476" t="str">
            <v>HOH9: UTILITIES FY15 - ELECTRIC ONLY, CELL SITE</v>
          </cell>
          <cell r="B476" t="str">
            <v>HOH9</v>
          </cell>
          <cell r="C476" t="str">
            <v>HOH9-EL</v>
          </cell>
          <cell r="D476" t="str">
            <v>HOH9-EL-14</v>
          </cell>
          <cell r="E476" t="str">
            <v>HOH9-EL-13</v>
          </cell>
          <cell r="F476" t="str">
            <v>HOH9-EL-12</v>
          </cell>
          <cell r="G476" t="str">
            <v>HOH9-EL-11</v>
          </cell>
          <cell r="H476" t="str">
            <v>HOH9-EL-10</v>
          </cell>
          <cell r="I476" t="str">
            <v>HOH9-EL-09</v>
          </cell>
          <cell r="J476" t="str">
            <v>HOH9-EL-08</v>
          </cell>
          <cell r="K476" t="str">
            <v>HOH9-EL-07</v>
          </cell>
          <cell r="L476" t="str">
            <v>HOH9-EL-06</v>
          </cell>
          <cell r="M476" t="str">
            <v>HOH9-EL-05</v>
          </cell>
          <cell r="T476">
            <v>1429</v>
          </cell>
          <cell r="W476" t="str">
            <v>HOH Cell Site - Electric</v>
          </cell>
          <cell r="X476" t="str">
            <v>N</v>
          </cell>
        </row>
        <row r="477">
          <cell r="A477" t="str">
            <v>BMH: UTILITIES FY15 - GAS/WATER/ELECTRIC</v>
          </cell>
          <cell r="B477" t="str">
            <v>BMH</v>
          </cell>
          <cell r="C477" t="str">
            <v>BMH-EGW</v>
          </cell>
          <cell r="D477" t="str">
            <v>BMH-EGW-14</v>
          </cell>
          <cell r="E477" t="str">
            <v>BMH-EGW-13</v>
          </cell>
          <cell r="F477" t="str">
            <v>BMH-EGW-12</v>
          </cell>
          <cell r="G477" t="str">
            <v>BMH-EGW-11</v>
          </cell>
          <cell r="H477" t="str">
            <v>BMH-EGW-10</v>
          </cell>
          <cell r="I477" t="str">
            <v>BMH-EGW-09</v>
          </cell>
          <cell r="J477" t="str">
            <v>BMH-EGW-08</v>
          </cell>
          <cell r="K477" t="str">
            <v>BMH-EGW-07</v>
          </cell>
          <cell r="L477" t="str">
            <v>BMH-EGW-06</v>
          </cell>
          <cell r="M477" t="str">
            <v>BMH-EGW-05</v>
          </cell>
          <cell r="N477" t="str">
            <v>SWO003104</v>
          </cell>
          <cell r="O477" t="str">
            <v>SWO000871</v>
          </cell>
          <cell r="P477" t="str">
            <v>SWO000871</v>
          </cell>
          <cell r="Q477" t="str">
            <v>SWO000871</v>
          </cell>
          <cell r="R477" t="str">
            <v>SWO000871</v>
          </cell>
          <cell r="S477">
            <v>22579</v>
          </cell>
          <cell r="T477" t="str">
            <v>1440</v>
          </cell>
          <cell r="U477" t="str">
            <v>BMH</v>
          </cell>
          <cell r="W477" t="str">
            <v xml:space="preserve">BMH: UTILITIES G/W/E </v>
          </cell>
          <cell r="X477" t="str">
            <v>N</v>
          </cell>
        </row>
        <row r="478">
          <cell r="A478" t="str">
            <v>BMH: UTILITIES CHILLED WATER FY15</v>
          </cell>
          <cell r="B478" t="str">
            <v>BMH</v>
          </cell>
          <cell r="C478" t="str">
            <v>BMH-UCW</v>
          </cell>
          <cell r="D478" t="str">
            <v>BMH-UCW14</v>
          </cell>
          <cell r="E478" t="str">
            <v>BMH-UCW13</v>
          </cell>
          <cell r="F478" t="str">
            <v>BMH-UCW12</v>
          </cell>
          <cell r="G478" t="str">
            <v>BMH-UCW11</v>
          </cell>
          <cell r="H478" t="str">
            <v>BMH-UCW10</v>
          </cell>
          <cell r="I478" t="str">
            <v>BMH-UCW09</v>
          </cell>
          <cell r="J478" t="str">
            <v>BMH-UCW08</v>
          </cell>
          <cell r="K478" t="str">
            <v>BMH-UCW07</v>
          </cell>
          <cell r="L478" t="str">
            <v>BMH-UCW06</v>
          </cell>
          <cell r="M478" t="str">
            <v>BMH-UCW05</v>
          </cell>
          <cell r="W478" t="str">
            <v xml:space="preserve">BMH: UTILITIES CHILLED WATER </v>
          </cell>
        </row>
        <row r="479">
          <cell r="A479" t="str">
            <v>BMH: UTILITIES DEBT SERVICE FY15</v>
          </cell>
          <cell r="B479" t="str">
            <v>BMH</v>
          </cell>
          <cell r="C479" t="str">
            <v>BMH-UDS</v>
          </cell>
          <cell r="D479" t="str">
            <v>BMH-UDS14</v>
          </cell>
          <cell r="E479" t="str">
            <v>BMH-UDS13</v>
          </cell>
          <cell r="F479" t="str">
            <v>BMH-UDS12</v>
          </cell>
          <cell r="G479" t="str">
            <v>BMH-UDS11</v>
          </cell>
          <cell r="H479" t="str">
            <v>BMH-UDS10</v>
          </cell>
          <cell r="I479" t="str">
            <v>BMH-UDS09</v>
          </cell>
          <cell r="J479" t="str">
            <v>BMH-UDS08</v>
          </cell>
          <cell r="K479" t="str">
            <v>BMH-UDS07</v>
          </cell>
          <cell r="L479" t="str">
            <v>BMH-UDS06</v>
          </cell>
          <cell r="M479" t="str">
            <v>BMH-UDS05</v>
          </cell>
          <cell r="W479" t="str">
            <v xml:space="preserve">BMH: UTILITIES DEBT SERVICE </v>
          </cell>
        </row>
        <row r="480">
          <cell r="A480" t="str">
            <v>BMH: UTILITIES MAINT FY15</v>
          </cell>
          <cell r="B480">
            <v>0</v>
          </cell>
          <cell r="C480" t="str">
            <v>BMH-UMT</v>
          </cell>
          <cell r="D480" t="str">
            <v>BMH-UMT14</v>
          </cell>
          <cell r="E480" t="str">
            <v>BMH-UMT13</v>
          </cell>
          <cell r="F480" t="str">
            <v>BMH-UMT12</v>
          </cell>
          <cell r="G480" t="str">
            <v>BMH-UMT11</v>
          </cell>
          <cell r="H480" t="str">
            <v>BMH-UMT10</v>
          </cell>
          <cell r="I480" t="str">
            <v>BMH-UMT09</v>
          </cell>
          <cell r="J480" t="str">
            <v>BMH-UMT08</v>
          </cell>
          <cell r="K480" t="str">
            <v>BMH-UMT07</v>
          </cell>
          <cell r="L480" t="str">
            <v>BMH-UMT06</v>
          </cell>
          <cell r="M480" t="str">
            <v>BMH-UMT05</v>
          </cell>
          <cell r="W480" t="str">
            <v xml:space="preserve">BMH: UTILITIES MAINT </v>
          </cell>
        </row>
        <row r="481">
          <cell r="A481" t="str">
            <v>OHE: UTILITIES FY15 - GAS/WATER/ELECTRIC</v>
          </cell>
          <cell r="B481" t="str">
            <v>OHE</v>
          </cell>
          <cell r="C481" t="str">
            <v>OHE-EGW</v>
          </cell>
          <cell r="D481" t="str">
            <v>OHE-EGW-14</v>
          </cell>
          <cell r="E481" t="str">
            <v>OHE-EGW-13</v>
          </cell>
          <cell r="F481" t="str">
            <v>OHE-EGW-12</v>
          </cell>
          <cell r="G481" t="str">
            <v>OHE-EGW-11</v>
          </cell>
          <cell r="H481" t="str">
            <v>OHE-EGW-10</v>
          </cell>
          <cell r="I481" t="str">
            <v>OHE-EGW-09</v>
          </cell>
          <cell r="J481" t="str">
            <v>OHE-EGW-08</v>
          </cell>
          <cell r="K481" t="str">
            <v>OHE-EGW-07</v>
          </cell>
          <cell r="L481" t="str">
            <v>OHE-EGW-06</v>
          </cell>
          <cell r="M481" t="str">
            <v>OHE-EGW-05</v>
          </cell>
          <cell r="N481" t="str">
            <v>SWO003209</v>
          </cell>
          <cell r="O481" t="str">
            <v>SWO000872</v>
          </cell>
          <cell r="P481" t="str">
            <v>SWO000872</v>
          </cell>
          <cell r="Q481" t="str">
            <v>SWO000872</v>
          </cell>
          <cell r="R481" t="str">
            <v>SWO000872</v>
          </cell>
          <cell r="S481">
            <v>22580</v>
          </cell>
          <cell r="T481" t="str">
            <v>1450</v>
          </cell>
          <cell r="U481" t="str">
            <v>OHE</v>
          </cell>
          <cell r="W481" t="str">
            <v xml:space="preserve">OHE: UTILITIES G/W/E </v>
          </cell>
          <cell r="X481" t="str">
            <v>N</v>
          </cell>
        </row>
        <row r="482">
          <cell r="A482" t="str">
            <v>OHE: UTILITIES CHILLED WATER FY15</v>
          </cell>
          <cell r="B482" t="str">
            <v>OHE</v>
          </cell>
          <cell r="C482" t="str">
            <v>OHE-UCW</v>
          </cell>
          <cell r="D482" t="str">
            <v>OHE-UCW14</v>
          </cell>
          <cell r="E482" t="str">
            <v>OHE-UCW13</v>
          </cell>
          <cell r="F482" t="str">
            <v>OHE-UCW12</v>
          </cell>
          <cell r="G482" t="str">
            <v>OHE-UCW11</v>
          </cell>
          <cell r="H482" t="str">
            <v>OHE-UCW10</v>
          </cell>
          <cell r="I482" t="str">
            <v>OHE-UCW09</v>
          </cell>
          <cell r="J482" t="str">
            <v>OHE-UCW08</v>
          </cell>
          <cell r="K482" t="str">
            <v>OHE-UCW07</v>
          </cell>
          <cell r="L482" t="str">
            <v>OHE-UCW06</v>
          </cell>
          <cell r="M482" t="str">
            <v>OHE-UCW05</v>
          </cell>
          <cell r="W482" t="str">
            <v xml:space="preserve">OHE: UTILITIES CHILLED WATER </v>
          </cell>
        </row>
        <row r="483">
          <cell r="A483" t="str">
            <v>OHE: UTILITIES DEBT SERVICE FY15</v>
          </cell>
          <cell r="B483" t="str">
            <v>OHE</v>
          </cell>
          <cell r="C483" t="str">
            <v>OHE-UDS</v>
          </cell>
          <cell r="D483" t="str">
            <v>OHE-UDS14</v>
          </cell>
          <cell r="E483" t="str">
            <v>OHE-UDS13</v>
          </cell>
          <cell r="F483" t="str">
            <v>OHE-UDS12</v>
          </cell>
          <cell r="G483" t="str">
            <v>OHE-UDS11</v>
          </cell>
          <cell r="H483" t="str">
            <v>OHE-UDS10</v>
          </cell>
          <cell r="I483" t="str">
            <v>OHE-UDS09</v>
          </cell>
          <cell r="J483" t="str">
            <v>OHE-UDS08</v>
          </cell>
          <cell r="K483" t="str">
            <v>OHE-UDS07</v>
          </cell>
          <cell r="L483" t="str">
            <v>OHE-UDS06</v>
          </cell>
          <cell r="M483" t="str">
            <v>OHE-UDS05</v>
          </cell>
          <cell r="W483" t="str">
            <v xml:space="preserve">OHE: UTILITIES DEBT SERVICE </v>
          </cell>
        </row>
        <row r="484">
          <cell r="A484" t="str">
            <v>OHE: UTILITIES FY15 - GAS/WATER/ELECTRIC</v>
          </cell>
          <cell r="B484" t="str">
            <v>OHE</v>
          </cell>
          <cell r="C484" t="str">
            <v>OHE-EGW</v>
          </cell>
          <cell r="D484" t="str">
            <v>OHE-EGW-14</v>
          </cell>
          <cell r="E484" t="str">
            <v>OHE-EGW-13</v>
          </cell>
          <cell r="F484" t="str">
            <v>OHE-EGW-12</v>
          </cell>
          <cell r="G484" t="str">
            <v>OHE-EGW-11</v>
          </cell>
          <cell r="H484" t="str">
            <v>OHE-EGW-10</v>
          </cell>
          <cell r="I484" t="str">
            <v>OHE-EGW-09</v>
          </cell>
          <cell r="J484" t="str">
            <v>OHE-EGW-08</v>
          </cell>
          <cell r="K484" t="str">
            <v>OHE-EGW-07</v>
          </cell>
          <cell r="L484" t="str">
            <v>OHE-EGW-06</v>
          </cell>
          <cell r="M484" t="str">
            <v>OHE-EGW-05</v>
          </cell>
          <cell r="W484" t="str">
            <v xml:space="preserve">OHE: UTILITIES G/W/E </v>
          </cell>
        </row>
        <row r="485">
          <cell r="A485" t="str">
            <v>OHE1: UTILITY FY15 - ELECTRIC</v>
          </cell>
          <cell r="B485" t="str">
            <v>OHE1</v>
          </cell>
          <cell r="C485" t="str">
            <v>OHE1-EL</v>
          </cell>
          <cell r="D485" t="str">
            <v>OHE1-EL-14</v>
          </cell>
          <cell r="E485" t="str">
            <v>OHE1-EL-13</v>
          </cell>
          <cell r="F485" t="str">
            <v>OHE1-EL-12</v>
          </cell>
          <cell r="G485" t="str">
            <v>OHE1-EL-11</v>
          </cell>
          <cell r="H485" t="str">
            <v>OHE1-EL-10</v>
          </cell>
          <cell r="I485" t="str">
            <v>OHE1-EL-09</v>
          </cell>
          <cell r="J485" t="str">
            <v>OHE1-EL-08</v>
          </cell>
          <cell r="K485" t="str">
            <v>OHE1-EL-07</v>
          </cell>
          <cell r="L485" t="str">
            <v>OHE1-EL-06</v>
          </cell>
          <cell r="T485" t="str">
            <v>1451</v>
          </cell>
          <cell r="U485" t="str">
            <v>OHE1(CHILLER PLANT)</v>
          </cell>
          <cell r="W485" t="str">
            <v>OHE1 - UTILITIES - ELECTRIC</v>
          </cell>
          <cell r="X485" t="str">
            <v>N</v>
          </cell>
        </row>
        <row r="486">
          <cell r="A486" t="str">
            <v>SRH: UTILITIES FY15 - ELECTRIC, CAFETERIA</v>
          </cell>
          <cell r="B486" t="str">
            <v>SRH</v>
          </cell>
          <cell r="C486" t="str">
            <v>SRHC-ELC</v>
          </cell>
          <cell r="D486" t="str">
            <v>SRHC-ELC14</v>
          </cell>
          <cell r="E486" t="str">
            <v>SRHC-ELC13</v>
          </cell>
          <cell r="F486" t="str">
            <v>SRHC-ELC12</v>
          </cell>
          <cell r="G486" t="str">
            <v>SRHC-ELC11</v>
          </cell>
          <cell r="H486" t="str">
            <v>SRHC-ELC10</v>
          </cell>
          <cell r="I486" t="str">
            <v>SRHC-ELC09</v>
          </cell>
          <cell r="J486" t="str">
            <v>SRHC-ELC08</v>
          </cell>
          <cell r="K486" t="str">
            <v>SRHC-ELC07</v>
          </cell>
          <cell r="L486" t="str">
            <v>SWO009025</v>
          </cell>
          <cell r="M486" t="str">
            <v>SWO006021</v>
          </cell>
          <cell r="N486" t="str">
            <v>SWO003434</v>
          </cell>
          <cell r="O486" t="str">
            <v>SWO002548</v>
          </cell>
          <cell r="P486" t="str">
            <v>SWO001810</v>
          </cell>
          <cell r="Q486" t="str">
            <v>SWO001312</v>
          </cell>
          <cell r="R486" t="str">
            <v>SWO000873</v>
          </cell>
          <cell r="S486">
            <v>22582</v>
          </cell>
          <cell r="T486" t="str">
            <v>1471</v>
          </cell>
          <cell r="U486" t="str">
            <v>SRH</v>
          </cell>
          <cell r="V486" t="str">
            <v>HSC</v>
          </cell>
          <cell r="W486" t="str">
            <v>Plaza Marketplace(Seaver Cafeteria) - Electric</v>
          </cell>
          <cell r="X486" t="str">
            <v>Y</v>
          </cell>
          <cell r="Y486" t="str">
            <v>17-8200-0230</v>
          </cell>
          <cell r="Z486">
            <v>20215</v>
          </cell>
        </row>
        <row r="487">
          <cell r="A487" t="str">
            <v>SRH: UTILITIES FY15 - GAS, CAFETERIA</v>
          </cell>
          <cell r="B487" t="str">
            <v>SRH</v>
          </cell>
          <cell r="C487" t="str">
            <v>SRHC-GAS</v>
          </cell>
          <cell r="D487" t="str">
            <v>SRHC-GAS14</v>
          </cell>
          <cell r="E487" t="str">
            <v>SRHC-GAS13</v>
          </cell>
          <cell r="F487" t="str">
            <v>SRHC-GAS12</v>
          </cell>
          <cell r="G487" t="str">
            <v>SRHC-GAS11</v>
          </cell>
          <cell r="H487" t="str">
            <v>SRHC-GAS10</v>
          </cell>
          <cell r="I487" t="str">
            <v>SRHC-GAS09</v>
          </cell>
          <cell r="J487" t="str">
            <v>SRHC-GAS08</v>
          </cell>
          <cell r="K487" t="str">
            <v>SRHC-GAS07</v>
          </cell>
          <cell r="L487" t="str">
            <v>SWO009013</v>
          </cell>
          <cell r="M487" t="str">
            <v>SWO006023</v>
          </cell>
          <cell r="N487" t="str">
            <v>SWO003435</v>
          </cell>
          <cell r="O487" t="str">
            <v>SWO002547</v>
          </cell>
          <cell r="P487" t="str">
            <v>SWO001809</v>
          </cell>
          <cell r="Q487" t="str">
            <v>SWO001313</v>
          </cell>
          <cell r="R487" t="str">
            <v>SWO000874</v>
          </cell>
          <cell r="S487">
            <v>22583</v>
          </cell>
          <cell r="T487" t="str">
            <v>1471</v>
          </cell>
          <cell r="U487" t="str">
            <v>SRH</v>
          </cell>
          <cell r="V487" t="str">
            <v>HSC</v>
          </cell>
          <cell r="W487" t="str">
            <v>Plaza Marketplace(Seaver Cafeteria) - Gas</v>
          </cell>
          <cell r="X487" t="str">
            <v>Y</v>
          </cell>
          <cell r="Y487" t="str">
            <v>17-8200-0230</v>
          </cell>
          <cell r="Z487">
            <v>20211</v>
          </cell>
        </row>
        <row r="488">
          <cell r="A488" t="str">
            <v>SRH: UTILITIES FY15 - WATER, CAFETERIA</v>
          </cell>
          <cell r="B488" t="str">
            <v>SRH</v>
          </cell>
          <cell r="C488" t="str">
            <v>SRHC-WTR</v>
          </cell>
          <cell r="D488" t="str">
            <v>SRHC-WTR14</v>
          </cell>
          <cell r="E488" t="str">
            <v>SRHC-WTR13</v>
          </cell>
          <cell r="F488" t="str">
            <v>SRHC-WTR12</v>
          </cell>
          <cell r="G488" t="str">
            <v>SRHC-WTR11</v>
          </cell>
          <cell r="H488" t="str">
            <v>SRHC-WTR10</v>
          </cell>
          <cell r="I488" t="str">
            <v>SRHC-WTR09</v>
          </cell>
          <cell r="J488" t="str">
            <v>SRHC-WTR08</v>
          </cell>
          <cell r="K488" t="str">
            <v>SRHC-WTR07</v>
          </cell>
          <cell r="L488" t="str">
            <v>SWO009008</v>
          </cell>
          <cell r="M488" t="str">
            <v>SWO006014</v>
          </cell>
          <cell r="N488" t="str">
            <v>SWO003436</v>
          </cell>
          <cell r="O488" t="str">
            <v>SWO002546</v>
          </cell>
          <cell r="P488" t="str">
            <v>SWO001808</v>
          </cell>
          <cell r="Q488" t="str">
            <v>SWO001314</v>
          </cell>
          <cell r="R488" t="str">
            <v>SWO000875</v>
          </cell>
          <cell r="S488">
            <v>22615</v>
          </cell>
          <cell r="T488" t="str">
            <v>1471</v>
          </cell>
          <cell r="U488" t="str">
            <v>SRH</v>
          </cell>
          <cell r="V488" t="str">
            <v>HSC</v>
          </cell>
          <cell r="W488" t="str">
            <v>Plaza Marketplace(Seaver Cafeteria) - Water</v>
          </cell>
          <cell r="X488" t="str">
            <v>Y</v>
          </cell>
          <cell r="Y488" t="str">
            <v>17-8200-0230</v>
          </cell>
          <cell r="Z488">
            <v>20212</v>
          </cell>
        </row>
        <row r="489">
          <cell r="A489" t="str">
            <v>SRH: UTILITIES FY15 - ELECTRIC, FACULTY CENTER</v>
          </cell>
          <cell r="B489" t="str">
            <v>SRH</v>
          </cell>
          <cell r="C489" t="str">
            <v>SRHF-ELC</v>
          </cell>
          <cell r="D489" t="str">
            <v>SRHF-ELC14</v>
          </cell>
          <cell r="E489" t="str">
            <v>SRHF-ELC13</v>
          </cell>
          <cell r="F489" t="str">
            <v>SRHF-ELC12</v>
          </cell>
          <cell r="G489" t="str">
            <v>SRHF-ELC11</v>
          </cell>
          <cell r="H489" t="str">
            <v>SRHF-ELC10</v>
          </cell>
          <cell r="I489" t="str">
            <v>SRHF-ELC09</v>
          </cell>
          <cell r="J489" t="str">
            <v>SRHF-ELC08</v>
          </cell>
          <cell r="K489" t="str">
            <v>SRHF-ELC07</v>
          </cell>
          <cell r="L489" t="str">
            <v>SWO009015</v>
          </cell>
          <cell r="M489" t="str">
            <v>SWO006019</v>
          </cell>
          <cell r="N489" t="str">
            <v>SWO003437</v>
          </cell>
          <cell r="O489" t="str">
            <v>SWO002551</v>
          </cell>
          <cell r="P489" t="str">
            <v>SWO001814</v>
          </cell>
          <cell r="Q489" t="str">
            <v>SWO001315</v>
          </cell>
          <cell r="R489" t="str">
            <v>SWO000876</v>
          </cell>
          <cell r="S489">
            <v>22620</v>
          </cell>
          <cell r="T489" t="str">
            <v>1471</v>
          </cell>
          <cell r="U489" t="str">
            <v>SRH</v>
          </cell>
          <cell r="V489" t="str">
            <v>HSC</v>
          </cell>
          <cell r="W489" t="str">
            <v>Plaza Marketplace(Seaver Faculty Center) - Electric</v>
          </cell>
          <cell r="X489" t="str">
            <v>Y</v>
          </cell>
          <cell r="Y489" t="str">
            <v>17-8200-0240</v>
          </cell>
          <cell r="Z489">
            <v>20215</v>
          </cell>
        </row>
        <row r="490">
          <cell r="A490" t="str">
            <v>SRH: UTILITIES FY15 - GAS, FACULTY CENTER</v>
          </cell>
          <cell r="B490" t="str">
            <v>SRH</v>
          </cell>
          <cell r="C490" t="str">
            <v>SRHF-GAS</v>
          </cell>
          <cell r="D490" t="str">
            <v>SRHF-GAS14</v>
          </cell>
          <cell r="E490" t="str">
            <v>SRHF-GAS13</v>
          </cell>
          <cell r="F490" t="str">
            <v>SRHF-GAS12</v>
          </cell>
          <cell r="G490" t="str">
            <v>SRHF-GAS11</v>
          </cell>
          <cell r="H490" t="str">
            <v>SRHF-GAS10</v>
          </cell>
          <cell r="I490" t="str">
            <v>SRHF-GAS09</v>
          </cell>
          <cell r="J490" t="str">
            <v>SRHF-GAS08</v>
          </cell>
          <cell r="K490" t="str">
            <v>SRHF-GAS07</v>
          </cell>
          <cell r="L490" t="str">
            <v>SWO009010</v>
          </cell>
          <cell r="M490" t="str">
            <v>SWO006024</v>
          </cell>
          <cell r="N490" t="str">
            <v>SWO003444</v>
          </cell>
          <cell r="O490" t="str">
            <v>SWO002503</v>
          </cell>
          <cell r="P490" t="str">
            <v>SWO001754</v>
          </cell>
          <cell r="Q490" t="str">
            <v>SWO001319</v>
          </cell>
          <cell r="R490" t="str">
            <v>SWO000880</v>
          </cell>
          <cell r="S490">
            <v>22624</v>
          </cell>
          <cell r="T490" t="str">
            <v>1471</v>
          </cell>
          <cell r="U490" t="str">
            <v>SRH</v>
          </cell>
          <cell r="V490" t="str">
            <v>HSC</v>
          </cell>
          <cell r="W490" t="str">
            <v>Plaza Marketplace(Seaver Faculty Center) - Gas</v>
          </cell>
          <cell r="X490" t="str">
            <v>Y</v>
          </cell>
          <cell r="Y490" t="str">
            <v>17-8701-0390</v>
          </cell>
          <cell r="Z490">
            <v>20211</v>
          </cell>
        </row>
        <row r="491">
          <cell r="A491" t="str">
            <v>SRH: UTILITIES FY15 - WATER, FACULTY CENTER</v>
          </cell>
          <cell r="B491" t="str">
            <v>SRH</v>
          </cell>
          <cell r="C491" t="str">
            <v>SRHF-WTR</v>
          </cell>
          <cell r="D491" t="str">
            <v>SRHF-WTR14</v>
          </cell>
          <cell r="E491" t="str">
            <v>SRHF-WTR13</v>
          </cell>
          <cell r="F491" t="str">
            <v>SRHF-WTR12</v>
          </cell>
          <cell r="G491" t="str">
            <v>SRHF-WTR11</v>
          </cell>
          <cell r="H491" t="str">
            <v>SRHF-WTR10</v>
          </cell>
          <cell r="I491" t="str">
            <v>SRHF-WTR09</v>
          </cell>
          <cell r="J491" t="str">
            <v>SRHF-WTR08</v>
          </cell>
          <cell r="K491" t="str">
            <v>SRHF-WTR07</v>
          </cell>
          <cell r="L491" t="str">
            <v>SWO009017</v>
          </cell>
          <cell r="M491" t="str">
            <v>SWO006015</v>
          </cell>
          <cell r="N491" t="str">
            <v>SWO003439</v>
          </cell>
          <cell r="O491" t="str">
            <v>SWO002549</v>
          </cell>
          <cell r="P491" t="str">
            <v>SWO001812</v>
          </cell>
          <cell r="Q491" t="str">
            <v>SWO001317</v>
          </cell>
          <cell r="R491" t="str">
            <v>SWO000878</v>
          </cell>
          <cell r="S491">
            <v>22622</v>
          </cell>
          <cell r="T491" t="str">
            <v>1471</v>
          </cell>
          <cell r="U491" t="str">
            <v>SRH</v>
          </cell>
          <cell r="V491" t="str">
            <v>HSC</v>
          </cell>
          <cell r="W491" t="str">
            <v>Plaza Marketplace(Seaver Faculty Center) - Water</v>
          </cell>
          <cell r="X491" t="str">
            <v>Y</v>
          </cell>
          <cell r="Y491" t="str">
            <v>17-8200-0240</v>
          </cell>
          <cell r="Z491">
            <v>20212</v>
          </cell>
        </row>
        <row r="492">
          <cell r="A492" t="str">
            <v>SRH: UTILITIES FY15 - ELECTRIC, RESIDENCE HALL</v>
          </cell>
          <cell r="B492" t="str">
            <v>SRH</v>
          </cell>
          <cell r="C492" t="str">
            <v>SRHR-ELC</v>
          </cell>
          <cell r="D492" t="str">
            <v>SRHR-ELC14</v>
          </cell>
          <cell r="E492" t="str">
            <v>SRHR-ELC13</v>
          </cell>
          <cell r="F492" t="str">
            <v>SRHR-ELC12</v>
          </cell>
          <cell r="G492" t="str">
            <v>SRHR-ELC11</v>
          </cell>
          <cell r="H492" t="str">
            <v>SRHR-ELC10</v>
          </cell>
          <cell r="I492" t="str">
            <v>SRHR-ELC09</v>
          </cell>
          <cell r="J492" t="str">
            <v>SRHR-ELC08</v>
          </cell>
          <cell r="K492" t="str">
            <v>SRHR-ELC07</v>
          </cell>
          <cell r="L492" t="str">
            <v>SWO009026</v>
          </cell>
          <cell r="M492" t="str">
            <v>SWO006022</v>
          </cell>
          <cell r="N492" t="str">
            <v>SWO003443</v>
          </cell>
          <cell r="O492" t="str">
            <v>SWO002523</v>
          </cell>
          <cell r="P492" t="str">
            <v>SWO001773</v>
          </cell>
          <cell r="Q492" t="str">
            <v>SWO001318</v>
          </cell>
          <cell r="R492" t="str">
            <v>SWO000879</v>
          </cell>
          <cell r="S492">
            <v>22623</v>
          </cell>
          <cell r="T492" t="str">
            <v>1471</v>
          </cell>
          <cell r="U492" t="str">
            <v>SRH</v>
          </cell>
          <cell r="V492" t="str">
            <v>HSC</v>
          </cell>
          <cell r="W492" t="str">
            <v>Seaver Residence Hall - Electric</v>
          </cell>
          <cell r="X492" t="str">
            <v>Y</v>
          </cell>
          <cell r="Y492" t="str">
            <v>17-8701-0390</v>
          </cell>
          <cell r="Z492">
            <v>20215</v>
          </cell>
        </row>
        <row r="493">
          <cell r="A493" t="str">
            <v>SRH: UTILITIES FY15 - GAS, RESIDENCE HALL</v>
          </cell>
          <cell r="B493" t="str">
            <v>SRH</v>
          </cell>
          <cell r="C493" t="str">
            <v>SRHR-GAS</v>
          </cell>
          <cell r="D493" t="str">
            <v>SRHR-GAS14</v>
          </cell>
          <cell r="E493" t="str">
            <v>SRHR-GAS13</v>
          </cell>
          <cell r="F493" t="str">
            <v>SRHR-GAS12</v>
          </cell>
          <cell r="G493" t="str">
            <v>SRHR-GAS11</v>
          </cell>
          <cell r="H493" t="str">
            <v>SRHR-GAS10</v>
          </cell>
          <cell r="I493" t="str">
            <v>SRHR-GAS09</v>
          </cell>
          <cell r="J493" t="str">
            <v>SRHR-GAS08</v>
          </cell>
          <cell r="K493" t="str">
            <v>SRHR-GAS07</v>
          </cell>
          <cell r="L493" t="str">
            <v>SWO009012</v>
          </cell>
          <cell r="M493" t="str">
            <v>SWO006017</v>
          </cell>
          <cell r="N493" t="str">
            <v>SWO003438</v>
          </cell>
          <cell r="O493" t="str">
            <v>SWO002550</v>
          </cell>
          <cell r="P493" t="str">
            <v>SWO001813</v>
          </cell>
          <cell r="Q493" t="str">
            <v>SWO001316</v>
          </cell>
          <cell r="R493" t="str">
            <v>SWO000877</v>
          </cell>
          <cell r="S493">
            <v>22621</v>
          </cell>
          <cell r="T493" t="str">
            <v>1471</v>
          </cell>
          <cell r="U493" t="str">
            <v>SRH</v>
          </cell>
          <cell r="V493" t="str">
            <v>HSC</v>
          </cell>
          <cell r="W493" t="str">
            <v>Seaver Residence Hall - Gas</v>
          </cell>
          <cell r="X493" t="str">
            <v>Y</v>
          </cell>
          <cell r="Y493" t="str">
            <v>17-8200-0240</v>
          </cell>
          <cell r="Z493">
            <v>20211</v>
          </cell>
        </row>
        <row r="494">
          <cell r="A494" t="str">
            <v>SRH: UTILITIES FY15 - WATER, RESIDENCE HALL</v>
          </cell>
          <cell r="B494" t="str">
            <v>SRH</v>
          </cell>
          <cell r="C494" t="str">
            <v>SRHR-WTR</v>
          </cell>
          <cell r="D494" t="str">
            <v>SRHR-WTR14</v>
          </cell>
          <cell r="E494" t="str">
            <v>SRHR-WTR13</v>
          </cell>
          <cell r="F494" t="str">
            <v>SRHR-WTR12</v>
          </cell>
          <cell r="G494" t="str">
            <v>SRHR-WTR11</v>
          </cell>
          <cell r="H494" t="str">
            <v>SRHR-WTR10</v>
          </cell>
          <cell r="I494" t="str">
            <v>SRHR-WTR09</v>
          </cell>
          <cell r="J494" t="str">
            <v>SRHR-WTR08</v>
          </cell>
          <cell r="K494" t="str">
            <v>SRHR-WTR07</v>
          </cell>
          <cell r="L494" t="str">
            <v>SWO009011</v>
          </cell>
          <cell r="M494" t="str">
            <v>SWO006013</v>
          </cell>
          <cell r="N494" t="str">
            <v>SWO003445</v>
          </cell>
          <cell r="O494" t="str">
            <v>SWO002512</v>
          </cell>
          <cell r="P494" t="str">
            <v>SWO001763</v>
          </cell>
          <cell r="Q494" t="str">
            <v>SWO001320</v>
          </cell>
          <cell r="R494" t="str">
            <v>SWO000881</v>
          </cell>
          <cell r="S494">
            <v>22625</v>
          </cell>
          <cell r="T494" t="str">
            <v>1471</v>
          </cell>
          <cell r="U494" t="str">
            <v>SRH</v>
          </cell>
          <cell r="V494" t="str">
            <v>HSC</v>
          </cell>
          <cell r="W494" t="str">
            <v>Seaver Residence Hall - Water</v>
          </cell>
          <cell r="X494" t="str">
            <v>Y</v>
          </cell>
          <cell r="Y494" t="str">
            <v>17-8701-0390</v>
          </cell>
          <cell r="Z494">
            <v>20212</v>
          </cell>
        </row>
        <row r="495">
          <cell r="A495" t="str">
            <v>SRH: UTILITIES FY15 - ELECTRIC, BOOKSTORE</v>
          </cell>
          <cell r="B495" t="str">
            <v>SRH</v>
          </cell>
          <cell r="C495" t="str">
            <v>SRHB-ELC</v>
          </cell>
          <cell r="D495" t="str">
            <v>SRHB-ELC14</v>
          </cell>
          <cell r="E495" t="str">
            <v>SRHB-ELC13</v>
          </cell>
          <cell r="F495" t="str">
            <v>SRHB-ELC12</v>
          </cell>
          <cell r="G495" t="str">
            <v>SRHB-ELC11</v>
          </cell>
          <cell r="H495" t="str">
            <v>SRHB-ELC10</v>
          </cell>
          <cell r="I495" t="str">
            <v>SRHB-ELC09</v>
          </cell>
          <cell r="J495" t="str">
            <v>SRHB-ELC08</v>
          </cell>
          <cell r="K495" t="str">
            <v>SRHB-ELC07</v>
          </cell>
          <cell r="L495" t="str">
            <v>SWO009014</v>
          </cell>
          <cell r="M495" t="str">
            <v>SWO006020</v>
          </cell>
          <cell r="N495" t="str">
            <v>SWO003440</v>
          </cell>
          <cell r="O495" t="str">
            <v>SWO002560</v>
          </cell>
          <cell r="P495" t="str">
            <v>SWO001826</v>
          </cell>
          <cell r="Q495" t="str">
            <v>SWO001321</v>
          </cell>
          <cell r="R495" t="str">
            <v>SWO000882</v>
          </cell>
          <cell r="S495">
            <v>22626</v>
          </cell>
          <cell r="T495" t="str">
            <v>1471</v>
          </cell>
          <cell r="U495" t="str">
            <v>SRH</v>
          </cell>
          <cell r="V495" t="str">
            <v>HSC</v>
          </cell>
          <cell r="W495" t="str">
            <v>Seaver Bookstore - Electric</v>
          </cell>
          <cell r="X495" t="str">
            <v>Y</v>
          </cell>
          <cell r="Y495" t="str">
            <v>17-8103-0000</v>
          </cell>
          <cell r="Z495">
            <v>20215</v>
          </cell>
        </row>
        <row r="496">
          <cell r="A496" t="str">
            <v>SRH: UTILITIES FY15 - GAS, BOOKSTORE</v>
          </cell>
          <cell r="B496" t="str">
            <v>SRH</v>
          </cell>
          <cell r="C496" t="str">
            <v>SRHB-GAS</v>
          </cell>
          <cell r="D496" t="str">
            <v>SRHB-GAS14</v>
          </cell>
          <cell r="E496" t="str">
            <v>SRHB-GAS13</v>
          </cell>
          <cell r="F496" t="str">
            <v>SRHB-GAS12</v>
          </cell>
          <cell r="G496" t="str">
            <v>SRHB-GAS11</v>
          </cell>
          <cell r="H496" t="str">
            <v>SRHB-GAS10</v>
          </cell>
          <cell r="I496" t="str">
            <v>SRHB-GAS09</v>
          </cell>
          <cell r="J496" t="str">
            <v>SRHB-GAS08</v>
          </cell>
          <cell r="K496" t="str">
            <v>SRHB-GAS07</v>
          </cell>
          <cell r="L496" t="str">
            <v>SWO009009</v>
          </cell>
          <cell r="M496" t="str">
            <v>SWO006018</v>
          </cell>
          <cell r="N496" t="str">
            <v>SWO003441</v>
          </cell>
          <cell r="O496" t="str">
            <v>SWO002561</v>
          </cell>
          <cell r="P496" t="str">
            <v>SWO001827</v>
          </cell>
          <cell r="Q496" t="str">
            <v>SWO001322</v>
          </cell>
          <cell r="R496" t="str">
            <v>SWO000883</v>
          </cell>
          <cell r="S496">
            <v>22627</v>
          </cell>
          <cell r="T496" t="str">
            <v>1471</v>
          </cell>
          <cell r="U496" t="str">
            <v>SRH</v>
          </cell>
          <cell r="V496" t="str">
            <v>HSC</v>
          </cell>
          <cell r="W496" t="str">
            <v>Seaver Bookstore - Gas</v>
          </cell>
          <cell r="X496" t="str">
            <v>Y</v>
          </cell>
          <cell r="Y496" t="str">
            <v>17-8103-0000</v>
          </cell>
          <cell r="Z496">
            <v>20211</v>
          </cell>
        </row>
        <row r="497">
          <cell r="A497" t="str">
            <v>SRH: UTILITIES FY15 - WATER, BOOKSTORE</v>
          </cell>
          <cell r="B497" t="str">
            <v>SRH</v>
          </cell>
          <cell r="C497" t="str">
            <v>SRHB-WTR</v>
          </cell>
          <cell r="D497" t="str">
            <v>SRHB-WTR14</v>
          </cell>
          <cell r="E497" t="str">
            <v>SRHB-WTR13</v>
          </cell>
          <cell r="F497" t="str">
            <v>SRHB-WTR12</v>
          </cell>
          <cell r="G497" t="str">
            <v>SRHB-WTR11</v>
          </cell>
          <cell r="H497" t="str">
            <v>SRHB-WTR10</v>
          </cell>
          <cell r="I497" t="str">
            <v>SRHB-WTR09</v>
          </cell>
          <cell r="J497" t="str">
            <v>SRHB-WTR08</v>
          </cell>
          <cell r="K497" t="str">
            <v>SRHB-WTR07</v>
          </cell>
          <cell r="L497" t="str">
            <v>SWO009016</v>
          </cell>
          <cell r="M497" t="str">
            <v>SWO006016</v>
          </cell>
          <cell r="N497" t="str">
            <v>SWO003442</v>
          </cell>
          <cell r="O497" t="str">
            <v>SWO002562</v>
          </cell>
          <cell r="P497" t="str">
            <v>SWO001828</v>
          </cell>
          <cell r="Q497" t="str">
            <v>SWO001323</v>
          </cell>
          <cell r="R497" t="str">
            <v>SWO000884</v>
          </cell>
          <cell r="S497">
            <v>20628</v>
          </cell>
          <cell r="T497" t="str">
            <v>1471</v>
          </cell>
          <cell r="U497" t="str">
            <v>SRH</v>
          </cell>
          <cell r="V497" t="str">
            <v>HSC</v>
          </cell>
          <cell r="W497" t="str">
            <v>Seaver Bookstore - Water</v>
          </cell>
          <cell r="X497" t="str">
            <v>Y</v>
          </cell>
          <cell r="Y497" t="str">
            <v>17-8103-0000</v>
          </cell>
          <cell r="Z497">
            <v>20212</v>
          </cell>
        </row>
        <row r="498">
          <cell r="A498" t="str">
            <v>SRH: UTILITIES CHILLED WATER FY15</v>
          </cell>
          <cell r="B498" t="str">
            <v>SRH</v>
          </cell>
          <cell r="C498" t="str">
            <v>SRH-UCW</v>
          </cell>
          <cell r="D498" t="str">
            <v>SRH-UCW14</v>
          </cell>
          <cell r="E498" t="str">
            <v>SRH-UCW13</v>
          </cell>
          <cell r="F498" t="str">
            <v>SRH-UCW12</v>
          </cell>
          <cell r="G498" t="str">
            <v>SRH-UCW11</v>
          </cell>
          <cell r="H498" t="str">
            <v>SRH-UCW10</v>
          </cell>
          <cell r="I498" t="str">
            <v>SRH-UCW09</v>
          </cell>
          <cell r="J498" t="str">
            <v>SRH-UCW08</v>
          </cell>
          <cell r="K498" t="str">
            <v>SRH-UCW07</v>
          </cell>
          <cell r="L498" t="str">
            <v>SRH-UCW06</v>
          </cell>
          <cell r="M498" t="str">
            <v>SRH-UCW05</v>
          </cell>
          <cell r="W498" t="str">
            <v xml:space="preserve">SRH: UTILITIES CHILLED WATER </v>
          </cell>
        </row>
        <row r="499">
          <cell r="A499" t="str">
            <v>SRH: UTILITIES DEBT SERVICE FY15</v>
          </cell>
          <cell r="B499" t="str">
            <v>SRH</v>
          </cell>
          <cell r="C499" t="str">
            <v>SRH-UDS</v>
          </cell>
          <cell r="D499" t="str">
            <v>SRH-UDS14</v>
          </cell>
          <cell r="E499" t="str">
            <v>SRH-UDS13</v>
          </cell>
          <cell r="F499" t="str">
            <v>SRH-UDS12</v>
          </cell>
          <cell r="G499" t="str">
            <v>SRH-UDS11</v>
          </cell>
          <cell r="H499" t="str">
            <v>SRH-UDS10</v>
          </cell>
          <cell r="I499" t="str">
            <v>SRH-UDS09</v>
          </cell>
          <cell r="J499" t="str">
            <v>SRH-UDS08</v>
          </cell>
          <cell r="K499" t="str">
            <v>SRH-UDS07</v>
          </cell>
          <cell r="L499" t="str">
            <v>SRH-UDS06</v>
          </cell>
          <cell r="M499" t="str">
            <v>SRH-UDS05</v>
          </cell>
          <cell r="W499" t="str">
            <v xml:space="preserve">SRH: UTILITIES DEBT SERVICE </v>
          </cell>
        </row>
        <row r="500">
          <cell r="A500" t="str">
            <v>SRH: UTILITIES MAINT FY15</v>
          </cell>
          <cell r="B500">
            <v>0</v>
          </cell>
          <cell r="C500" t="str">
            <v>SRH-UMT</v>
          </cell>
          <cell r="D500" t="str">
            <v>SRH-UMT14</v>
          </cell>
          <cell r="E500" t="str">
            <v>SRH-UMT13</v>
          </cell>
          <cell r="F500" t="str">
            <v>SRH-UMT12</v>
          </cell>
          <cell r="G500" t="str">
            <v>SRH-UMT11</v>
          </cell>
          <cell r="H500" t="str">
            <v>SRH-UMT10</v>
          </cell>
          <cell r="I500" t="str">
            <v>SRH-UMT09</v>
          </cell>
          <cell r="J500" t="str">
            <v>SRH-UMT08</v>
          </cell>
          <cell r="K500" t="str">
            <v>SRH-UMT07</v>
          </cell>
          <cell r="L500" t="str">
            <v>SRH-UMT06</v>
          </cell>
          <cell r="M500" t="str">
            <v>SRH-UMT05</v>
          </cell>
          <cell r="W500" t="str">
            <v xml:space="preserve">SRH: UTILITIES MAINT </v>
          </cell>
        </row>
        <row r="501">
          <cell r="A501" t="str">
            <v>SRH: UTILITIES FY15 - GAS/WATER/ELECTRIC</v>
          </cell>
          <cell r="B501" t="str">
            <v>SRH</v>
          </cell>
          <cell r="C501" t="str">
            <v>SRH-EGW</v>
          </cell>
          <cell r="D501" t="str">
            <v>SRH-EGW-14</v>
          </cell>
          <cell r="E501" t="str">
            <v>SRH-EGW-13</v>
          </cell>
          <cell r="F501" t="str">
            <v>SRH-EGW-12</v>
          </cell>
          <cell r="G501" t="str">
            <v>SRH-EGW-11</v>
          </cell>
          <cell r="H501" t="str">
            <v>SRH-EGW-10</v>
          </cell>
          <cell r="I501" t="str">
            <v>SRH-EGW-09</v>
          </cell>
          <cell r="J501" t="str">
            <v>SRH-EGW-08</v>
          </cell>
          <cell r="K501" t="str">
            <v>SRH-EGW-07</v>
          </cell>
          <cell r="L501" t="str">
            <v>SRH-EGW-06</v>
          </cell>
          <cell r="M501" t="str">
            <v>SRH-EGW-05</v>
          </cell>
          <cell r="N501" t="str">
            <v>SWO003253</v>
          </cell>
          <cell r="O501" t="str">
            <v>SWO000885</v>
          </cell>
          <cell r="P501" t="str">
            <v>SWO000885</v>
          </cell>
          <cell r="Q501" t="str">
            <v>SWO000885</v>
          </cell>
          <cell r="R501" t="str">
            <v>SWO000885</v>
          </cell>
          <cell r="S501">
            <v>22629</v>
          </cell>
          <cell r="T501" t="str">
            <v>1470</v>
          </cell>
          <cell r="U501" t="str">
            <v>SRH</v>
          </cell>
          <cell r="V501" t="str">
            <v>HSC</v>
          </cell>
          <cell r="W501" t="str">
            <v xml:space="preserve">SRH: UTILITIES G/W/E </v>
          </cell>
          <cell r="X501" t="str">
            <v>N</v>
          </cell>
        </row>
        <row r="502">
          <cell r="A502" t="str">
            <v>ACB: UTILITIES FY15 - GAS/WATER/ELECTRIC</v>
          </cell>
          <cell r="B502" t="str">
            <v>ACB</v>
          </cell>
          <cell r="C502" t="str">
            <v>ACB-EGW</v>
          </cell>
          <cell r="D502" t="str">
            <v>ACB-EGW-14</v>
          </cell>
          <cell r="E502" t="str">
            <v>ACB-EGW-13</v>
          </cell>
          <cell r="F502" t="str">
            <v>ACB-EGW-12</v>
          </cell>
          <cell r="G502" t="str">
            <v>ACB-EGW-11</v>
          </cell>
          <cell r="H502" t="str">
            <v>ACB-EGW-10</v>
          </cell>
          <cell r="I502" t="str">
            <v>ACB-EGW-09</v>
          </cell>
          <cell r="J502" t="str">
            <v>ACB-EGW-08</v>
          </cell>
          <cell r="K502" t="str">
            <v>ACB-EGW-07</v>
          </cell>
          <cell r="L502" t="str">
            <v>ACB-EGW-06</v>
          </cell>
          <cell r="M502" t="str">
            <v>ACB-EGW-05</v>
          </cell>
          <cell r="N502" t="str">
            <v>SWO003090</v>
          </cell>
          <cell r="O502" t="str">
            <v>SWO000886</v>
          </cell>
          <cell r="P502" t="str">
            <v>SWO000886</v>
          </cell>
          <cell r="Q502" t="str">
            <v>SWO000886</v>
          </cell>
          <cell r="R502" t="str">
            <v>SWO000886</v>
          </cell>
          <cell r="S502">
            <v>22632</v>
          </cell>
          <cell r="T502" t="str">
            <v>1480</v>
          </cell>
          <cell r="U502" t="str">
            <v>ACB</v>
          </cell>
          <cell r="W502" t="str">
            <v xml:space="preserve">ACB: UTILITIES G/W/E </v>
          </cell>
          <cell r="X502" t="str">
            <v>N</v>
          </cell>
        </row>
        <row r="503">
          <cell r="A503" t="str">
            <v>ACB: UTILITIES CHILLED WATER FY15</v>
          </cell>
          <cell r="B503" t="str">
            <v>ACB</v>
          </cell>
          <cell r="C503" t="str">
            <v>ACB-UCW</v>
          </cell>
          <cell r="D503" t="str">
            <v>ACB-UCW14</v>
          </cell>
          <cell r="E503" t="str">
            <v>ACB-UCW13</v>
          </cell>
          <cell r="F503" t="str">
            <v>ACB-UCW12</v>
          </cell>
          <cell r="G503" t="str">
            <v>ACB-UCW11</v>
          </cell>
          <cell r="H503" t="str">
            <v>ACB-UCW10</v>
          </cell>
          <cell r="I503" t="str">
            <v>ACB-UCW09</v>
          </cell>
          <cell r="J503" t="str">
            <v>ACB-UCW08</v>
          </cell>
          <cell r="K503" t="str">
            <v>ACB-UCW07</v>
          </cell>
          <cell r="L503" t="str">
            <v>ACB-UCW06</v>
          </cell>
          <cell r="M503" t="str">
            <v>ACB-UCW05</v>
          </cell>
          <cell r="W503" t="str">
            <v xml:space="preserve">ACB: UTILITIES CHILLED WATER </v>
          </cell>
        </row>
        <row r="504">
          <cell r="A504" t="str">
            <v>ACB: UTILITIES DEBT SERVICE FY15</v>
          </cell>
          <cell r="B504" t="str">
            <v>ACB</v>
          </cell>
          <cell r="C504" t="str">
            <v>ACB-UDS</v>
          </cell>
          <cell r="D504" t="str">
            <v>ACB-UDS14</v>
          </cell>
          <cell r="E504" t="str">
            <v>ACB-UDS13</v>
          </cell>
          <cell r="F504" t="str">
            <v>ACB-UDS12</v>
          </cell>
          <cell r="G504" t="str">
            <v>ACB-UDS11</v>
          </cell>
          <cell r="H504" t="str">
            <v>ACB-UDS10</v>
          </cell>
          <cell r="I504" t="str">
            <v>ACB-UDS09</v>
          </cell>
          <cell r="J504" t="str">
            <v>ACB-UDS08</v>
          </cell>
          <cell r="K504" t="str">
            <v>ACB-UDS07</v>
          </cell>
          <cell r="L504" t="str">
            <v>ACB-UDS06</v>
          </cell>
          <cell r="M504" t="str">
            <v>ACB-UDS05</v>
          </cell>
          <cell r="W504" t="str">
            <v xml:space="preserve">ACB: UTILITIES DEBT SERVICE </v>
          </cell>
        </row>
        <row r="505">
          <cell r="A505" t="str">
            <v>ACB: UTILITIES FY15 - GAS/WATER/ELECTRIC</v>
          </cell>
          <cell r="B505" t="str">
            <v>ACB</v>
          </cell>
          <cell r="C505" t="str">
            <v>ACB-EGW</v>
          </cell>
          <cell r="D505" t="str">
            <v>ACB-EGW-14</v>
          </cell>
          <cell r="E505" t="str">
            <v>ACB-EGW-13</v>
          </cell>
          <cell r="F505" t="str">
            <v>ACB-EGW-12</v>
          </cell>
          <cell r="G505" t="str">
            <v>ACB-EGW-11</v>
          </cell>
          <cell r="H505" t="str">
            <v>ACB-EGW-10</v>
          </cell>
          <cell r="I505" t="str">
            <v>ACB-EGW-09</v>
          </cell>
          <cell r="J505" t="str">
            <v>ACB-EGW-08</v>
          </cell>
          <cell r="K505" t="str">
            <v>ACB-EGW-07</v>
          </cell>
          <cell r="L505" t="str">
            <v>ACB-EGW-06</v>
          </cell>
          <cell r="M505" t="str">
            <v>ACB-EGW-05</v>
          </cell>
          <cell r="W505" t="str">
            <v xml:space="preserve">ACB: UTILITIES G/W/E </v>
          </cell>
        </row>
        <row r="506">
          <cell r="A506" t="str">
            <v>ACB: CHILLER/CONTRACT PM FY15 - EQUIPMENT, D3030</v>
          </cell>
          <cell r="B506">
            <v>0</v>
          </cell>
          <cell r="C506" t="e">
            <v>#N/A</v>
          </cell>
          <cell r="D506" t="str">
            <v>ACB-CMC-14</v>
          </cell>
          <cell r="E506" t="str">
            <v>ACB-CMC-13</v>
          </cell>
          <cell r="W506" t="str">
            <v>ACB: CHILLER/CONTRACT PM FY13 - EQUIPMENT, D3030</v>
          </cell>
        </row>
        <row r="507">
          <cell r="A507" t="str">
            <v>DMT: UTILITIES FY15 - ELECTRIC</v>
          </cell>
          <cell r="B507" t="str">
            <v>DMT</v>
          </cell>
          <cell r="C507" t="str">
            <v>DMT-ELC</v>
          </cell>
          <cell r="D507" t="str">
            <v>DMT-ELC-14</v>
          </cell>
          <cell r="E507" t="str">
            <v>DMT-ELC-13</v>
          </cell>
          <cell r="F507" t="str">
            <v>DMT-ELC-12</v>
          </cell>
          <cell r="G507" t="str">
            <v>DMT-ELC-11</v>
          </cell>
          <cell r="H507" t="str">
            <v>DMT-ELC-10</v>
          </cell>
          <cell r="I507" t="str">
            <v>DMT-ELC-09</v>
          </cell>
          <cell r="J507" t="str">
            <v>DMT-ELC-08</v>
          </cell>
          <cell r="K507" t="str">
            <v>DMT-ELC-07</v>
          </cell>
          <cell r="L507" t="str">
            <v>SWO009038</v>
          </cell>
          <cell r="M507" t="str">
            <v>SWO006043</v>
          </cell>
          <cell r="N507" t="str">
            <v>SWO003404</v>
          </cell>
          <cell r="O507" t="str">
            <v>SWO002521</v>
          </cell>
          <cell r="P507" t="str">
            <v>SWO001771</v>
          </cell>
          <cell r="Q507" t="str">
            <v>SWO001324</v>
          </cell>
          <cell r="R507" t="str">
            <v>SWO000887</v>
          </cell>
          <cell r="S507">
            <v>22633</v>
          </cell>
          <cell r="T507" t="str">
            <v>1490</v>
          </cell>
          <cell r="U507" t="str">
            <v>DMT</v>
          </cell>
          <cell r="W507" t="str">
            <v>David Marks Tower - Electric</v>
          </cell>
          <cell r="X507" t="str">
            <v>Y</v>
          </cell>
          <cell r="Y507" t="str">
            <v>17-8701-0304</v>
          </cell>
          <cell r="Z507">
            <v>20215</v>
          </cell>
        </row>
        <row r="508">
          <cell r="A508" t="str">
            <v>DMT: UTILITIES FY15 - GAS</v>
          </cell>
          <cell r="B508" t="str">
            <v>DMT</v>
          </cell>
          <cell r="C508" t="str">
            <v>DMT-GAS</v>
          </cell>
          <cell r="D508" t="str">
            <v>DMT-GAS-14</v>
          </cell>
          <cell r="E508" t="str">
            <v>DMT-GAS-13</v>
          </cell>
          <cell r="F508" t="str">
            <v>DMT-GAS-12</v>
          </cell>
          <cell r="G508" t="str">
            <v>DMT-GAS-11</v>
          </cell>
          <cell r="H508" t="str">
            <v>DMT-GAS-10</v>
          </cell>
          <cell r="I508" t="str">
            <v>DMT-GAS-09</v>
          </cell>
          <cell r="J508" t="str">
            <v>DMT-GAS-08</v>
          </cell>
          <cell r="K508" t="str">
            <v>DMT-GAS-07</v>
          </cell>
          <cell r="L508" t="str">
            <v>SWO008986</v>
          </cell>
          <cell r="M508" t="str">
            <v>SWO006059</v>
          </cell>
          <cell r="N508" t="str">
            <v>SWO003405</v>
          </cell>
          <cell r="O508" t="str">
            <v>SWO002501</v>
          </cell>
          <cell r="P508" t="str">
            <v>SWO001752</v>
          </cell>
          <cell r="Q508" t="str">
            <v>SWO001325</v>
          </cell>
          <cell r="R508" t="str">
            <v>SWO000888</v>
          </cell>
          <cell r="S508">
            <v>22634</v>
          </cell>
          <cell r="W508" t="str">
            <v>David Marks Tower - Gas</v>
          </cell>
          <cell r="X508" t="str">
            <v>Y</v>
          </cell>
          <cell r="Y508" t="str">
            <v>17-8701-0304</v>
          </cell>
          <cell r="Z508">
            <v>20211</v>
          </cell>
        </row>
        <row r="509">
          <cell r="A509" t="str">
            <v>DMT: UTILITIES FY15 - WATER</v>
          </cell>
          <cell r="B509" t="str">
            <v>DMT</v>
          </cell>
          <cell r="C509" t="str">
            <v>DMT-WTR</v>
          </cell>
          <cell r="D509" t="str">
            <v>DMT-WTR-14</v>
          </cell>
          <cell r="E509" t="str">
            <v>DMT-WTR-13</v>
          </cell>
          <cell r="F509" t="str">
            <v>DMT-WTR-12</v>
          </cell>
          <cell r="G509" t="str">
            <v>DMT-WTR-11</v>
          </cell>
          <cell r="H509" t="str">
            <v>DMT-WTR-10</v>
          </cell>
          <cell r="I509" t="str">
            <v>DMT-WTR-09</v>
          </cell>
          <cell r="J509" t="str">
            <v>DMT-WTR-08</v>
          </cell>
          <cell r="K509" t="str">
            <v>DMT-WTR-07</v>
          </cell>
          <cell r="L509" t="str">
            <v>SWO008987</v>
          </cell>
          <cell r="M509" t="str">
            <v>SWO006042</v>
          </cell>
          <cell r="N509" t="str">
            <v>SWO003406</v>
          </cell>
          <cell r="O509" t="str">
            <v>SWO002510</v>
          </cell>
          <cell r="P509" t="str">
            <v>SWO001761</v>
          </cell>
          <cell r="Q509" t="str">
            <v>SWO001326</v>
          </cell>
          <cell r="R509" t="str">
            <v>SWO000889</v>
          </cell>
          <cell r="S509">
            <v>22635</v>
          </cell>
          <cell r="W509" t="str">
            <v>David Marks Tower - Water</v>
          </cell>
          <cell r="X509" t="str">
            <v>Y</v>
          </cell>
          <cell r="Y509" t="str">
            <v>17-8701-0304</v>
          </cell>
          <cell r="Z509">
            <v>20212</v>
          </cell>
        </row>
        <row r="510">
          <cell r="A510" t="str">
            <v>DMT: UTILITIES CHILLED WATER FY15</v>
          </cell>
          <cell r="B510" t="str">
            <v>DMT</v>
          </cell>
          <cell r="C510" t="str">
            <v>DMT-UCW</v>
          </cell>
          <cell r="D510" t="str">
            <v>DMT-UCW14</v>
          </cell>
          <cell r="E510" t="str">
            <v>DMT-UCW13</v>
          </cell>
          <cell r="F510" t="str">
            <v>DMT-UCW12</v>
          </cell>
          <cell r="G510" t="str">
            <v>DMT-UCW11</v>
          </cell>
          <cell r="H510" t="str">
            <v>DMT-UCW10</v>
          </cell>
          <cell r="I510" t="str">
            <v>DMT-UCW09</v>
          </cell>
          <cell r="J510" t="str">
            <v>DMT-UCW08</v>
          </cell>
          <cell r="K510" t="str">
            <v>DMT-UCW07</v>
          </cell>
          <cell r="L510" t="str">
            <v>DMT-UCW06</v>
          </cell>
          <cell r="M510" t="str">
            <v>DMT-UCW05</v>
          </cell>
          <cell r="W510" t="str">
            <v xml:space="preserve">DMT: UTILITIES CHILLED WATER </v>
          </cell>
        </row>
        <row r="511">
          <cell r="A511" t="str">
            <v>DMT: UTILITIES DEBT SERVICE FY15</v>
          </cell>
          <cell r="B511" t="str">
            <v>DMT</v>
          </cell>
          <cell r="C511" t="str">
            <v>DMT-UDS</v>
          </cell>
          <cell r="D511" t="str">
            <v>DMT-UDS14</v>
          </cell>
          <cell r="E511" t="str">
            <v>DMT-UDS13</v>
          </cell>
          <cell r="F511" t="str">
            <v>DMT-UDS12</v>
          </cell>
          <cell r="G511" t="str">
            <v>DMT-UDS11</v>
          </cell>
          <cell r="H511" t="str">
            <v>DMT-UDS10</v>
          </cell>
          <cell r="I511" t="str">
            <v>DMT-UDS09</v>
          </cell>
          <cell r="J511" t="str">
            <v>DMT-UDS08</v>
          </cell>
          <cell r="K511" t="str">
            <v>DMT-UDS07</v>
          </cell>
          <cell r="L511" t="str">
            <v>DMT-UDS06</v>
          </cell>
          <cell r="M511" t="str">
            <v>DMT-UDS05</v>
          </cell>
          <cell r="W511" t="str">
            <v xml:space="preserve">DMT: UTILITIES DEBT SERVICE </v>
          </cell>
        </row>
        <row r="512">
          <cell r="A512" t="str">
            <v>DMT: UTILITIES MAINT FY15</v>
          </cell>
          <cell r="B512">
            <v>0</v>
          </cell>
          <cell r="C512" t="str">
            <v>DMT-UMT</v>
          </cell>
          <cell r="D512" t="str">
            <v>DMT-UMT14</v>
          </cell>
          <cell r="E512" t="str">
            <v>DMT-UMT13</v>
          </cell>
          <cell r="F512" t="str">
            <v>DMT-UMT12</v>
          </cell>
          <cell r="G512" t="str">
            <v>DMT-UMT11</v>
          </cell>
          <cell r="H512" t="str">
            <v>DMT-UMT10</v>
          </cell>
          <cell r="I512" t="str">
            <v>DMT-UMT09</v>
          </cell>
          <cell r="J512" t="str">
            <v>DMT-UMT08</v>
          </cell>
          <cell r="K512" t="str">
            <v>DMT-UMT07</v>
          </cell>
          <cell r="L512" t="str">
            <v>DMT-UMT06</v>
          </cell>
          <cell r="M512" t="str">
            <v>DMT-UMT05</v>
          </cell>
          <cell r="W512" t="str">
            <v xml:space="preserve">DMT: UTILITIES MAINT </v>
          </cell>
        </row>
        <row r="513">
          <cell r="A513" t="str">
            <v>RAN: UTILITIES FY15 - GAS/WATER/ELECTRIC</v>
          </cell>
          <cell r="B513" t="str">
            <v>RAN</v>
          </cell>
          <cell r="C513" t="str">
            <v>RAN-EGW</v>
          </cell>
          <cell r="D513" t="str">
            <v>RAN-EGW-14</v>
          </cell>
          <cell r="E513" t="str">
            <v>RAN-EGW-13</v>
          </cell>
          <cell r="F513" t="str">
            <v>RAN-EGW-12</v>
          </cell>
          <cell r="G513" t="str">
            <v>RAN-EGW-11</v>
          </cell>
          <cell r="H513" t="str">
            <v>RAN-EGW-10</v>
          </cell>
          <cell r="I513" t="str">
            <v>RAN-EGW-09</v>
          </cell>
          <cell r="J513" t="str">
            <v>RAN-EGW-08</v>
          </cell>
          <cell r="K513" t="str">
            <v>RAN-EGW-07</v>
          </cell>
          <cell r="L513" t="str">
            <v>RAN-EGW-06</v>
          </cell>
          <cell r="M513" t="str">
            <v>RAN-EGW-05</v>
          </cell>
          <cell r="N513" t="str">
            <v>SWO003233</v>
          </cell>
          <cell r="O513" t="str">
            <v>SWO000890</v>
          </cell>
          <cell r="P513" t="str">
            <v>SWO000890</v>
          </cell>
          <cell r="Q513" t="str">
            <v>SWO000890</v>
          </cell>
          <cell r="R513" t="str">
            <v>SWO000890</v>
          </cell>
          <cell r="S513">
            <v>22636</v>
          </cell>
          <cell r="T513" t="str">
            <v>1530</v>
          </cell>
          <cell r="U513" t="str">
            <v>RAN</v>
          </cell>
          <cell r="W513" t="str">
            <v xml:space="preserve">RAN: UTILITIES G/W/E </v>
          </cell>
          <cell r="X513" t="str">
            <v>N</v>
          </cell>
        </row>
        <row r="514">
          <cell r="A514" t="str">
            <v>RAN: UTILITIES CHILLED WATER FY15</v>
          </cell>
          <cell r="B514" t="str">
            <v>RAN</v>
          </cell>
          <cell r="C514" t="str">
            <v>RAN-UCW</v>
          </cell>
          <cell r="D514" t="str">
            <v>RAN-UCW14</v>
          </cell>
          <cell r="E514" t="str">
            <v>RAN-UCW13</v>
          </cell>
          <cell r="F514" t="str">
            <v>RAN-UCW12</v>
          </cell>
          <cell r="G514" t="str">
            <v>RAN-UCW11</v>
          </cell>
          <cell r="H514" t="str">
            <v>RAN-UCW10</v>
          </cell>
          <cell r="I514" t="str">
            <v>RAN-UCW09</v>
          </cell>
          <cell r="J514" t="str">
            <v>RAN-UCW08</v>
          </cell>
          <cell r="K514" t="str">
            <v>RAN-UCW07</v>
          </cell>
          <cell r="L514" t="str">
            <v>RAN-UCW06</v>
          </cell>
          <cell r="M514" t="str">
            <v>RAN-UCW05</v>
          </cell>
          <cell r="W514" t="str">
            <v xml:space="preserve">RAN: UTILITIES CHILLED WATER </v>
          </cell>
        </row>
        <row r="515">
          <cell r="A515" t="str">
            <v>RAN: UTILITIES DEBT SERVICE FY15</v>
          </cell>
          <cell r="B515" t="str">
            <v>RAN</v>
          </cell>
          <cell r="C515" t="str">
            <v>RAN-UDS</v>
          </cell>
          <cell r="D515" t="str">
            <v>RAN-UDS14</v>
          </cell>
          <cell r="E515" t="str">
            <v>RAN-UDS13</v>
          </cell>
          <cell r="F515" t="str">
            <v>RAN-UDS12</v>
          </cell>
          <cell r="G515" t="str">
            <v>RAN-UDS11</v>
          </cell>
          <cell r="H515" t="str">
            <v>RAN-UDS10</v>
          </cell>
          <cell r="I515" t="str">
            <v>RAN-UDS09</v>
          </cell>
          <cell r="J515" t="str">
            <v>RAN-UDS08</v>
          </cell>
          <cell r="K515" t="str">
            <v>RAN-UDS07</v>
          </cell>
          <cell r="L515" t="str">
            <v>RAN-UDS06</v>
          </cell>
          <cell r="M515" t="str">
            <v>RAN-UDS05</v>
          </cell>
          <cell r="W515" t="str">
            <v xml:space="preserve">RAN: UTILITIES DEBT SERVICE </v>
          </cell>
        </row>
        <row r="516">
          <cell r="A516" t="str">
            <v>RAN: UTILITIES MAINT FY15</v>
          </cell>
          <cell r="B516">
            <v>0</v>
          </cell>
          <cell r="C516" t="str">
            <v>RAN-UMT</v>
          </cell>
          <cell r="D516" t="str">
            <v>RAN-UMT14</v>
          </cell>
          <cell r="E516" t="str">
            <v>RAN-UMT13</v>
          </cell>
          <cell r="F516" t="str">
            <v>RAN-UMT12</v>
          </cell>
          <cell r="G516" t="str">
            <v>RAN-UMT11</v>
          </cell>
          <cell r="H516" t="str">
            <v>RAN-UMT10</v>
          </cell>
          <cell r="I516" t="str">
            <v>RAN-UMT09</v>
          </cell>
          <cell r="J516" t="str">
            <v>RAN-UMT08</v>
          </cell>
          <cell r="K516" t="str">
            <v>RAN-UMT07</v>
          </cell>
          <cell r="L516" t="str">
            <v>RAN-UMT06</v>
          </cell>
          <cell r="M516" t="str">
            <v>RAN-UMT05</v>
          </cell>
          <cell r="W516" t="str">
            <v xml:space="preserve">RAN: UTILITIES MAINT </v>
          </cell>
        </row>
        <row r="517">
          <cell r="A517" t="str">
            <v>KSH: UTILITIES FY15 - GAS/WATER/ELECTRIC</v>
          </cell>
          <cell r="B517" t="str">
            <v>EDL</v>
          </cell>
          <cell r="C517" t="str">
            <v>EDL-EGW</v>
          </cell>
          <cell r="D517" t="str">
            <v>EDL-EGW-14</v>
          </cell>
          <cell r="E517" t="str">
            <v>KSH-EGW-13</v>
          </cell>
          <cell r="F517" t="str">
            <v>EDL-EGW-12</v>
          </cell>
          <cell r="G517" t="str">
            <v>EDL-EGW-11</v>
          </cell>
          <cell r="H517" t="str">
            <v>EDL-EGW-10</v>
          </cell>
          <cell r="I517" t="str">
            <v>EDL-EGW-09</v>
          </cell>
          <cell r="J517" t="str">
            <v>EDL-EGW-08</v>
          </cell>
          <cell r="K517" t="str">
            <v>EDL-EGW-07</v>
          </cell>
          <cell r="L517" t="str">
            <v>EDL-EGW-06</v>
          </cell>
          <cell r="M517" t="str">
            <v>EDL-EGW-05</v>
          </cell>
          <cell r="N517" t="str">
            <v>SWO003139</v>
          </cell>
          <cell r="O517" t="str">
            <v>SWO000891</v>
          </cell>
          <cell r="P517" t="str">
            <v>SWO000891</v>
          </cell>
          <cell r="Q517" t="str">
            <v>SWO000891</v>
          </cell>
          <cell r="R517" t="str">
            <v>SWO000891</v>
          </cell>
          <cell r="S517">
            <v>22637</v>
          </cell>
          <cell r="T517" t="str">
            <v>1540</v>
          </cell>
          <cell r="U517" t="str">
            <v>EDL</v>
          </cell>
          <cell r="W517" t="str">
            <v xml:space="preserve">KSH: UTILITIES G/W/E </v>
          </cell>
          <cell r="X517" t="str">
            <v>N</v>
          </cell>
        </row>
        <row r="518">
          <cell r="A518" t="str">
            <v>KSH: UTILITIES FY15 - ELECTRIC ONLY</v>
          </cell>
          <cell r="B518" t="str">
            <v>KSH</v>
          </cell>
          <cell r="C518" t="str">
            <v>KSH-NELC</v>
          </cell>
          <cell r="D518" t="str">
            <v>KSH-NELC14</v>
          </cell>
          <cell r="E518" t="str">
            <v>KSH-NELC13</v>
          </cell>
          <cell r="T518" t="str">
            <v>1540</v>
          </cell>
          <cell r="U518" t="str">
            <v>KSH</v>
          </cell>
          <cell r="W518" t="str">
            <v>KSH: UTILITIES  - ELECTRIC (NEW BLDG)</v>
          </cell>
        </row>
        <row r="519">
          <cell r="A519" t="str">
            <v>KSH: UTILITIES FY15 - GAS</v>
          </cell>
          <cell r="B519">
            <v>0</v>
          </cell>
          <cell r="C519" t="str">
            <v>KSH-NGAS</v>
          </cell>
          <cell r="D519" t="str">
            <v>KSH-NGAS14</v>
          </cell>
          <cell r="E519" t="str">
            <v>KSH-NGAS13</v>
          </cell>
          <cell r="W519" t="str">
            <v>KSH: UTILITIES  - GAS (NEW BLDG)</v>
          </cell>
        </row>
        <row r="520">
          <cell r="A520" t="str">
            <v>KSH: UTILITIES FY15 - WATER</v>
          </cell>
          <cell r="B520">
            <v>0</v>
          </cell>
          <cell r="C520" t="str">
            <v>KSH-NWTR</v>
          </cell>
          <cell r="D520" t="str">
            <v>KSH-NWTR14</v>
          </cell>
          <cell r="E520" t="str">
            <v>KSH-NWTR13</v>
          </cell>
          <cell r="W520" t="str">
            <v>KSH: UTILITIES  - WATER (NEW BLDG)</v>
          </cell>
        </row>
        <row r="521">
          <cell r="A521" t="str">
            <v>KSH: UTILITIES  - ELECTRIC ONLY</v>
          </cell>
          <cell r="B521" t="str">
            <v>KSH</v>
          </cell>
          <cell r="C521" t="str">
            <v>KSH-NELC</v>
          </cell>
          <cell r="D521" t="str">
            <v>KSH-NELC</v>
          </cell>
          <cell r="W521" t="str">
            <v>KSH: UTILITIES  - ELECTRIC (NEW BLDG) FAMIS Xi</v>
          </cell>
        </row>
        <row r="522">
          <cell r="A522" t="str">
            <v>KSH: UTILITIES  - GAS</v>
          </cell>
          <cell r="B522" t="str">
            <v>KSH</v>
          </cell>
          <cell r="C522" t="str">
            <v>KSH-NGAS</v>
          </cell>
          <cell r="D522" t="str">
            <v>KSH-NGAS</v>
          </cell>
          <cell r="W522" t="str">
            <v>KSH: UTILITIES  - GAS (NEW BLDG)  FAMIS Xi</v>
          </cell>
        </row>
        <row r="523">
          <cell r="A523" t="str">
            <v>KSH: UTILITIES  - WATER</v>
          </cell>
          <cell r="B523" t="str">
            <v>KSH</v>
          </cell>
          <cell r="C523" t="str">
            <v>KSH-NWTR</v>
          </cell>
          <cell r="D523" t="str">
            <v>KSH-NWTR</v>
          </cell>
          <cell r="W523" t="str">
            <v>KSH: UTILITIES  - WATER (NEW BLDG)  FAMIS Xi</v>
          </cell>
        </row>
        <row r="524">
          <cell r="A524" t="str">
            <v>KSH: UTILITIES CHILLED WATER FY15</v>
          </cell>
          <cell r="B524" t="str">
            <v>KSH</v>
          </cell>
          <cell r="C524" t="str">
            <v>EDL-UCW</v>
          </cell>
          <cell r="D524" t="str">
            <v>EDL-UCW14</v>
          </cell>
          <cell r="E524" t="str">
            <v>KSH-UCW-13</v>
          </cell>
          <cell r="F524" t="str">
            <v>EDL-UCW12</v>
          </cell>
          <cell r="G524" t="str">
            <v>EDL-UCW11</v>
          </cell>
          <cell r="H524" t="str">
            <v>EDL-UCW10</v>
          </cell>
          <cell r="I524" t="str">
            <v>EDL-UCW09</v>
          </cell>
          <cell r="J524" t="str">
            <v>EDL-UCW08</v>
          </cell>
          <cell r="K524" t="str">
            <v>EDL-UCW07</v>
          </cell>
          <cell r="L524" t="str">
            <v>EDL-UCW06</v>
          </cell>
          <cell r="M524" t="str">
            <v>EDL-UCW05</v>
          </cell>
          <cell r="W524" t="str">
            <v xml:space="preserve">KSH: UTILITIES CHILLED WATER </v>
          </cell>
        </row>
        <row r="525">
          <cell r="A525" t="str">
            <v>KSH: UTILITIES DEBT SERVICE FY15</v>
          </cell>
          <cell r="B525" t="str">
            <v>KSH</v>
          </cell>
          <cell r="C525" t="str">
            <v>EDL-UDS</v>
          </cell>
          <cell r="D525" t="str">
            <v>EDL-UDS14</v>
          </cell>
          <cell r="E525" t="str">
            <v>KSH-UDS-13</v>
          </cell>
          <cell r="F525" t="str">
            <v>EDL-UDS12</v>
          </cell>
          <cell r="G525" t="str">
            <v>EDL-UDS11</v>
          </cell>
          <cell r="H525" t="str">
            <v>EDL-UDS10</v>
          </cell>
          <cell r="I525" t="str">
            <v>EDL-UDS09</v>
          </cell>
          <cell r="J525" t="str">
            <v>EDL-UDS08</v>
          </cell>
          <cell r="K525" t="str">
            <v>EDL-UDS07</v>
          </cell>
          <cell r="L525" t="str">
            <v>EDL-UDS06</v>
          </cell>
          <cell r="M525" t="str">
            <v>EDL-UDS05</v>
          </cell>
          <cell r="W525" t="str">
            <v xml:space="preserve">KSH: UTILITIES DEBT SERVICE </v>
          </cell>
        </row>
        <row r="526">
          <cell r="A526" t="str">
            <v>KSH: UTILITIES MAINT FY15</v>
          </cell>
          <cell r="B526">
            <v>0</v>
          </cell>
          <cell r="C526" t="str">
            <v>EDL-UMT</v>
          </cell>
          <cell r="D526" t="str">
            <v>EDL-UMT14</v>
          </cell>
          <cell r="E526" t="str">
            <v>KSH-UMT-13</v>
          </cell>
          <cell r="F526" t="str">
            <v>EDL-UMT12</v>
          </cell>
          <cell r="G526" t="str">
            <v>EDL-UMT11</v>
          </cell>
          <cell r="H526" t="str">
            <v>EDL-UMT10</v>
          </cell>
          <cell r="I526" t="str">
            <v>EDL-UMT09</v>
          </cell>
          <cell r="J526" t="str">
            <v>EDL-UMT08</v>
          </cell>
          <cell r="K526" t="str">
            <v>EDL-UMT07</v>
          </cell>
          <cell r="L526" t="str">
            <v>EDL-UMT06</v>
          </cell>
          <cell r="M526" t="str">
            <v>EDL-UMT05</v>
          </cell>
          <cell r="W526" t="str">
            <v xml:space="preserve">KSH: UTILITIES MAINT </v>
          </cell>
        </row>
        <row r="527">
          <cell r="A527" t="str">
            <v>ONE: UTILITIES FY15 - GAS/WATER/ELECTRIC</v>
          </cell>
          <cell r="B527" t="str">
            <v>ONE</v>
          </cell>
          <cell r="C527" t="str">
            <v>ONE-EGW</v>
          </cell>
          <cell r="D527" t="str">
            <v>ONE-EGW-14</v>
          </cell>
          <cell r="E527" t="str">
            <v>ONE-EGW-13</v>
          </cell>
          <cell r="F527" t="str">
            <v>ONE-EGW-12</v>
          </cell>
          <cell r="G527" t="str">
            <v>ONE-EGW-11</v>
          </cell>
          <cell r="H527" t="str">
            <v>ONE-EGW-10</v>
          </cell>
          <cell r="I527" t="str">
            <v>ONE-EGW-09</v>
          </cell>
          <cell r="J527" t="str">
            <v>ONE-EGW-08</v>
          </cell>
          <cell r="K527" t="str">
            <v>ONE-EGW-07</v>
          </cell>
          <cell r="L527" t="str">
            <v>ONE-EGW-06</v>
          </cell>
          <cell r="M527" t="str">
            <v>ONE-EGW-05</v>
          </cell>
          <cell r="N527" t="str">
            <v>SWO003211</v>
          </cell>
          <cell r="O527" t="str">
            <v>SWO000892</v>
          </cell>
          <cell r="P527" t="str">
            <v>SWO000892</v>
          </cell>
          <cell r="Q527" t="str">
            <v>SWO000892</v>
          </cell>
          <cell r="R527" t="str">
            <v>SWO000892</v>
          </cell>
          <cell r="S527">
            <v>22638</v>
          </cell>
          <cell r="T527" t="str">
            <v>1580</v>
          </cell>
          <cell r="U527" t="str">
            <v>ONE</v>
          </cell>
          <cell r="W527" t="str">
            <v xml:space="preserve">ONE: UTILITIES G/W/E </v>
          </cell>
          <cell r="X527" t="str">
            <v>N</v>
          </cell>
        </row>
        <row r="528">
          <cell r="A528" t="str">
            <v>ONE: UTILITIES CHILLED WATER FY15</v>
          </cell>
          <cell r="B528" t="str">
            <v>ONE</v>
          </cell>
          <cell r="C528" t="str">
            <v>ONE-UCW</v>
          </cell>
          <cell r="D528" t="str">
            <v>ONE-UCW14</v>
          </cell>
          <cell r="E528" t="str">
            <v>ONE-UCW13</v>
          </cell>
          <cell r="F528" t="str">
            <v>ONE-UCW12</v>
          </cell>
          <cell r="G528" t="str">
            <v>ONE-UCW11</v>
          </cell>
          <cell r="H528" t="str">
            <v>ONE-UCW10</v>
          </cell>
          <cell r="I528" t="str">
            <v>ONE-UCW09</v>
          </cell>
          <cell r="J528" t="str">
            <v>ONE-UCW08</v>
          </cell>
          <cell r="K528" t="str">
            <v>ONE-UCW07</v>
          </cell>
          <cell r="L528" t="str">
            <v>ONE-UCW06</v>
          </cell>
          <cell r="M528" t="str">
            <v>ONE-UCW05</v>
          </cell>
          <cell r="W528" t="str">
            <v xml:space="preserve">ONE: UTILITIES CHILLED WATER </v>
          </cell>
        </row>
        <row r="529">
          <cell r="A529" t="str">
            <v>ONE: UTILITIES DEBT SERVICE FY15</v>
          </cell>
          <cell r="B529" t="str">
            <v>ONE</v>
          </cell>
          <cell r="C529" t="str">
            <v>ONE-UDS</v>
          </cell>
          <cell r="D529" t="str">
            <v>ONE-UDS14</v>
          </cell>
          <cell r="E529" t="str">
            <v>ONE-UDS13</v>
          </cell>
          <cell r="F529" t="str">
            <v>ONE-UDS12</v>
          </cell>
          <cell r="G529" t="str">
            <v>ONE-UDS11</v>
          </cell>
          <cell r="H529" t="str">
            <v>ONE-UDS10</v>
          </cell>
          <cell r="I529" t="str">
            <v>ONE-UDS09</v>
          </cell>
          <cell r="J529" t="str">
            <v>ONE-UDS08</v>
          </cell>
          <cell r="K529" t="str">
            <v>ONE-UDS07</v>
          </cell>
          <cell r="L529" t="str">
            <v>ONE-UDS06</v>
          </cell>
          <cell r="M529" t="str">
            <v>ONE-UDS05</v>
          </cell>
          <cell r="W529" t="str">
            <v xml:space="preserve">ONE: UTILITIES DEBT SERVICE </v>
          </cell>
        </row>
        <row r="530">
          <cell r="A530" t="str">
            <v>ONE: UTILITIES MAINT FY15</v>
          </cell>
          <cell r="B530">
            <v>0</v>
          </cell>
          <cell r="C530" t="str">
            <v>ONE-UMT</v>
          </cell>
          <cell r="D530" t="str">
            <v>ONE-UMT14</v>
          </cell>
          <cell r="E530" t="str">
            <v>ONE-UMT13</v>
          </cell>
          <cell r="F530" t="str">
            <v>ONE-UMT12</v>
          </cell>
          <cell r="G530" t="str">
            <v>ONE-UMT11</v>
          </cell>
          <cell r="H530" t="str">
            <v>ONE-UMT10</v>
          </cell>
          <cell r="I530" t="str">
            <v>ONE-UMT09</v>
          </cell>
          <cell r="J530" t="str">
            <v>ONE-UMT08</v>
          </cell>
          <cell r="K530" t="str">
            <v>ONE-UMT07</v>
          </cell>
          <cell r="L530" t="str">
            <v>ONE-UMT06</v>
          </cell>
          <cell r="M530" t="str">
            <v>ONE-UMT05</v>
          </cell>
          <cell r="W530" t="str">
            <v xml:space="preserve">ONE: UTILITIES MAINT </v>
          </cell>
        </row>
        <row r="531">
          <cell r="A531" t="str">
            <v>HRC: UTILITIES FY15 - GAS/WATER/ELECTRIC</v>
          </cell>
          <cell r="B531" t="str">
            <v>HRC</v>
          </cell>
          <cell r="C531" t="str">
            <v>HRC-EGW</v>
          </cell>
          <cell r="D531" t="str">
            <v>HRC-EGW-14</v>
          </cell>
          <cell r="E531" t="str">
            <v>HRC-EGW-13</v>
          </cell>
          <cell r="F531" t="str">
            <v>HRC-EGW-12</v>
          </cell>
          <cell r="G531" t="str">
            <v>HRC-EGW-11</v>
          </cell>
          <cell r="H531" t="str">
            <v>HRC-EGW-10</v>
          </cell>
          <cell r="I531" t="str">
            <v>HRC-EGW-09</v>
          </cell>
          <cell r="J531" t="str">
            <v>HRC-EGW-08</v>
          </cell>
          <cell r="K531" t="str">
            <v>HRC-EGW-07</v>
          </cell>
          <cell r="L531" t="str">
            <v>HRC-EGW-06</v>
          </cell>
          <cell r="M531" t="str">
            <v>HRC-EGW-05</v>
          </cell>
          <cell r="N531" t="str">
            <v>SWO003165</v>
          </cell>
          <cell r="O531" t="str">
            <v>SWO000893</v>
          </cell>
          <cell r="P531" t="str">
            <v>SWO000893</v>
          </cell>
          <cell r="Q531" t="str">
            <v>SWO000893</v>
          </cell>
          <cell r="R531" t="str">
            <v>SWO000893</v>
          </cell>
          <cell r="S531">
            <v>22639</v>
          </cell>
          <cell r="T531" t="str">
            <v>1590</v>
          </cell>
          <cell r="U531" t="str">
            <v>HRC</v>
          </cell>
          <cell r="W531" t="str">
            <v xml:space="preserve">HRC: UTILITIES G/W/E </v>
          </cell>
          <cell r="X531" t="str">
            <v>N</v>
          </cell>
        </row>
        <row r="532">
          <cell r="A532" t="str">
            <v>HRC: UTILITIES CHILLED WATER FY15</v>
          </cell>
          <cell r="B532" t="str">
            <v>HRC</v>
          </cell>
          <cell r="C532" t="str">
            <v>HRC-UCW</v>
          </cell>
          <cell r="D532" t="str">
            <v>HRC-UCW14</v>
          </cell>
          <cell r="E532" t="str">
            <v>HRC-UCW13</v>
          </cell>
          <cell r="F532" t="str">
            <v>HRC-UCW12</v>
          </cell>
          <cell r="G532" t="str">
            <v>HRC-UCW11</v>
          </cell>
          <cell r="H532" t="str">
            <v>HRC-UCW10</v>
          </cell>
          <cell r="I532" t="str">
            <v>HRC-UCW09</v>
          </cell>
          <cell r="J532" t="str">
            <v>HRC-UCW08</v>
          </cell>
          <cell r="K532" t="str">
            <v>HRC-UCW07</v>
          </cell>
          <cell r="L532" t="str">
            <v>HRC-UCW06</v>
          </cell>
          <cell r="M532" t="str">
            <v>HRC-UCW05</v>
          </cell>
          <cell r="W532" t="str">
            <v xml:space="preserve">HRC: UTILITIES CHILLED WATER </v>
          </cell>
        </row>
        <row r="533">
          <cell r="A533" t="str">
            <v>HRC: UTILITIES DEBT SERVICE FY15</v>
          </cell>
          <cell r="B533" t="str">
            <v>HRC</v>
          </cell>
          <cell r="C533" t="str">
            <v>HRC-UDS</v>
          </cell>
          <cell r="D533" t="str">
            <v>HRC-UDS14</v>
          </cell>
          <cell r="E533" t="str">
            <v>HRC-UDS13</v>
          </cell>
          <cell r="F533" t="str">
            <v>HRC-UDS12</v>
          </cell>
          <cell r="G533" t="str">
            <v>HRC-UDS11</v>
          </cell>
          <cell r="H533" t="str">
            <v>HRC-UDS10</v>
          </cell>
          <cell r="I533" t="str">
            <v>HRC-UDS09</v>
          </cell>
          <cell r="J533" t="str">
            <v>HRC-UDS08</v>
          </cell>
          <cell r="K533" t="str">
            <v>HRC-UDS07</v>
          </cell>
          <cell r="L533" t="str">
            <v>HRC-UDS06</v>
          </cell>
          <cell r="M533" t="str">
            <v>HRC-UDS05</v>
          </cell>
          <cell r="W533" t="str">
            <v xml:space="preserve">HRC: UTILITIES DEBT SERVICE </v>
          </cell>
        </row>
        <row r="534">
          <cell r="A534" t="str">
            <v>HRC: UTILITIES MAINT FY15</v>
          </cell>
          <cell r="B534">
            <v>0</v>
          </cell>
          <cell r="C534" t="str">
            <v>HRC-UMT</v>
          </cell>
          <cell r="D534" t="str">
            <v>HRC-UMT-14</v>
          </cell>
          <cell r="E534" t="str">
            <v>HRC-UMT-13</v>
          </cell>
          <cell r="F534" t="str">
            <v>HRC-UMT-12</v>
          </cell>
          <cell r="G534" t="str">
            <v>HRC-UMT-11</v>
          </cell>
          <cell r="H534" t="str">
            <v>HRC-UMT-10</v>
          </cell>
          <cell r="I534" t="str">
            <v>HRC-UMT-09</v>
          </cell>
          <cell r="J534" t="str">
            <v>HRC-UMT-08</v>
          </cell>
          <cell r="K534" t="str">
            <v>HRC-UMT-07</v>
          </cell>
          <cell r="L534" t="str">
            <v>HRC-UMT06</v>
          </cell>
          <cell r="M534" t="str">
            <v>HRC-UMT05</v>
          </cell>
          <cell r="W534" t="str">
            <v xml:space="preserve">HRC: UTILITIES MAINT </v>
          </cell>
        </row>
        <row r="535">
          <cell r="A535" t="str">
            <v>PSD: UTILITIES FY15 - ELECTRIC, AUXILIARY</v>
          </cell>
          <cell r="B535" t="str">
            <v>PSD1</v>
          </cell>
          <cell r="C535" t="str">
            <v>PSD-ELC</v>
          </cell>
          <cell r="D535" t="str">
            <v>PSD-ELC-14</v>
          </cell>
          <cell r="E535" t="str">
            <v>PSD-ELC-13</v>
          </cell>
          <cell r="F535" t="str">
            <v>PSD-ELC-12</v>
          </cell>
          <cell r="G535" t="str">
            <v>PSD-ELC-11</v>
          </cell>
          <cell r="H535" t="str">
            <v>PSD-ELC-10</v>
          </cell>
          <cell r="I535" t="str">
            <v>PSD-ELC-09</v>
          </cell>
          <cell r="J535" t="str">
            <v>PSD-ELC-08</v>
          </cell>
          <cell r="K535" t="str">
            <v>PSD-ELC-07</v>
          </cell>
          <cell r="L535" t="str">
            <v>SWO009021</v>
          </cell>
          <cell r="M535" t="str">
            <v>SWO006008</v>
          </cell>
          <cell r="N535" t="str">
            <v>SWO003429</v>
          </cell>
          <cell r="O535" t="str">
            <v>SWO002553</v>
          </cell>
          <cell r="P535" t="str">
            <v>SWO001819</v>
          </cell>
          <cell r="Q535" t="str">
            <v>SWO001327</v>
          </cell>
          <cell r="R535" t="str">
            <v>SWO000894</v>
          </cell>
          <cell r="S535">
            <v>22641</v>
          </cell>
          <cell r="T535" t="str">
            <v>1621</v>
          </cell>
          <cell r="U535" t="str">
            <v>PSD1</v>
          </cell>
          <cell r="W535" t="str">
            <v>Parking Structure D  - Electric (Aux)</v>
          </cell>
          <cell r="X535" t="str">
            <v>Y</v>
          </cell>
          <cell r="Y535" t="str">
            <v>17-8060-0000</v>
          </cell>
          <cell r="Z535">
            <v>20215</v>
          </cell>
        </row>
        <row r="536">
          <cell r="A536" t="str">
            <v>PSD: UTILITIES CHILLED WATER FY15</v>
          </cell>
          <cell r="B536" t="str">
            <v>PSD</v>
          </cell>
          <cell r="C536" t="str">
            <v>PSD-UCW</v>
          </cell>
          <cell r="D536" t="str">
            <v>PSD-UCW14</v>
          </cell>
          <cell r="E536" t="str">
            <v>PSD-UCW13</v>
          </cell>
          <cell r="F536" t="str">
            <v>PSD-UCW12</v>
          </cell>
          <cell r="G536" t="str">
            <v>PSD-UCW11</v>
          </cell>
          <cell r="H536" t="str">
            <v>PSD-UCW10</v>
          </cell>
          <cell r="I536" t="str">
            <v>PSD-UCW09</v>
          </cell>
          <cell r="J536" t="str">
            <v>PSD-UCW08</v>
          </cell>
          <cell r="K536" t="str">
            <v>PSD-UCW07</v>
          </cell>
          <cell r="L536" t="str">
            <v>PSD-UCW06</v>
          </cell>
          <cell r="M536" t="str">
            <v>PSD-UCW05</v>
          </cell>
          <cell r="T536" t="str">
            <v>1620</v>
          </cell>
          <cell r="U536" t="str">
            <v>PSD</v>
          </cell>
          <cell r="W536" t="str">
            <v xml:space="preserve">PSD: UTILITIES CHILLED WATER </v>
          </cell>
        </row>
        <row r="537">
          <cell r="A537" t="str">
            <v>PSD: UTILITIES DEBT SERVICE FY15</v>
          </cell>
          <cell r="B537" t="str">
            <v>PSD</v>
          </cell>
          <cell r="C537" t="str">
            <v>PSD-UDS</v>
          </cell>
          <cell r="D537" t="str">
            <v>PSD-UDS14</v>
          </cell>
          <cell r="E537" t="str">
            <v>PSD-UDS13</v>
          </cell>
          <cell r="F537" t="str">
            <v>PSD-UDS12</v>
          </cell>
          <cell r="G537" t="str">
            <v>PSD-UDS11</v>
          </cell>
          <cell r="H537" t="str">
            <v>PSD-UDS10</v>
          </cell>
          <cell r="I537" t="str">
            <v>PSD-UDS09</v>
          </cell>
          <cell r="J537" t="str">
            <v>PSD-UDS08</v>
          </cell>
          <cell r="K537" t="str">
            <v>PSD-UDS07</v>
          </cell>
          <cell r="L537" t="str">
            <v>PSD-UDS06</v>
          </cell>
          <cell r="M537" t="str">
            <v>PSD-UDS05</v>
          </cell>
          <cell r="W537" t="str">
            <v xml:space="preserve">PSD: UTILITIES DEBT SERVICE </v>
          </cell>
        </row>
        <row r="538">
          <cell r="A538" t="str">
            <v>PSD: UTILITIES MAINT FY15</v>
          </cell>
          <cell r="B538">
            <v>0</v>
          </cell>
          <cell r="C538" t="str">
            <v>PSD-UMT</v>
          </cell>
          <cell r="D538" t="str">
            <v>PSD-UMT14</v>
          </cell>
          <cell r="E538" t="str">
            <v>PSD-UMT13</v>
          </cell>
          <cell r="F538" t="str">
            <v>PSD-UMT12</v>
          </cell>
          <cell r="G538" t="str">
            <v>PSD-UMT11</v>
          </cell>
          <cell r="H538" t="str">
            <v>PSD-UMT10</v>
          </cell>
          <cell r="I538" t="str">
            <v>PSD-UMT09</v>
          </cell>
          <cell r="J538" t="str">
            <v>PSD-UMT08</v>
          </cell>
          <cell r="K538" t="str">
            <v>PSD-UMT07</v>
          </cell>
          <cell r="L538" t="str">
            <v>PSD-UMT06</v>
          </cell>
          <cell r="M538" t="str">
            <v>PSD-UMT05</v>
          </cell>
          <cell r="W538" t="str">
            <v xml:space="preserve">PSD: UTILITIES MAINT </v>
          </cell>
        </row>
        <row r="539">
          <cell r="A539" t="str">
            <v>PSD: UTILITIES FY15 - GAS/WATER ONLY, AUXILIARY</v>
          </cell>
          <cell r="B539" t="str">
            <v>PSD</v>
          </cell>
          <cell r="C539" t="str">
            <v>PSD-XGW</v>
          </cell>
          <cell r="D539" t="str">
            <v>PSD-XGW-14</v>
          </cell>
          <cell r="E539" t="str">
            <v>PSD-XGW-13</v>
          </cell>
          <cell r="F539" t="str">
            <v>PSD-XGW-12</v>
          </cell>
          <cell r="G539" t="str">
            <v>PSD-XGW-11</v>
          </cell>
          <cell r="H539" t="str">
            <v>PSD-XGW-10</v>
          </cell>
          <cell r="I539" t="str">
            <v>PSD-XGW-09</v>
          </cell>
          <cell r="J539" t="str">
            <v>PSD-XGW-08</v>
          </cell>
          <cell r="K539" t="str">
            <v>PSD-XGW-07</v>
          </cell>
          <cell r="L539" t="str">
            <v>PSD-XGW-06</v>
          </cell>
          <cell r="M539" t="str">
            <v>PSD-XGW-05</v>
          </cell>
          <cell r="N539" t="str">
            <v>SWO003229</v>
          </cell>
          <cell r="O539" t="str">
            <v>SWO001028</v>
          </cell>
          <cell r="P539" t="str">
            <v>SWO001028</v>
          </cell>
          <cell r="Q539" t="str">
            <v>SWO001028</v>
          </cell>
          <cell r="R539" t="str">
            <v>SWO001028</v>
          </cell>
          <cell r="S539">
            <v>27854</v>
          </cell>
          <cell r="W539" t="str">
            <v>PSD: UTILITIES G/W/E  - GAS/WATER ONLY, AUXILIARY</v>
          </cell>
          <cell r="X539" t="str">
            <v>N</v>
          </cell>
        </row>
        <row r="540">
          <cell r="A540" t="str">
            <v>ELB: UTILITIES FY15 - GAS/WATER/ELECTRIC</v>
          </cell>
          <cell r="B540" t="str">
            <v>ELB</v>
          </cell>
          <cell r="C540" t="str">
            <v>ELB-EGW</v>
          </cell>
          <cell r="D540" t="str">
            <v>ELB-EGW-14</v>
          </cell>
          <cell r="E540" t="str">
            <v>ELB-EGW-13</v>
          </cell>
          <cell r="F540" t="str">
            <v>ELB-EGW-12</v>
          </cell>
          <cell r="G540" t="str">
            <v>ELB-EGW-11</v>
          </cell>
          <cell r="H540" t="str">
            <v>ELB-EGW-10</v>
          </cell>
          <cell r="I540" t="str">
            <v>ELB-EGW-09</v>
          </cell>
          <cell r="J540" t="str">
            <v>ELB-EGW-08</v>
          </cell>
          <cell r="K540" t="str">
            <v>ELB-EGW-07</v>
          </cell>
          <cell r="L540" t="str">
            <v>ELB-EGW-06</v>
          </cell>
          <cell r="M540" t="str">
            <v>ELB-EGW-05</v>
          </cell>
          <cell r="N540" t="str">
            <v>SWO003143</v>
          </cell>
          <cell r="O540" t="str">
            <v>SWO000895</v>
          </cell>
          <cell r="P540" t="str">
            <v>SWO000895</v>
          </cell>
          <cell r="Q540" t="str">
            <v>SWO000895</v>
          </cell>
          <cell r="R540" t="str">
            <v>SWO000895</v>
          </cell>
          <cell r="S540">
            <v>22642</v>
          </cell>
          <cell r="T540" t="str">
            <v>1630</v>
          </cell>
          <cell r="U540" t="str">
            <v>ELB</v>
          </cell>
          <cell r="W540" t="str">
            <v xml:space="preserve">ELB: UTILITIES G/W/E </v>
          </cell>
          <cell r="X540" t="str">
            <v>N</v>
          </cell>
        </row>
        <row r="541">
          <cell r="A541" t="str">
            <v>ELB: UTILITIES CHILLED WATER FY15</v>
          </cell>
          <cell r="B541" t="str">
            <v>ELB</v>
          </cell>
          <cell r="C541" t="str">
            <v>ELB-UCW</v>
          </cell>
          <cell r="D541" t="str">
            <v>ELB-UCW14</v>
          </cell>
          <cell r="E541" t="str">
            <v>ELB-UCW13</v>
          </cell>
          <cell r="F541" t="str">
            <v>ELB-UCW12</v>
          </cell>
          <cell r="G541" t="str">
            <v>ELB-UCW11</v>
          </cell>
          <cell r="H541" t="str">
            <v>ELB-UCW10</v>
          </cell>
          <cell r="I541" t="str">
            <v>ELB-UCW09</v>
          </cell>
          <cell r="J541" t="str">
            <v>ELB-UCW08</v>
          </cell>
          <cell r="K541" t="str">
            <v>ELB-UCW07</v>
          </cell>
          <cell r="L541" t="str">
            <v>ELB-UCW06</v>
          </cell>
          <cell r="M541" t="str">
            <v>ELB-UCW05</v>
          </cell>
          <cell r="W541" t="str">
            <v xml:space="preserve">ELB: UTILITIES CHILLED WATER </v>
          </cell>
        </row>
        <row r="542">
          <cell r="A542" t="str">
            <v>ELB: UTILITIES DEBT SERVICE FY15</v>
          </cell>
          <cell r="B542" t="str">
            <v>ELB</v>
          </cell>
          <cell r="C542" t="str">
            <v>ELB-UDS</v>
          </cell>
          <cell r="D542" t="str">
            <v>ELB-UDS14</v>
          </cell>
          <cell r="E542" t="str">
            <v>ELB-UDS13</v>
          </cell>
          <cell r="F542" t="str">
            <v>ELB-UDS12</v>
          </cell>
          <cell r="G542" t="str">
            <v>ELB-UDS11</v>
          </cell>
          <cell r="H542" t="str">
            <v>ELB-UDS10</v>
          </cell>
          <cell r="I542" t="str">
            <v>ELB-UDS09</v>
          </cell>
          <cell r="J542" t="str">
            <v>ELB-UDS08</v>
          </cell>
          <cell r="K542" t="str">
            <v>ELB-UDS07</v>
          </cell>
          <cell r="L542" t="str">
            <v>ELB-UDS06</v>
          </cell>
          <cell r="M542" t="str">
            <v>ELB-UDS05</v>
          </cell>
          <cell r="W542" t="str">
            <v xml:space="preserve">ELB: UTILITIES DEBT SERVICE </v>
          </cell>
        </row>
        <row r="543">
          <cell r="A543" t="str">
            <v>ELB: UTILITIES MAINT FY15</v>
          </cell>
          <cell r="B543">
            <v>0</v>
          </cell>
          <cell r="C543" t="str">
            <v>ELB-UMT</v>
          </cell>
          <cell r="D543" t="str">
            <v>ELB-UMT14</v>
          </cell>
          <cell r="E543" t="str">
            <v>ELB-UMT13</v>
          </cell>
          <cell r="F543" t="str">
            <v>ELB-UMT12</v>
          </cell>
          <cell r="G543" t="str">
            <v>ELB-UMT11</v>
          </cell>
          <cell r="H543" t="str">
            <v>ELB-UMT10</v>
          </cell>
          <cell r="I543" t="str">
            <v>ELB-UMT09</v>
          </cell>
          <cell r="J543" t="str">
            <v>ELB-UMT08</v>
          </cell>
          <cell r="K543" t="str">
            <v>ELB-UMT07</v>
          </cell>
          <cell r="L543" t="str">
            <v>ELB-UMT06</v>
          </cell>
          <cell r="M543" t="str">
            <v>ELB-UMT05</v>
          </cell>
          <cell r="W543" t="str">
            <v xml:space="preserve">ELB: UTILITIES MAINT </v>
          </cell>
        </row>
        <row r="544">
          <cell r="A544" t="str">
            <v>LHI: UTILITIES FY15 - GAS/WATER/ELECTRIC</v>
          </cell>
          <cell r="B544" t="str">
            <v>LHI</v>
          </cell>
          <cell r="C544" t="str">
            <v>LHI-EGW</v>
          </cell>
          <cell r="D544" t="str">
            <v>LHI-EGW-14</v>
          </cell>
          <cell r="E544" t="str">
            <v>LHI-EGW-13</v>
          </cell>
          <cell r="F544" t="str">
            <v>LHI-EGW-12</v>
          </cell>
          <cell r="G544" t="str">
            <v>LHI-EGW-11</v>
          </cell>
          <cell r="H544" t="str">
            <v>LHI-EGW-10</v>
          </cell>
          <cell r="I544" t="str">
            <v>LHI-EGW-09</v>
          </cell>
          <cell r="J544" t="str">
            <v>LHI-EGW-08</v>
          </cell>
          <cell r="K544" t="str">
            <v>LHI-EGW-07</v>
          </cell>
          <cell r="L544" t="str">
            <v>LHI-EGW-06</v>
          </cell>
          <cell r="M544" t="str">
            <v>LHI-EGW-05</v>
          </cell>
          <cell r="N544" t="str">
            <v>SWO003186</v>
          </cell>
          <cell r="O544" t="str">
            <v>SWO000896</v>
          </cell>
          <cell r="P544" t="str">
            <v>SWO000896</v>
          </cell>
          <cell r="Q544" t="str">
            <v>SWO000896</v>
          </cell>
          <cell r="R544" t="str">
            <v>SWO000896</v>
          </cell>
          <cell r="S544">
            <v>22643</v>
          </cell>
          <cell r="T544" t="str">
            <v>1660</v>
          </cell>
          <cell r="U544" t="str">
            <v>LHI</v>
          </cell>
          <cell r="W544" t="str">
            <v xml:space="preserve">LHI: UTILITIES G/W/E </v>
          </cell>
          <cell r="X544" t="str">
            <v>N</v>
          </cell>
          <cell r="Y544" t="str">
            <v>DEMOLISHED 1/18/2012</v>
          </cell>
        </row>
        <row r="545">
          <cell r="A545" t="str">
            <v>LHI: UTILITIES CHILLED WATER FY15</v>
          </cell>
          <cell r="B545" t="str">
            <v>LHI</v>
          </cell>
          <cell r="C545" t="str">
            <v>LHI-UCW</v>
          </cell>
          <cell r="D545" t="str">
            <v>LHI-UCW14</v>
          </cell>
          <cell r="E545" t="str">
            <v>LHI-UCW13</v>
          </cell>
          <cell r="F545" t="str">
            <v>LHI-UCW12</v>
          </cell>
          <cell r="G545" t="str">
            <v>LHI-UCW11</v>
          </cell>
          <cell r="H545" t="str">
            <v>LHI-UCW10</v>
          </cell>
          <cell r="I545" t="str">
            <v>LHI-UCW09</v>
          </cell>
          <cell r="J545" t="str">
            <v>LHI-UCW08</v>
          </cell>
          <cell r="K545" t="str">
            <v>LHI-UCW07</v>
          </cell>
          <cell r="L545" t="str">
            <v>LHI-UCW06</v>
          </cell>
          <cell r="M545" t="str">
            <v>LHI-UCW05</v>
          </cell>
          <cell r="W545" t="str">
            <v xml:space="preserve">LHI: UTILITIES CHILLED WATER </v>
          </cell>
        </row>
        <row r="546">
          <cell r="A546" t="str">
            <v>LHI: UTILITIES DEBT SERVICE FY15</v>
          </cell>
          <cell r="B546" t="str">
            <v>LHI</v>
          </cell>
          <cell r="C546" t="str">
            <v>LHI-UDS</v>
          </cell>
          <cell r="D546" t="str">
            <v>LHI-UDS14</v>
          </cell>
          <cell r="E546" t="str">
            <v>LHI-UDS13</v>
          </cell>
          <cell r="F546" t="str">
            <v>LHI-UDS12</v>
          </cell>
          <cell r="G546" t="str">
            <v>LHI-UDS11</v>
          </cell>
          <cell r="H546" t="str">
            <v>LHI-UDS10</v>
          </cell>
          <cell r="I546" t="str">
            <v>LHI-UDS09</v>
          </cell>
          <cell r="J546" t="str">
            <v>LHI-UDS08</v>
          </cell>
          <cell r="K546" t="str">
            <v>LHI-UDS07</v>
          </cell>
          <cell r="L546" t="str">
            <v>LHI-UDS06</v>
          </cell>
          <cell r="M546" t="str">
            <v>LHI-UDS05</v>
          </cell>
          <cell r="W546" t="str">
            <v xml:space="preserve">LHI: UTILITIES DEBT SERVICE </v>
          </cell>
        </row>
        <row r="547">
          <cell r="A547" t="str">
            <v>LHI: UTILITIES MAINT FY15</v>
          </cell>
          <cell r="B547">
            <v>0</v>
          </cell>
          <cell r="C547" t="str">
            <v>LHI-UMT</v>
          </cell>
          <cell r="D547" t="str">
            <v>LHI-UMT14</v>
          </cell>
          <cell r="E547" t="str">
            <v>LHI-UMT13</v>
          </cell>
          <cell r="F547" t="str">
            <v>LHI-UMT12</v>
          </cell>
          <cell r="G547" t="str">
            <v>LHI-UMT11</v>
          </cell>
          <cell r="H547" t="str">
            <v>LHI-UMT10</v>
          </cell>
          <cell r="I547" t="str">
            <v>LHI-UMT09</v>
          </cell>
          <cell r="J547" t="str">
            <v>LHI-UMT08</v>
          </cell>
          <cell r="K547" t="str">
            <v>LHI-UMT07</v>
          </cell>
          <cell r="L547" t="str">
            <v>LHI-UMT06</v>
          </cell>
          <cell r="M547" t="str">
            <v>LHI-UMT05</v>
          </cell>
          <cell r="W547" t="str">
            <v xml:space="preserve">LHI: UTILITIES MAINT </v>
          </cell>
        </row>
        <row r="548">
          <cell r="A548" t="str">
            <v>LHI: FUMEHOOD PM FY15 - EQUIPMENT, D3040</v>
          </cell>
          <cell r="B548">
            <v>0</v>
          </cell>
          <cell r="C548" t="e">
            <v>#N/A</v>
          </cell>
          <cell r="D548" t="str">
            <v>LHI-FMC-14</v>
          </cell>
          <cell r="E548" t="str">
            <v>LHI-FMC-13</v>
          </cell>
          <cell r="W548" t="str">
            <v>LHI: FUMEHOOD PM FY13 - EQUIPMENT, D3040</v>
          </cell>
        </row>
        <row r="549">
          <cell r="A549" t="str">
            <v>IMS: UTILITIES FY15 - GAS/WATER/ELECTRIC</v>
          </cell>
          <cell r="B549" t="str">
            <v>IMS</v>
          </cell>
          <cell r="C549" t="str">
            <v>IMS-EGW</v>
          </cell>
          <cell r="D549" t="str">
            <v>IMS-EGW-14</v>
          </cell>
          <cell r="E549" t="str">
            <v>IMS-EGW-13</v>
          </cell>
          <cell r="F549" t="str">
            <v>IMS-EGW-12</v>
          </cell>
          <cell r="G549" t="str">
            <v>IMS-EGW-11</v>
          </cell>
          <cell r="H549" t="str">
            <v>IMS-EGW-10</v>
          </cell>
          <cell r="I549" t="str">
            <v>IMS-EGW-09</v>
          </cell>
          <cell r="J549" t="str">
            <v>IMS-EGW-08</v>
          </cell>
          <cell r="K549" t="str">
            <v>IMS-EGW-07</v>
          </cell>
          <cell r="L549" t="str">
            <v>IMS-EGW-06</v>
          </cell>
          <cell r="M549" t="str">
            <v>IMS-EGW-05</v>
          </cell>
          <cell r="N549" t="str">
            <v>SWO003172</v>
          </cell>
          <cell r="O549" t="str">
            <v>SWO000897</v>
          </cell>
          <cell r="P549" t="str">
            <v>SWO000897</v>
          </cell>
          <cell r="Q549" t="str">
            <v>SWO000897</v>
          </cell>
          <cell r="R549" t="str">
            <v>SWO000897</v>
          </cell>
          <cell r="S549">
            <v>22644</v>
          </cell>
          <cell r="T549" t="str">
            <v>1670</v>
          </cell>
          <cell r="U549" t="str">
            <v>IMS</v>
          </cell>
          <cell r="W549" t="str">
            <v xml:space="preserve">IMS: UTILITIES G/W/E </v>
          </cell>
          <cell r="X549" t="str">
            <v>N</v>
          </cell>
          <cell r="Y549" t="str">
            <v>DEMOLISHED 8/27/2012</v>
          </cell>
        </row>
        <row r="550">
          <cell r="A550" t="str">
            <v>IMS: UTILITIES CHILLED WATER FY15</v>
          </cell>
          <cell r="B550" t="str">
            <v>IMS</v>
          </cell>
          <cell r="C550" t="str">
            <v>IMS-UCW</v>
          </cell>
          <cell r="D550" t="str">
            <v>IMS-UCW14</v>
          </cell>
          <cell r="E550" t="str">
            <v>IMS-UCW13</v>
          </cell>
          <cell r="F550" t="str">
            <v>IMS-UCW12</v>
          </cell>
          <cell r="G550" t="str">
            <v>IMS-UCW11</v>
          </cell>
          <cell r="H550" t="str">
            <v>IMS-UCW10</v>
          </cell>
          <cell r="I550" t="str">
            <v>IMS-UCW09</v>
          </cell>
          <cell r="J550" t="str">
            <v>IMS-UCW08</v>
          </cell>
          <cell r="K550" t="str">
            <v>IMS-UCW07</v>
          </cell>
          <cell r="L550" t="str">
            <v>IMS-UCW06</v>
          </cell>
          <cell r="M550" t="str">
            <v>IMS-UCW05</v>
          </cell>
          <cell r="W550" t="str">
            <v xml:space="preserve">IMS: UTILITIES CHILLED WATER </v>
          </cell>
        </row>
        <row r="551">
          <cell r="A551" t="str">
            <v>IMS: UTILITIES DEBT SERVICE FY15</v>
          </cell>
          <cell r="B551" t="str">
            <v>IMS</v>
          </cell>
          <cell r="C551" t="str">
            <v>IMS-UDS</v>
          </cell>
          <cell r="D551" t="str">
            <v>IMS-UDS14</v>
          </cell>
          <cell r="E551" t="str">
            <v>IMS-UDS13</v>
          </cell>
          <cell r="F551" t="str">
            <v>IMS-UDS12</v>
          </cell>
          <cell r="G551" t="str">
            <v>IMS-UDS11</v>
          </cell>
          <cell r="H551" t="str">
            <v>IMS-UDS10</v>
          </cell>
          <cell r="I551" t="str">
            <v>IMS-UDS09</v>
          </cell>
          <cell r="J551" t="str">
            <v>IMS-UDS08</v>
          </cell>
          <cell r="K551" t="str">
            <v>IMS-UDS07</v>
          </cell>
          <cell r="L551" t="str">
            <v>IMS-UDS06</v>
          </cell>
          <cell r="M551" t="str">
            <v>IMS-UDS05</v>
          </cell>
          <cell r="W551" t="str">
            <v xml:space="preserve">IMS: UTILITIES DEBT SERVICE </v>
          </cell>
        </row>
        <row r="552">
          <cell r="A552" t="str">
            <v>IMS: UTILITIES MAINT FY15</v>
          </cell>
          <cell r="B552">
            <v>0</v>
          </cell>
          <cell r="C552" t="str">
            <v>IMS-UMT</v>
          </cell>
          <cell r="D552" t="str">
            <v>IMS-UMT14</v>
          </cell>
          <cell r="E552" t="str">
            <v>IMS-UMT13</v>
          </cell>
          <cell r="F552" t="str">
            <v>IMS-UMT12</v>
          </cell>
          <cell r="G552" t="str">
            <v>IMS-UMT11</v>
          </cell>
          <cell r="H552" t="str">
            <v>IMS-UMT10</v>
          </cell>
          <cell r="I552" t="str">
            <v>IMS-UMT09</v>
          </cell>
          <cell r="J552" t="str">
            <v>IMS-UMT08</v>
          </cell>
          <cell r="K552" t="str">
            <v>IMS-UMT07</v>
          </cell>
          <cell r="L552" t="str">
            <v>IMS-UMT06</v>
          </cell>
          <cell r="M552" t="str">
            <v>IMS-UMT05</v>
          </cell>
          <cell r="W552" t="str">
            <v xml:space="preserve">IMS: UTILITIES MAINT </v>
          </cell>
        </row>
        <row r="553">
          <cell r="A553" t="str">
            <v>GFS: UTILITIES FY15 - GAS/WATER/ELECTRIC</v>
          </cell>
          <cell r="B553" t="str">
            <v>GFS</v>
          </cell>
          <cell r="C553" t="str">
            <v>GFS-EGW</v>
          </cell>
          <cell r="D553" t="str">
            <v>GFS-EGW-14</v>
          </cell>
          <cell r="E553" t="str">
            <v>GFS-EGW-13</v>
          </cell>
          <cell r="F553" t="str">
            <v>GFS-EGW-12</v>
          </cell>
          <cell r="G553" t="str">
            <v>GFS-EGW-11</v>
          </cell>
          <cell r="H553" t="str">
            <v>GFS-EGW-10</v>
          </cell>
          <cell r="I553" t="str">
            <v>GFS-EGW-09</v>
          </cell>
          <cell r="J553" t="str">
            <v>GFS-EGW-08</v>
          </cell>
          <cell r="K553" t="str">
            <v>GFS-EGW-07</v>
          </cell>
          <cell r="L553" t="str">
            <v>GFS-EGW-06</v>
          </cell>
          <cell r="M553" t="str">
            <v>GFS-EGW-05</v>
          </cell>
          <cell r="N553" t="str">
            <v>SWO003156</v>
          </cell>
          <cell r="O553" t="str">
            <v>SWO000898</v>
          </cell>
          <cell r="P553" t="str">
            <v>SWO000898</v>
          </cell>
          <cell r="Q553" t="str">
            <v>SWO000898</v>
          </cell>
          <cell r="R553" t="str">
            <v>SWO000898</v>
          </cell>
          <cell r="S553">
            <v>22645</v>
          </cell>
          <cell r="T553" t="str">
            <v>1690</v>
          </cell>
          <cell r="U553" t="str">
            <v>GFS</v>
          </cell>
          <cell r="W553" t="str">
            <v xml:space="preserve">GFS: UTILITIES G/W/E </v>
          </cell>
          <cell r="X553" t="str">
            <v>N</v>
          </cell>
        </row>
        <row r="554">
          <cell r="A554" t="str">
            <v>GFS: UTILITIES CHILLED WATER FY15</v>
          </cell>
          <cell r="B554" t="str">
            <v>GFS</v>
          </cell>
          <cell r="C554" t="str">
            <v>GFS-UCW</v>
          </cell>
          <cell r="D554" t="str">
            <v>GFS-UCW14</v>
          </cell>
          <cell r="E554" t="str">
            <v>GFS-UCW13</v>
          </cell>
          <cell r="F554" t="str">
            <v>GFS-UCW12</v>
          </cell>
          <cell r="G554" t="str">
            <v>GFS-UCW11</v>
          </cell>
          <cell r="H554" t="str">
            <v>GFS-UCW10</v>
          </cell>
          <cell r="I554" t="str">
            <v>GFS-UCW09</v>
          </cell>
          <cell r="J554" t="str">
            <v>GFS-UCW08</v>
          </cell>
          <cell r="K554" t="str">
            <v>GFS-UCW07</v>
          </cell>
          <cell r="L554" t="str">
            <v>GFS-UCW06</v>
          </cell>
          <cell r="M554" t="str">
            <v>GFS-UCW05</v>
          </cell>
          <cell r="W554" t="str">
            <v xml:space="preserve">GFS: UTILITIES CHILLED WATER </v>
          </cell>
        </row>
        <row r="555">
          <cell r="A555" t="str">
            <v>GFS: UTILITIES DEBT SERVICE FY15</v>
          </cell>
          <cell r="B555" t="str">
            <v>GFS</v>
          </cell>
          <cell r="C555" t="str">
            <v>GFS-UDS</v>
          </cell>
          <cell r="D555" t="str">
            <v>GFS-UDS14</v>
          </cell>
          <cell r="E555" t="str">
            <v>GFS-UDS13</v>
          </cell>
          <cell r="F555" t="str">
            <v>GFS-UDS12</v>
          </cell>
          <cell r="G555" t="str">
            <v>GFS-UDS11</v>
          </cell>
          <cell r="H555" t="str">
            <v>GFS-UDS10</v>
          </cell>
          <cell r="I555" t="str">
            <v>GFS-UDS09</v>
          </cell>
          <cell r="J555" t="str">
            <v>GFS-UDS08</v>
          </cell>
          <cell r="K555" t="str">
            <v>GFS-UDS07</v>
          </cell>
          <cell r="L555" t="str">
            <v>GFS-UDS06</v>
          </cell>
          <cell r="M555" t="str">
            <v>GFS-UDS05</v>
          </cell>
          <cell r="W555" t="str">
            <v xml:space="preserve">GFS: UTILITIES DEBT SERVICE </v>
          </cell>
        </row>
        <row r="556">
          <cell r="A556" t="str">
            <v>GFS: UTILITIES MAINT FY15</v>
          </cell>
          <cell r="B556">
            <v>0</v>
          </cell>
          <cell r="C556" t="str">
            <v>GFS-UMT</v>
          </cell>
          <cell r="D556" t="str">
            <v>GFS-UMT14</v>
          </cell>
          <cell r="E556" t="str">
            <v>GFS-UMT13</v>
          </cell>
          <cell r="F556" t="str">
            <v>GFS-UMT12</v>
          </cell>
          <cell r="G556" t="str">
            <v>GFS-UMT11</v>
          </cell>
          <cell r="H556" t="str">
            <v>GFS-UMT10</v>
          </cell>
          <cell r="I556" t="str">
            <v>GFS-UMT09</v>
          </cell>
          <cell r="J556" t="str">
            <v>GFS-UMT08</v>
          </cell>
          <cell r="K556" t="str">
            <v>GFS-UMT07</v>
          </cell>
          <cell r="L556" t="str">
            <v>GFS-UMT06</v>
          </cell>
          <cell r="M556" t="str">
            <v>GFS-UMT05</v>
          </cell>
          <cell r="W556" t="str">
            <v xml:space="preserve">GFS: UTILITIES MAINT </v>
          </cell>
        </row>
        <row r="557">
          <cell r="A557" t="str">
            <v>PMB: UTILITIES FY15 - GAS/WATER/ELECTRIC</v>
          </cell>
          <cell r="B557" t="str">
            <v>PMB</v>
          </cell>
          <cell r="C557" t="str">
            <v>PMB-EGW</v>
          </cell>
          <cell r="D557" t="str">
            <v>PMB-EGW-14</v>
          </cell>
          <cell r="E557" t="str">
            <v>PMB-EGW-13</v>
          </cell>
          <cell r="F557" t="str">
            <v>PMB-EGW-12</v>
          </cell>
          <cell r="G557" t="str">
            <v>PMB-EGW-11</v>
          </cell>
          <cell r="H557" t="str">
            <v>PMB-EGW-10</v>
          </cell>
          <cell r="I557" t="str">
            <v>PMB-EGW-09</v>
          </cell>
          <cell r="J557" t="str">
            <v>PMB-EGW-08</v>
          </cell>
          <cell r="K557" t="str">
            <v>PMB-EGW-07</v>
          </cell>
          <cell r="L557" t="str">
            <v>PMB-EGW-06</v>
          </cell>
          <cell r="M557" t="str">
            <v>PMB-EGW-05</v>
          </cell>
          <cell r="N557" t="str">
            <v>SWO003219</v>
          </cell>
          <cell r="O557" t="str">
            <v>SWO000899</v>
          </cell>
          <cell r="P557" t="str">
            <v>SWO000899</v>
          </cell>
          <cell r="Q557" t="str">
            <v>SWO000899</v>
          </cell>
          <cell r="R557" t="str">
            <v>SWO000899</v>
          </cell>
          <cell r="S557">
            <v>22646</v>
          </cell>
          <cell r="T557" t="str">
            <v>1700</v>
          </cell>
          <cell r="U557" t="str">
            <v>PMB</v>
          </cell>
          <cell r="V557" t="str">
            <v>HSC</v>
          </cell>
          <cell r="W557" t="str">
            <v xml:space="preserve">PMB: UTILITIES G/W/E </v>
          </cell>
          <cell r="X557" t="str">
            <v>N</v>
          </cell>
          <cell r="Y557" t="str">
            <v>DEMOLISHED MAR 2014</v>
          </cell>
        </row>
        <row r="558">
          <cell r="A558" t="str">
            <v>PMB: UTILITIES CHILLED WATER FY15</v>
          </cell>
          <cell r="B558" t="str">
            <v>PMB</v>
          </cell>
          <cell r="C558" t="str">
            <v>PMB-UCW</v>
          </cell>
          <cell r="D558" t="str">
            <v>PMB-UCW14</v>
          </cell>
          <cell r="E558" t="str">
            <v>PMB-UCW13</v>
          </cell>
          <cell r="F558" t="str">
            <v>PMB-UCW12</v>
          </cell>
          <cell r="G558" t="str">
            <v>PMB-UCW11</v>
          </cell>
          <cell r="H558" t="str">
            <v>PMB-UCW10</v>
          </cell>
          <cell r="I558" t="str">
            <v>PMB-UCW09</v>
          </cell>
          <cell r="J558" t="str">
            <v>PMB-UCW08</v>
          </cell>
          <cell r="K558" t="str">
            <v>PMB-UCW07</v>
          </cell>
          <cell r="L558" t="str">
            <v>PMB-UCW06</v>
          </cell>
          <cell r="M558" t="str">
            <v>PMB-UCW05</v>
          </cell>
          <cell r="W558" t="str">
            <v xml:space="preserve">PMB: UTILITIES CHILLED WATER </v>
          </cell>
        </row>
        <row r="559">
          <cell r="A559" t="str">
            <v>PMB: UTILITIES DEBT SERVICE FY15</v>
          </cell>
          <cell r="B559" t="str">
            <v>PMB</v>
          </cell>
          <cell r="C559" t="str">
            <v>PMB-UDS</v>
          </cell>
          <cell r="D559" t="str">
            <v>PMB-UDS14</v>
          </cell>
          <cell r="E559" t="str">
            <v>PMB-UDS13</v>
          </cell>
          <cell r="F559" t="str">
            <v>PMB-UDS12</v>
          </cell>
          <cell r="G559" t="str">
            <v>PMB-UDS11</v>
          </cell>
          <cell r="H559" t="str">
            <v>PMB-UDS10</v>
          </cell>
          <cell r="I559" t="str">
            <v>PMB-UDS09</v>
          </cell>
          <cell r="J559" t="str">
            <v>PMB-UDS08</v>
          </cell>
          <cell r="K559" t="str">
            <v>PMB-UDS07</v>
          </cell>
          <cell r="L559" t="str">
            <v>PMB-UDS06</v>
          </cell>
          <cell r="M559" t="str">
            <v>PMB-UDS05</v>
          </cell>
          <cell r="W559" t="str">
            <v xml:space="preserve">PMB: UTILITIES DEBT SERVICE </v>
          </cell>
        </row>
        <row r="560">
          <cell r="A560" t="str">
            <v>PMB: UTILITIES MAINT FY15</v>
          </cell>
          <cell r="B560">
            <v>0</v>
          </cell>
          <cell r="C560" t="str">
            <v>PMB-UMT</v>
          </cell>
          <cell r="D560" t="str">
            <v>PMB-UMT14</v>
          </cell>
          <cell r="E560" t="str">
            <v>PMB-UMT13</v>
          </cell>
          <cell r="F560" t="str">
            <v>PMB-UMT12</v>
          </cell>
          <cell r="G560" t="str">
            <v>PMB-UMT11</v>
          </cell>
          <cell r="H560" t="str">
            <v>PMB-UMT10</v>
          </cell>
          <cell r="I560" t="str">
            <v>PMB-UMT09</v>
          </cell>
          <cell r="J560" t="str">
            <v>PMB-UMT08</v>
          </cell>
          <cell r="K560" t="str">
            <v>PMB-UMT07</v>
          </cell>
          <cell r="L560" t="str">
            <v>PMB-UMT06</v>
          </cell>
          <cell r="M560" t="str">
            <v>PMB-UMT05</v>
          </cell>
          <cell r="W560" t="str">
            <v xml:space="preserve">PMB: UTILITIES MAINT </v>
          </cell>
        </row>
        <row r="561">
          <cell r="A561" t="str">
            <v>GEH: UTILITIES FY15 - GAS/WATER/ELECTRIC</v>
          </cell>
          <cell r="B561" t="str">
            <v>GEH</v>
          </cell>
          <cell r="C561" t="str">
            <v>GEH-EGW</v>
          </cell>
          <cell r="D561" t="str">
            <v>GEH-EGW-14</v>
          </cell>
          <cell r="E561" t="str">
            <v>GEH-EGW-13</v>
          </cell>
          <cell r="F561" t="str">
            <v>GEH-EGW-12</v>
          </cell>
          <cell r="G561" t="str">
            <v>GEH-EGW-11</v>
          </cell>
          <cell r="H561" t="str">
            <v>GEH-EGW-10</v>
          </cell>
          <cell r="I561" t="str">
            <v>GEH-EGW-09</v>
          </cell>
          <cell r="J561" t="str">
            <v>GEH-EGW-08</v>
          </cell>
          <cell r="K561" t="str">
            <v>GEH-EGW-07</v>
          </cell>
          <cell r="L561" t="str">
            <v>GEH-EGW-06</v>
          </cell>
          <cell r="M561" t="str">
            <v>GEH-EGW-05</v>
          </cell>
          <cell r="N561" t="str">
            <v>SWO003153</v>
          </cell>
          <cell r="O561" t="str">
            <v>SWO000900</v>
          </cell>
          <cell r="P561" t="str">
            <v>SWO000900</v>
          </cell>
          <cell r="Q561" t="str">
            <v>SWO000900</v>
          </cell>
          <cell r="R561" t="str">
            <v>SWO000900</v>
          </cell>
          <cell r="S561">
            <v>22647</v>
          </cell>
          <cell r="T561" t="str">
            <v>1710</v>
          </cell>
          <cell r="U561" t="str">
            <v>GEH</v>
          </cell>
          <cell r="W561" t="str">
            <v xml:space="preserve">GEH: UTILITIES G/W/E </v>
          </cell>
          <cell r="X561" t="str">
            <v>N</v>
          </cell>
        </row>
        <row r="562">
          <cell r="A562" t="str">
            <v>GEH: UTILITIES CHILLED WATER FY15</v>
          </cell>
          <cell r="B562" t="str">
            <v>GEH</v>
          </cell>
          <cell r="C562" t="str">
            <v>GEH-UCW</v>
          </cell>
          <cell r="D562" t="str">
            <v>GEH-UCW14</v>
          </cell>
          <cell r="E562" t="str">
            <v>GEH-UCW13</v>
          </cell>
          <cell r="F562" t="str">
            <v>GEH-UCW12</v>
          </cell>
          <cell r="G562" t="str">
            <v>GEH-UCW11</v>
          </cell>
          <cell r="H562" t="str">
            <v>GEH-UCW10</v>
          </cell>
          <cell r="I562" t="str">
            <v>GEH-UCW09</v>
          </cell>
          <cell r="J562" t="str">
            <v>GEH-UCW08</v>
          </cell>
          <cell r="K562" t="str">
            <v>GEH-UCW07</v>
          </cell>
          <cell r="L562" t="str">
            <v>GEH-UCW06</v>
          </cell>
          <cell r="M562" t="str">
            <v>GEH-UCW05</v>
          </cell>
          <cell r="W562" t="str">
            <v xml:space="preserve">GEH: UTILITIES CHILLED WATER </v>
          </cell>
        </row>
        <row r="563">
          <cell r="A563" t="str">
            <v>GEH: UTILITIES DEBT SERVICE FY15</v>
          </cell>
          <cell r="B563" t="str">
            <v>GEH</v>
          </cell>
          <cell r="C563" t="str">
            <v>GEH-UDS</v>
          </cell>
          <cell r="D563" t="str">
            <v>GEH-UDS14</v>
          </cell>
          <cell r="E563" t="str">
            <v>GEH-UDS13</v>
          </cell>
          <cell r="F563" t="str">
            <v>GEH-UDS12</v>
          </cell>
          <cell r="G563" t="str">
            <v>GEH-UDS11</v>
          </cell>
          <cell r="H563" t="str">
            <v>GEH-UDS10</v>
          </cell>
          <cell r="I563" t="str">
            <v>GEH-UDS09</v>
          </cell>
          <cell r="J563" t="str">
            <v>GEH-UDS08</v>
          </cell>
          <cell r="K563" t="str">
            <v>GEH-UDS07</v>
          </cell>
          <cell r="L563" t="str">
            <v>GEH-UDS06</v>
          </cell>
          <cell r="M563" t="str">
            <v>GEH-UDS05</v>
          </cell>
          <cell r="W563" t="str">
            <v xml:space="preserve">GEH: UTILITIES DEBT SERVICE </v>
          </cell>
        </row>
        <row r="564">
          <cell r="A564" t="str">
            <v>GEH: UTILITIES MAINT FY15</v>
          </cell>
          <cell r="B564">
            <v>0</v>
          </cell>
          <cell r="C564" t="str">
            <v>GEH-UMT</v>
          </cell>
          <cell r="D564" t="str">
            <v>GEH-UMT14</v>
          </cell>
          <cell r="E564" t="str">
            <v>GEH-UMT13</v>
          </cell>
          <cell r="F564" t="str">
            <v>GEH-UMT12</v>
          </cell>
          <cell r="G564" t="str">
            <v>GEH-UMT11</v>
          </cell>
          <cell r="H564" t="str">
            <v>GEH-UMT10</v>
          </cell>
          <cell r="I564" t="str">
            <v>GEH-UMT09</v>
          </cell>
          <cell r="J564" t="str">
            <v>GEH-UMT08</v>
          </cell>
          <cell r="K564" t="str">
            <v>GEH-UMT07</v>
          </cell>
          <cell r="L564" t="str">
            <v>GEH-UMT06</v>
          </cell>
          <cell r="M564" t="str">
            <v>GEH-UMT05</v>
          </cell>
          <cell r="W564" t="str">
            <v xml:space="preserve">GEH: UTILITIES MAINT </v>
          </cell>
        </row>
        <row r="565">
          <cell r="A565" t="str">
            <v>GEX: UTILITIES FY15 - GAS/WATER/ELECTRIC</v>
          </cell>
          <cell r="B565" t="str">
            <v>GEX</v>
          </cell>
          <cell r="C565" t="str">
            <v>GEX-EGW</v>
          </cell>
          <cell r="D565" t="str">
            <v>GEX-EGW-14</v>
          </cell>
          <cell r="E565" t="str">
            <v>GEX-EGW-13</v>
          </cell>
          <cell r="F565" t="str">
            <v>GEX-EGW-12</v>
          </cell>
          <cell r="G565" t="str">
            <v>GEX-EGW-11</v>
          </cell>
          <cell r="H565" t="str">
            <v>GEX-EGW-10</v>
          </cell>
          <cell r="I565" t="str">
            <v>GEX-EGW-09</v>
          </cell>
          <cell r="J565" t="str">
            <v>GEX-EGW-08</v>
          </cell>
          <cell r="K565" t="str">
            <v>GEX-EGW-07</v>
          </cell>
          <cell r="L565" t="str">
            <v>GEX-EGW-06</v>
          </cell>
          <cell r="M565" t="str">
            <v>GEX-EGW-05</v>
          </cell>
          <cell r="N565" t="str">
            <v>SWO003155</v>
          </cell>
          <cell r="O565" t="str">
            <v>SWO001029</v>
          </cell>
          <cell r="P565" t="str">
            <v>SWO001029</v>
          </cell>
          <cell r="Q565" t="str">
            <v>SWO001029</v>
          </cell>
          <cell r="R565" t="str">
            <v>SWO001029</v>
          </cell>
          <cell r="S565">
            <v>27858</v>
          </cell>
          <cell r="T565" t="str">
            <v>1711</v>
          </cell>
          <cell r="U565" t="str">
            <v>GEX</v>
          </cell>
          <cell r="W565" t="str">
            <v xml:space="preserve">GEX: UTILITIES G/W/E </v>
          </cell>
          <cell r="X565" t="str">
            <v>N</v>
          </cell>
        </row>
        <row r="566">
          <cell r="A566" t="str">
            <v>GEX: UTILITIES CHILLED WATER FY15</v>
          </cell>
          <cell r="B566" t="str">
            <v>GEX</v>
          </cell>
          <cell r="C566" t="str">
            <v>GEX-UCW</v>
          </cell>
          <cell r="D566" t="str">
            <v>GEX-UCW14</v>
          </cell>
          <cell r="E566" t="str">
            <v>GEX-UCW13</v>
          </cell>
          <cell r="F566" t="str">
            <v>GEX-UCW12</v>
          </cell>
          <cell r="G566" t="str">
            <v>GEX-UCW11</v>
          </cell>
          <cell r="H566" t="str">
            <v>GEX-UCW10</v>
          </cell>
          <cell r="I566" t="str">
            <v>GEX-UCW09</v>
          </cell>
          <cell r="J566" t="str">
            <v>GEX-UCW08</v>
          </cell>
          <cell r="K566" t="str">
            <v>GEX-UCW07</v>
          </cell>
          <cell r="L566" t="str">
            <v>GEX-UCW06</v>
          </cell>
          <cell r="M566" t="str">
            <v>GEX-UCW05</v>
          </cell>
          <cell r="W566" t="str">
            <v xml:space="preserve">GEX: UTILITIES CHILLED WATER </v>
          </cell>
        </row>
        <row r="567">
          <cell r="A567" t="str">
            <v>GEX: UTILITIES DEBT SERVICE FY15</v>
          </cell>
          <cell r="B567" t="str">
            <v>GEX</v>
          </cell>
          <cell r="C567" t="str">
            <v>GEX-UDS</v>
          </cell>
          <cell r="D567" t="str">
            <v>GEX-UDS14</v>
          </cell>
          <cell r="E567" t="str">
            <v>GEX-UDS13</v>
          </cell>
          <cell r="F567" t="str">
            <v>GEX-UDS12</v>
          </cell>
          <cell r="G567" t="str">
            <v>GEX-UDS11</v>
          </cell>
          <cell r="H567" t="str">
            <v>GEX-UDS10</v>
          </cell>
          <cell r="I567" t="str">
            <v>GEX-UDS09</v>
          </cell>
          <cell r="J567" t="str">
            <v>GEX-UDS08</v>
          </cell>
          <cell r="K567" t="str">
            <v>GEX-UDS07</v>
          </cell>
          <cell r="L567" t="str">
            <v>GEX-UDS06</v>
          </cell>
          <cell r="M567" t="str">
            <v>GEX-UDS05</v>
          </cell>
          <cell r="W567" t="str">
            <v xml:space="preserve">GEX: UTILITIES DEBT SERVICE </v>
          </cell>
        </row>
        <row r="568">
          <cell r="A568" t="str">
            <v>GEX: UTILITIES MAINT FY15</v>
          </cell>
          <cell r="B568">
            <v>0</v>
          </cell>
          <cell r="C568" t="str">
            <v>GEX-UMT</v>
          </cell>
          <cell r="D568" t="str">
            <v>GEX-UMT14</v>
          </cell>
          <cell r="E568" t="str">
            <v>GEX-UMT13</v>
          </cell>
          <cell r="F568" t="str">
            <v>GEX-UMT12</v>
          </cell>
          <cell r="G568" t="str">
            <v>GEX-UMT11</v>
          </cell>
          <cell r="H568" t="str">
            <v>GEX-UMT10</v>
          </cell>
          <cell r="I568" t="str">
            <v>GEX-UMT09</v>
          </cell>
          <cell r="J568" t="str">
            <v>GEX-UMT08</v>
          </cell>
          <cell r="K568" t="str">
            <v>GEX-UMT07</v>
          </cell>
          <cell r="L568" t="str">
            <v>GEX-UMT06</v>
          </cell>
          <cell r="M568" t="str">
            <v>GEX-UMT05</v>
          </cell>
          <cell r="W568" t="str">
            <v xml:space="preserve">GEX: UTILITIES MAINT </v>
          </cell>
        </row>
        <row r="569">
          <cell r="A569" t="str">
            <v>CSB: UTILITIES FY15 - GAS/WATER/ELECTRIC</v>
          </cell>
          <cell r="B569" t="str">
            <v>CSB</v>
          </cell>
          <cell r="C569" t="str">
            <v>CSB-EGW</v>
          </cell>
          <cell r="D569" t="str">
            <v>CSB-EGW-14</v>
          </cell>
          <cell r="E569" t="str">
            <v>CSB-EGW-13</v>
          </cell>
          <cell r="F569" t="str">
            <v>CSB-EGW-12</v>
          </cell>
          <cell r="G569" t="str">
            <v>CSB-EGW-11</v>
          </cell>
          <cell r="H569" t="str">
            <v>CSB-EGW-10</v>
          </cell>
          <cell r="I569" t="str">
            <v>CSB-EGW-09</v>
          </cell>
          <cell r="J569" t="str">
            <v>CSB-EGW-08</v>
          </cell>
          <cell r="K569" t="str">
            <v>CSB-EGW-07</v>
          </cell>
          <cell r="L569" t="str">
            <v>CSB-EGW-06</v>
          </cell>
          <cell r="M569" t="str">
            <v>CSB-EGW-05</v>
          </cell>
          <cell r="N569" t="str">
            <v>SWO003119</v>
          </cell>
          <cell r="O569" t="str">
            <v>SWO000901</v>
          </cell>
          <cell r="P569" t="str">
            <v>SWO000901</v>
          </cell>
          <cell r="Q569" t="str">
            <v>SWO000901</v>
          </cell>
          <cell r="R569" t="str">
            <v>SWO000901</v>
          </cell>
          <cell r="S569">
            <v>22648</v>
          </cell>
          <cell r="T569" t="str">
            <v>1830</v>
          </cell>
          <cell r="U569" t="str">
            <v>CSB</v>
          </cell>
          <cell r="V569" t="str">
            <v>HSC</v>
          </cell>
          <cell r="W569" t="str">
            <v xml:space="preserve">CSB: UTILITIES G/W/E </v>
          </cell>
          <cell r="X569" t="str">
            <v>N</v>
          </cell>
        </row>
        <row r="570">
          <cell r="A570" t="str">
            <v>CSB: UTILITIES CHILLED WATER FY15</v>
          </cell>
          <cell r="B570" t="str">
            <v>CSB</v>
          </cell>
          <cell r="C570" t="str">
            <v>CSB-UCW</v>
          </cell>
          <cell r="D570" t="str">
            <v>CSB-UCW14</v>
          </cell>
          <cell r="E570" t="str">
            <v>CSB-UCW13</v>
          </cell>
          <cell r="F570" t="str">
            <v>CSB-UCW12</v>
          </cell>
          <cell r="G570" t="str">
            <v>CSB-UCW11</v>
          </cell>
          <cell r="H570" t="str">
            <v>CSB-UCW10</v>
          </cell>
          <cell r="I570" t="str">
            <v>CSB-UCW09</v>
          </cell>
          <cell r="J570" t="str">
            <v>CSB-UCW08</v>
          </cell>
          <cell r="K570" t="str">
            <v>CSB-UCW07</v>
          </cell>
          <cell r="L570" t="str">
            <v>CSB-UCW06</v>
          </cell>
          <cell r="M570" t="str">
            <v>CSB-UCW05</v>
          </cell>
          <cell r="W570" t="str">
            <v xml:space="preserve">CSB: UTILITIES CHILLED WATER </v>
          </cell>
        </row>
        <row r="571">
          <cell r="A571" t="str">
            <v>CSB: UTILITIES DEBT SERVICE FY15</v>
          </cell>
          <cell r="B571" t="str">
            <v>CSB</v>
          </cell>
          <cell r="C571" t="str">
            <v>CSB-UDS</v>
          </cell>
          <cell r="D571" t="str">
            <v>CSB-UDS14</v>
          </cell>
          <cell r="E571" t="str">
            <v>CSB-UDS13</v>
          </cell>
          <cell r="F571" t="str">
            <v>CSB-UDS12</v>
          </cell>
          <cell r="G571" t="str">
            <v>CSB-UDS11</v>
          </cell>
          <cell r="H571" t="str">
            <v>CSB-UDS10</v>
          </cell>
          <cell r="I571" t="str">
            <v>CSB-UDS09</v>
          </cell>
          <cell r="J571" t="str">
            <v>CSB-UDS08</v>
          </cell>
          <cell r="K571" t="str">
            <v>CSB-UDS07</v>
          </cell>
          <cell r="L571" t="str">
            <v>CSB-UDS06</v>
          </cell>
          <cell r="M571" t="str">
            <v>CSB-UDS05</v>
          </cell>
          <cell r="W571" t="str">
            <v xml:space="preserve">CSB: UTILITIES DEBT SERVICE </v>
          </cell>
        </row>
        <row r="572">
          <cell r="A572" t="str">
            <v>CSB: UTILITIES FY15 - GAS/WATER/ELECTRIC</v>
          </cell>
          <cell r="B572" t="str">
            <v>CSB</v>
          </cell>
          <cell r="C572" t="str">
            <v>CSB-EGW</v>
          </cell>
          <cell r="D572" t="str">
            <v>CSB-EGW-14</v>
          </cell>
          <cell r="E572" t="str">
            <v>CSB-EGW-13</v>
          </cell>
          <cell r="F572" t="str">
            <v>CSB-EGW-12</v>
          </cell>
          <cell r="G572" t="str">
            <v>CSB-EGW-11</v>
          </cell>
          <cell r="H572" t="str">
            <v>CSB-EGW-10</v>
          </cell>
          <cell r="I572" t="str">
            <v>CSB-EGW-09</v>
          </cell>
          <cell r="J572" t="str">
            <v>CSB-EGW-08</v>
          </cell>
          <cell r="K572" t="str">
            <v>CSB-EGW-07</v>
          </cell>
          <cell r="L572" t="str">
            <v>CSB-EGW-06</v>
          </cell>
          <cell r="M572" t="str">
            <v>CSB-EGW-05</v>
          </cell>
          <cell r="W572" t="str">
            <v xml:space="preserve">CSB: UTILITIES G/W/E </v>
          </cell>
        </row>
        <row r="573">
          <cell r="A573" t="str">
            <v>PTD: UTILITIES FY15 - ELECTRIC</v>
          </cell>
          <cell r="B573" t="str">
            <v>PTD</v>
          </cell>
          <cell r="C573" t="str">
            <v>PTD-ELC</v>
          </cell>
          <cell r="D573" t="str">
            <v>PTD-ELC-14</v>
          </cell>
          <cell r="E573" t="str">
            <v>PTD-ELC-13</v>
          </cell>
          <cell r="F573" t="str">
            <v>PTD-ELC-12</v>
          </cell>
          <cell r="G573" t="str">
            <v>PTD-ELC-11</v>
          </cell>
          <cell r="H573" t="str">
            <v>PTD-ELC-10</v>
          </cell>
          <cell r="I573" t="str">
            <v>PTD-ELC-09</v>
          </cell>
          <cell r="J573" t="str">
            <v>PTD-ELC-08</v>
          </cell>
          <cell r="K573" t="str">
            <v>PTD-ELC-07</v>
          </cell>
          <cell r="L573" t="str">
            <v>SWO008988</v>
          </cell>
          <cell r="M573" t="str">
            <v>SWO006011</v>
          </cell>
          <cell r="N573" t="str">
            <v>SWO003431</v>
          </cell>
          <cell r="O573" t="str">
            <v>SWO002522</v>
          </cell>
          <cell r="P573" t="str">
            <v>SWO001772</v>
          </cell>
          <cell r="Q573" t="str">
            <v>SWO001328</v>
          </cell>
          <cell r="R573" t="str">
            <v>SWO000902</v>
          </cell>
          <cell r="S573">
            <v>22649</v>
          </cell>
          <cell r="T573" t="str">
            <v>1890</v>
          </cell>
          <cell r="U573" t="str">
            <v>PTD</v>
          </cell>
          <cell r="W573" t="str">
            <v>Pardee Tower-Electric</v>
          </cell>
          <cell r="X573" t="str">
            <v>Y</v>
          </cell>
          <cell r="Y573" t="str">
            <v>17-8701-0305</v>
          </cell>
          <cell r="Z573">
            <v>20215</v>
          </cell>
        </row>
        <row r="574">
          <cell r="A574" t="str">
            <v>PTD: UTILITIES FY15 - GAS</v>
          </cell>
          <cell r="B574" t="str">
            <v>PTD</v>
          </cell>
          <cell r="C574" t="str">
            <v>PTD-GAS</v>
          </cell>
          <cell r="D574" t="str">
            <v>PTD-GAS-14</v>
          </cell>
          <cell r="E574" t="str">
            <v>PTD-GAS-13</v>
          </cell>
          <cell r="F574" t="str">
            <v>PTD-GAS-12</v>
          </cell>
          <cell r="G574" t="str">
            <v>PTD-GAS-11</v>
          </cell>
          <cell r="H574" t="str">
            <v>PTD-GAS-10</v>
          </cell>
          <cell r="I574" t="str">
            <v>PTD-GAS-09</v>
          </cell>
          <cell r="J574" t="str">
            <v>PTD-GAS-08</v>
          </cell>
          <cell r="K574" t="str">
            <v>PTD-GAS-07</v>
          </cell>
          <cell r="L574" t="str">
            <v>SWO008989</v>
          </cell>
          <cell r="M574" t="str">
            <v>SWO006012</v>
          </cell>
          <cell r="N574" t="str">
            <v>SWO003432</v>
          </cell>
          <cell r="O574" t="str">
            <v>SWO002502</v>
          </cell>
          <cell r="P574" t="str">
            <v>SWO001753</v>
          </cell>
          <cell r="Q574" t="str">
            <v>SWO001329</v>
          </cell>
          <cell r="R574" t="str">
            <v>SWO000903</v>
          </cell>
          <cell r="S574">
            <v>22650</v>
          </cell>
          <cell r="W574" t="str">
            <v>Pardee Tower - Gas</v>
          </cell>
          <cell r="X574" t="str">
            <v>Y</v>
          </cell>
          <cell r="Y574" t="str">
            <v>17-8701-0305</v>
          </cell>
          <cell r="Z574">
            <v>20211</v>
          </cell>
        </row>
        <row r="575">
          <cell r="A575" t="str">
            <v>PTD: UTILITIES FY15 - WATER</v>
          </cell>
          <cell r="B575" t="str">
            <v>PTD</v>
          </cell>
          <cell r="C575" t="str">
            <v>PTD-WTR</v>
          </cell>
          <cell r="D575" t="str">
            <v>PTD-WTR-14</v>
          </cell>
          <cell r="E575" t="str">
            <v>PTD-WTR-13</v>
          </cell>
          <cell r="F575" t="str">
            <v>PTD-WTR-12</v>
          </cell>
          <cell r="G575" t="str">
            <v>PTD-WTR-11</v>
          </cell>
          <cell r="H575" t="str">
            <v>PTD-WTR-10</v>
          </cell>
          <cell r="I575" t="str">
            <v>PTD-WTR-09</v>
          </cell>
          <cell r="J575" t="str">
            <v>PTD-WTR-08</v>
          </cell>
          <cell r="K575" t="str">
            <v>PTD-WTR-07</v>
          </cell>
          <cell r="L575" t="str">
            <v>SWO008990</v>
          </cell>
          <cell r="M575" t="str">
            <v>SWO006010</v>
          </cell>
          <cell r="N575" t="str">
            <v>SWO003433</v>
          </cell>
          <cell r="O575" t="str">
            <v>SWO002511</v>
          </cell>
          <cell r="P575" t="str">
            <v>SWO001762</v>
          </cell>
          <cell r="Q575" t="str">
            <v>SWO001330</v>
          </cell>
          <cell r="R575" t="str">
            <v>SWO000904</v>
          </cell>
          <cell r="S575">
            <v>22651</v>
          </cell>
          <cell r="W575" t="str">
            <v>Pardee Tower - Water</v>
          </cell>
          <cell r="X575" t="str">
            <v>Y</v>
          </cell>
          <cell r="Y575" t="str">
            <v>17-8701-0305</v>
          </cell>
          <cell r="Z575">
            <v>20212</v>
          </cell>
        </row>
        <row r="576">
          <cell r="A576" t="str">
            <v>PTD: UTILITIES CHILLED WATER FY15</v>
          </cell>
          <cell r="B576" t="str">
            <v>PTD</v>
          </cell>
          <cell r="C576" t="str">
            <v>PTD-UCW</v>
          </cell>
          <cell r="D576" t="str">
            <v>PTD-UCW14</v>
          </cell>
          <cell r="E576" t="str">
            <v>PTD-UCW13</v>
          </cell>
          <cell r="F576" t="str">
            <v>PTD-UCW12</v>
          </cell>
          <cell r="G576" t="str">
            <v>PTD-UCW11</v>
          </cell>
          <cell r="H576" t="str">
            <v>PTD-UCW10</v>
          </cell>
          <cell r="I576" t="str">
            <v>PTD-UCW09</v>
          </cell>
          <cell r="J576" t="str">
            <v>PTD-UCW08</v>
          </cell>
          <cell r="K576" t="str">
            <v>PTD-UCW07</v>
          </cell>
          <cell r="L576" t="str">
            <v>PTD-UCW06</v>
          </cell>
          <cell r="M576" t="str">
            <v>PTD-UCW05</v>
          </cell>
          <cell r="W576" t="str">
            <v xml:space="preserve">PTD: UTILITIES CHILLED WATER </v>
          </cell>
        </row>
        <row r="577">
          <cell r="A577" t="str">
            <v>PTD: UTILITIES DEBT SERVICE FY15</v>
          </cell>
          <cell r="B577" t="str">
            <v>PTD</v>
          </cell>
          <cell r="C577" t="str">
            <v>PTD-UDS</v>
          </cell>
          <cell r="D577" t="str">
            <v>PTD-UDS14</v>
          </cell>
          <cell r="E577" t="str">
            <v>PTD-UDS13</v>
          </cell>
          <cell r="F577" t="str">
            <v>PTD-UDS12</v>
          </cell>
          <cell r="G577" t="str">
            <v>PTD-UDS11</v>
          </cell>
          <cell r="H577" t="str">
            <v>PTD-UDS10</v>
          </cell>
          <cell r="I577" t="str">
            <v>PTD-UDS09</v>
          </cell>
          <cell r="J577" t="str">
            <v>PTD-UDS08</v>
          </cell>
          <cell r="K577" t="str">
            <v>PTD-UDS07</v>
          </cell>
          <cell r="L577" t="str">
            <v>PTD-UDS06</v>
          </cell>
          <cell r="M577" t="str">
            <v>PTD-UDS05</v>
          </cell>
          <cell r="W577" t="str">
            <v xml:space="preserve">PTD: UTILITIES DEBT SERVICE </v>
          </cell>
        </row>
        <row r="578">
          <cell r="A578" t="str">
            <v>PTD: UTILITIES MAINT FY15</v>
          </cell>
          <cell r="B578">
            <v>0</v>
          </cell>
          <cell r="C578" t="str">
            <v>PTD-UMT</v>
          </cell>
          <cell r="D578" t="str">
            <v>PTD-UMT14</v>
          </cell>
          <cell r="E578" t="str">
            <v>PTD-UMT13</v>
          </cell>
          <cell r="F578" t="str">
            <v>PTD-UMT12</v>
          </cell>
          <cell r="G578" t="str">
            <v>PTD-UMT11</v>
          </cell>
          <cell r="H578" t="str">
            <v>PTD-UMT10</v>
          </cell>
          <cell r="I578" t="str">
            <v>PTD-UMT09</v>
          </cell>
          <cell r="J578" t="str">
            <v>PTD-UMT08</v>
          </cell>
          <cell r="K578" t="str">
            <v>PTD-UMT07</v>
          </cell>
          <cell r="L578" t="str">
            <v>PTD-UMT06</v>
          </cell>
          <cell r="M578" t="str">
            <v>PTD-UMT05</v>
          </cell>
          <cell r="W578" t="str">
            <v xml:space="preserve">PTD: UTILITIES MAINT </v>
          </cell>
        </row>
        <row r="579">
          <cell r="A579" t="str">
            <v>HSP: UTILITIES FY15 - ELECTRIC</v>
          </cell>
          <cell r="B579" t="str">
            <v>HSP</v>
          </cell>
          <cell r="C579" t="str">
            <v>HSP-ELC</v>
          </cell>
          <cell r="D579" t="str">
            <v>HSP-ELC-14</v>
          </cell>
          <cell r="E579" t="str">
            <v>HSP-ELC-13</v>
          </cell>
          <cell r="F579" t="str">
            <v>HSP-ELC-12</v>
          </cell>
          <cell r="G579" t="str">
            <v>HSP-ELC-11</v>
          </cell>
          <cell r="H579" t="str">
            <v>HSP-ELC-10</v>
          </cell>
          <cell r="I579" t="str">
            <v>HSP-ELC-09</v>
          </cell>
          <cell r="J579" t="str">
            <v>HSP-ELC-08</v>
          </cell>
          <cell r="K579" t="str">
            <v>HSP-ELC-07</v>
          </cell>
          <cell r="L579" t="str">
            <v>SWO008960</v>
          </cell>
          <cell r="M579" t="str">
            <v>SWO006050</v>
          </cell>
          <cell r="N579" t="str">
            <v>SWO003689(WAS SWO003418)</v>
          </cell>
          <cell r="O579" t="str">
            <v>SWO002563</v>
          </cell>
          <cell r="P579" t="str">
            <v>SWO001829</v>
          </cell>
          <cell r="Q579" t="str">
            <v>SWO001331</v>
          </cell>
          <cell r="R579" t="str">
            <v>SWO000905</v>
          </cell>
          <cell r="S579">
            <v>22652</v>
          </cell>
          <cell r="T579">
            <v>1901</v>
          </cell>
          <cell r="U579" t="str">
            <v>HSP</v>
          </cell>
          <cell r="V579" t="str">
            <v>HSC</v>
          </cell>
          <cell r="W579" t="str">
            <v>HSC Parking Structure - Electric</v>
          </cell>
          <cell r="X579" t="str">
            <v>Y</v>
          </cell>
          <cell r="Y579" t="str">
            <v>17-8040-0000</v>
          </cell>
          <cell r="Z579">
            <v>20215</v>
          </cell>
        </row>
        <row r="580">
          <cell r="A580" t="str">
            <v>HSP: UTILITIES CHILLED WATER FY15</v>
          </cell>
          <cell r="B580" t="str">
            <v>HSP</v>
          </cell>
          <cell r="C580" t="str">
            <v>HSP-UCW</v>
          </cell>
          <cell r="D580" t="str">
            <v>HSP-UCW14</v>
          </cell>
          <cell r="E580" t="str">
            <v>HSP-UCW13</v>
          </cell>
          <cell r="F580" t="str">
            <v>HSP-UCW12</v>
          </cell>
          <cell r="G580" t="str">
            <v>HSP-UCW11</v>
          </cell>
          <cell r="H580" t="str">
            <v>HSP-UCW10</v>
          </cell>
          <cell r="I580" t="str">
            <v>HSP-UCW09</v>
          </cell>
          <cell r="J580" t="str">
            <v>HSP-UCW08</v>
          </cell>
          <cell r="K580" t="str">
            <v>HSP-UCW07</v>
          </cell>
          <cell r="L580" t="str">
            <v>HSP-UCW06</v>
          </cell>
          <cell r="M580" t="str">
            <v>HSP-UCW05</v>
          </cell>
          <cell r="T580" t="str">
            <v>1900</v>
          </cell>
          <cell r="U580" t="str">
            <v>HSP</v>
          </cell>
          <cell r="V580" t="str">
            <v>HSC</v>
          </cell>
          <cell r="W580" t="str">
            <v xml:space="preserve">HSP: UTILITIES CHILLED WATER </v>
          </cell>
        </row>
        <row r="581">
          <cell r="A581" t="str">
            <v>HSP: UTILITIES DEBT SERVICE FY15</v>
          </cell>
          <cell r="B581" t="str">
            <v>HSP</v>
          </cell>
          <cell r="C581" t="str">
            <v>HSP-UDS</v>
          </cell>
          <cell r="D581" t="str">
            <v>HSP-UDS14</v>
          </cell>
          <cell r="E581" t="str">
            <v>HSP-UDS13</v>
          </cell>
          <cell r="F581" t="str">
            <v>HSP-UDS12</v>
          </cell>
          <cell r="G581" t="str">
            <v>HSP-UDS11</v>
          </cell>
          <cell r="H581" t="str">
            <v>HSP-UDS10</v>
          </cell>
          <cell r="I581" t="str">
            <v>HSP-UDS09</v>
          </cell>
          <cell r="J581" t="str">
            <v>HSP-UDS08</v>
          </cell>
          <cell r="K581" t="str">
            <v>HSP-UDS07</v>
          </cell>
          <cell r="L581" t="str">
            <v>HSP-UDS06</v>
          </cell>
          <cell r="M581" t="str">
            <v>HSP-UDS05</v>
          </cell>
          <cell r="W581" t="str">
            <v xml:space="preserve">HSP: UTILITIES DEBT SERVICE </v>
          </cell>
        </row>
        <row r="582">
          <cell r="A582" t="str">
            <v>HSP: UTILITIES MAINT FY15</v>
          </cell>
          <cell r="B582">
            <v>0</v>
          </cell>
          <cell r="C582" t="str">
            <v>HSP-UMT</v>
          </cell>
          <cell r="D582" t="str">
            <v>HSP-UMT14</v>
          </cell>
          <cell r="E582" t="str">
            <v>HSP-UMT13</v>
          </cell>
          <cell r="F582" t="str">
            <v>HSP-UMT12</v>
          </cell>
          <cell r="G582" t="str">
            <v>HSP-UMT11</v>
          </cell>
          <cell r="H582" t="str">
            <v>HSP-UMT10</v>
          </cell>
          <cell r="I582" t="str">
            <v>HSP-UMT09</v>
          </cell>
          <cell r="J582" t="str">
            <v>HSP-UMT08</v>
          </cell>
          <cell r="K582" t="str">
            <v>HSP-UMT07</v>
          </cell>
          <cell r="L582" t="str">
            <v>HSP-UMT06</v>
          </cell>
          <cell r="M582" t="str">
            <v>HSP-UMT05</v>
          </cell>
          <cell r="W582" t="str">
            <v xml:space="preserve">HSP: UTILITIES MAINT </v>
          </cell>
        </row>
        <row r="583">
          <cell r="A583" t="str">
            <v>HSP: UTILITIES FY15 - GAS/WATER ONLY</v>
          </cell>
          <cell r="B583" t="str">
            <v>HSP</v>
          </cell>
          <cell r="C583" t="str">
            <v>HSP-XGW</v>
          </cell>
          <cell r="D583" t="str">
            <v>HSP-XGW-14</v>
          </cell>
          <cell r="E583" t="str">
            <v>HSP-XGW-13</v>
          </cell>
          <cell r="F583" t="str">
            <v>HSP-XGW-12</v>
          </cell>
          <cell r="G583" t="str">
            <v>HSP-XGW-11</v>
          </cell>
          <cell r="H583" t="str">
            <v>HSP-XGW-10</v>
          </cell>
          <cell r="I583" t="str">
            <v>HSP-XGW-09</v>
          </cell>
          <cell r="J583" t="str">
            <v>HSP-XGW-08</v>
          </cell>
          <cell r="K583" t="str">
            <v>HSP-XGW-07</v>
          </cell>
          <cell r="L583" t="str">
            <v>HSP-XGW-06</v>
          </cell>
          <cell r="M583" t="str">
            <v>HSP-XGW-05</v>
          </cell>
          <cell r="N583" t="str">
            <v>SWO003168</v>
          </cell>
          <cell r="O583" t="str">
            <v>SWO000916</v>
          </cell>
          <cell r="P583" t="str">
            <v>SWO000916</v>
          </cell>
          <cell r="Q583" t="str">
            <v>SWO000916</v>
          </cell>
          <cell r="R583" t="str">
            <v>SWO000916</v>
          </cell>
          <cell r="S583">
            <v>27864</v>
          </cell>
          <cell r="W583" t="str">
            <v>HSP: UTILITIES G/W/E  - GAS/WATER ONLY</v>
          </cell>
          <cell r="X583" t="str">
            <v>N</v>
          </cell>
        </row>
        <row r="584">
          <cell r="A584" t="str">
            <v>PSA1: UTILITIES FY15 - ELECTRIC, AUXILIARY</v>
          </cell>
          <cell r="B584" t="str">
            <v>PSA1</v>
          </cell>
          <cell r="C584" t="str">
            <v>PSA1-ELC</v>
          </cell>
          <cell r="D584" t="str">
            <v>PSA1-ELC14</v>
          </cell>
          <cell r="E584" t="str">
            <v>PSA1-ELC13</v>
          </cell>
          <cell r="F584" t="str">
            <v>PSA1-ELC12</v>
          </cell>
          <cell r="G584" t="str">
            <v>PSA1-ELC11</v>
          </cell>
          <cell r="H584" t="str">
            <v>PSA1-ELC10</v>
          </cell>
          <cell r="I584" t="str">
            <v>PSA1-ELC09</v>
          </cell>
          <cell r="J584" t="str">
            <v>PSA1-ELC08</v>
          </cell>
          <cell r="K584" t="str">
            <v>PSA1-ELC07</v>
          </cell>
          <cell r="L584" t="str">
            <v>SWO008970</v>
          </cell>
          <cell r="M584" t="str">
            <v>SWO006006</v>
          </cell>
          <cell r="N584" t="str">
            <v>SWO003427</v>
          </cell>
          <cell r="O584" t="str">
            <v>SWO002554</v>
          </cell>
          <cell r="P584" t="str">
            <v>SWO001820</v>
          </cell>
          <cell r="Q584" t="str">
            <v>SWO001332</v>
          </cell>
          <cell r="R584" t="str">
            <v>SWO000996</v>
          </cell>
          <cell r="S584">
            <v>22656</v>
          </cell>
          <cell r="T584" t="str">
            <v>1911</v>
          </cell>
          <cell r="U584" t="str">
            <v>PSA</v>
          </cell>
          <cell r="W584" t="str">
            <v>Parking Structure A - Electric  (AUX)</v>
          </cell>
          <cell r="Y584" t="str">
            <v>17-8060-0000</v>
          </cell>
          <cell r="Z584">
            <v>20215</v>
          </cell>
        </row>
        <row r="585">
          <cell r="A585" t="str">
            <v>PSA: UTILITIES FY15 - GAS/WATER/ELECTRIC</v>
          </cell>
          <cell r="B585" t="str">
            <v>PSA</v>
          </cell>
          <cell r="C585" t="str">
            <v>PSA-EGW</v>
          </cell>
          <cell r="D585" t="str">
            <v>PSA-EGW-14</v>
          </cell>
          <cell r="E585" t="str">
            <v>PSA-UCW13</v>
          </cell>
          <cell r="F585" t="str">
            <v>PSA-UCW12</v>
          </cell>
          <cell r="G585" t="str">
            <v>PSA-UCW11</v>
          </cell>
          <cell r="H585" t="str">
            <v>PSA-UCW10</v>
          </cell>
          <cell r="I585" t="str">
            <v>PSA-UCW09</v>
          </cell>
          <cell r="J585" t="str">
            <v>PSA-UCW08</v>
          </cell>
          <cell r="K585" t="str">
            <v>PSA-UCW07</v>
          </cell>
          <cell r="L585" t="str">
            <v>PSA-UCW06</v>
          </cell>
          <cell r="M585" t="str">
            <v>PSA-UCW05</v>
          </cell>
          <cell r="T585">
            <v>1910</v>
          </cell>
          <cell r="U585" t="str">
            <v>PSA</v>
          </cell>
          <cell r="W585" t="str">
            <v>PSA:  GAS/WATER/ELECTRIC</v>
          </cell>
        </row>
        <row r="586">
          <cell r="A586" t="str">
            <v>PSA: UTILITIES CHILLED WATER FY15</v>
          </cell>
          <cell r="B586" t="str">
            <v>PSA</v>
          </cell>
          <cell r="C586" t="str">
            <v>PSA-UCW</v>
          </cell>
          <cell r="D586" t="str">
            <v>PSA-UCW14</v>
          </cell>
          <cell r="W586" t="str">
            <v xml:space="preserve">PSA: UTILITIES CHILLED WATER </v>
          </cell>
        </row>
        <row r="587">
          <cell r="A587" t="str">
            <v>PSA: UTILITIES DEBT SERVICE FY15</v>
          </cell>
          <cell r="B587" t="str">
            <v>PSA</v>
          </cell>
          <cell r="C587" t="str">
            <v>PSA-UDS</v>
          </cell>
          <cell r="D587" t="str">
            <v>PSA-UDS14</v>
          </cell>
          <cell r="E587" t="str">
            <v>PSA-UDS13</v>
          </cell>
          <cell r="F587" t="str">
            <v>PSA-UDS12</v>
          </cell>
          <cell r="G587" t="str">
            <v>PSA-UDS11</v>
          </cell>
          <cell r="H587" t="str">
            <v>PSA-UDS10</v>
          </cell>
          <cell r="I587" t="str">
            <v>PSA-UDS09</v>
          </cell>
          <cell r="J587" t="str">
            <v>PSA-UDS08</v>
          </cell>
          <cell r="K587" t="str">
            <v>PSA-UDS07</v>
          </cell>
          <cell r="L587" t="str">
            <v>PSA-UDS06</v>
          </cell>
          <cell r="M587" t="str">
            <v>PSA-UDS05</v>
          </cell>
          <cell r="W587" t="str">
            <v xml:space="preserve">PSA: UTILITIES DEBT SERVICE </v>
          </cell>
        </row>
        <row r="588">
          <cell r="A588" t="str">
            <v>PSA: UTILITIES MAINT FY15</v>
          </cell>
          <cell r="B588">
            <v>0</v>
          </cell>
          <cell r="C588" t="str">
            <v>PSA-UMT</v>
          </cell>
          <cell r="D588" t="str">
            <v>PSA-UMT14</v>
          </cell>
          <cell r="E588" t="str">
            <v>PSA-UMT13</v>
          </cell>
          <cell r="F588" t="str">
            <v>PSA-UMT12</v>
          </cell>
          <cell r="G588" t="str">
            <v>PSA-UMT11</v>
          </cell>
          <cell r="H588" t="str">
            <v>PSA-UMT10</v>
          </cell>
          <cell r="I588" t="str">
            <v>PSA-UMT09</v>
          </cell>
          <cell r="J588" t="str">
            <v>PSA-UMT08</v>
          </cell>
          <cell r="K588" t="str">
            <v>PSA-UMT07</v>
          </cell>
          <cell r="L588" t="str">
            <v>PSA-UMT06</v>
          </cell>
          <cell r="M588" t="str">
            <v>PSA-UMT05</v>
          </cell>
          <cell r="W588" t="str">
            <v xml:space="preserve">PSA: UTILITIES MAINT </v>
          </cell>
        </row>
        <row r="589">
          <cell r="A589" t="str">
            <v>PSA2: ELECTRIC - CHILLER PLANT</v>
          </cell>
          <cell r="B589" t="str">
            <v>PSA2</v>
          </cell>
          <cell r="C589" t="str">
            <v>PSA2-ELC</v>
          </cell>
          <cell r="E589" t="str">
            <v>PSA-EGW-13</v>
          </cell>
          <cell r="F589" t="str">
            <v>PSA-EGW-12</v>
          </cell>
          <cell r="G589" t="str">
            <v>PSA-EGW-11</v>
          </cell>
          <cell r="H589" t="str">
            <v>PSA-EGW-10</v>
          </cell>
          <cell r="I589" t="str">
            <v>PSA-EGW-09</v>
          </cell>
          <cell r="J589" t="str">
            <v>PSA-EGW-08</v>
          </cell>
          <cell r="K589" t="str">
            <v>PSA-EGW-07</v>
          </cell>
          <cell r="L589" t="str">
            <v>PSA-EGW-06</v>
          </cell>
          <cell r="M589" t="str">
            <v>PSA-EGW-05</v>
          </cell>
          <cell r="N589" t="str">
            <v>SWO003224</v>
          </cell>
          <cell r="T589">
            <v>1912</v>
          </cell>
          <cell r="U589" t="str">
            <v>PSA2</v>
          </cell>
          <cell r="W589" t="str">
            <v>PSA2: CHILLER PLANT ELECTRIC</v>
          </cell>
        </row>
        <row r="590">
          <cell r="A590" t="str">
            <v>PSA: UTILITIES FY15 - GAS/WATER ONLY, AUXILIARY</v>
          </cell>
          <cell r="B590" t="str">
            <v>PSA</v>
          </cell>
          <cell r="C590" t="str">
            <v>PSA-XGW</v>
          </cell>
          <cell r="D590" t="str">
            <v>PSA-XGW-14</v>
          </cell>
          <cell r="E590" t="str">
            <v>PSA-XGW-13</v>
          </cell>
          <cell r="F590" t="str">
            <v>PSA-XGW-12</v>
          </cell>
          <cell r="G590" t="str">
            <v>PSA-XGW-11</v>
          </cell>
          <cell r="H590" t="str">
            <v>PSA-XGW-10</v>
          </cell>
          <cell r="I590" t="str">
            <v>PSA-XGW-09</v>
          </cell>
          <cell r="J590" t="str">
            <v>PSA-XGW-08</v>
          </cell>
          <cell r="K590" t="str">
            <v>PSA-XGW-07</v>
          </cell>
          <cell r="L590" t="str">
            <v>PSA-XGW-06</v>
          </cell>
          <cell r="M590" t="str">
            <v>PSA-XGW-05</v>
          </cell>
          <cell r="N590" t="str">
            <v>SWO003225</v>
          </cell>
          <cell r="O590" t="str">
            <v>SWO000995</v>
          </cell>
          <cell r="P590" t="str">
            <v>SWO000995</v>
          </cell>
          <cell r="Q590" t="str">
            <v>SWO000995</v>
          </cell>
          <cell r="R590" t="str">
            <v>SWO000995</v>
          </cell>
          <cell r="S590">
            <v>22653</v>
          </cell>
          <cell r="W590" t="str">
            <v>PSA: UTILITIES G/W/E  - GAS/WATER ONLY, AUXILIARY</v>
          </cell>
          <cell r="X590" t="str">
            <v>N</v>
          </cell>
        </row>
        <row r="591">
          <cell r="A591" t="str">
            <v>PSA8: UTILITIES FY15 - ELECTRIC, CELL SITE</v>
          </cell>
          <cell r="B591" t="str">
            <v>PSA8</v>
          </cell>
          <cell r="C591" t="str">
            <v>PSA8NELC</v>
          </cell>
          <cell r="T591">
            <v>1918</v>
          </cell>
          <cell r="U591" t="str">
            <v>PSA8</v>
          </cell>
          <cell r="W591" t="str">
            <v>PSA8 CELL SITE - ELECTRIC</v>
          </cell>
        </row>
        <row r="592">
          <cell r="A592" t="str">
            <v>PSA9: UTILITIES FY15 - ELECTRIC ONLY, CELL SITE</v>
          </cell>
          <cell r="B592" t="str">
            <v>PSA9</v>
          </cell>
          <cell r="C592" t="str">
            <v>PSA9-EL</v>
          </cell>
          <cell r="D592" t="str">
            <v>PSA9-EL-14</v>
          </cell>
          <cell r="E592" t="str">
            <v>PSA9-EL-13</v>
          </cell>
          <cell r="F592" t="str">
            <v>PSA9-EL-12</v>
          </cell>
          <cell r="G592" t="str">
            <v>PSA9-EL-11</v>
          </cell>
          <cell r="H592" t="str">
            <v>PSA9-EL-10</v>
          </cell>
          <cell r="I592" t="str">
            <v>PSA9-EL-09</v>
          </cell>
          <cell r="J592" t="str">
            <v>PSA9-EL-08</v>
          </cell>
          <cell r="K592" t="str">
            <v>PSA9-EL-07</v>
          </cell>
          <cell r="L592" t="str">
            <v>PSA9-EL-06</v>
          </cell>
          <cell r="M592" t="str">
            <v>PSA9-EL-05</v>
          </cell>
          <cell r="T592">
            <v>1919</v>
          </cell>
          <cell r="U592" t="str">
            <v>PSA9</v>
          </cell>
          <cell r="W592" t="str">
            <v>PSA9: UTILITIES  - ELECTRIC ONLY, CELL SITE</v>
          </cell>
        </row>
        <row r="593">
          <cell r="A593" t="str">
            <v>PSB1: UTILITIES FY15 - ELECTRIC, AUXILIARY</v>
          </cell>
          <cell r="B593" t="str">
            <v>PSB1</v>
          </cell>
          <cell r="C593" t="str">
            <v>PSB1-ELC</v>
          </cell>
          <cell r="D593" t="str">
            <v>PSB1-ELC14</v>
          </cell>
          <cell r="E593" t="str">
            <v>PSB1-ELC13</v>
          </cell>
          <cell r="F593" t="str">
            <v>PSB1-ELC12</v>
          </cell>
          <cell r="G593" t="str">
            <v>PSB1-ELC11</v>
          </cell>
          <cell r="H593" t="str">
            <v>PSB1-ELC10</v>
          </cell>
          <cell r="I593" t="str">
            <v>PSB1-ELC09</v>
          </cell>
          <cell r="J593" t="str">
            <v>PSB1-ELC08</v>
          </cell>
          <cell r="K593" t="str">
            <v>PSB1-ELC07</v>
          </cell>
          <cell r="L593" t="str">
            <v>SWO008966</v>
          </cell>
          <cell r="M593" t="str">
            <v>SWO006007</v>
          </cell>
          <cell r="N593" t="str">
            <v>SWO003428</v>
          </cell>
          <cell r="O593" t="str">
            <v>SWO002554</v>
          </cell>
          <cell r="P593" t="str">
            <v>SWO001820</v>
          </cell>
          <cell r="Q593" t="str">
            <v>SWO001332</v>
          </cell>
          <cell r="R593" t="str">
            <v>SWO000996</v>
          </cell>
          <cell r="S593">
            <v>22656</v>
          </cell>
          <cell r="T593" t="str">
            <v>1921</v>
          </cell>
          <cell r="U593" t="str">
            <v>PSB</v>
          </cell>
          <cell r="W593" t="str">
            <v>Parking Structure B - Electric (AUX)</v>
          </cell>
          <cell r="Y593" t="str">
            <v>17-8060-0000</v>
          </cell>
          <cell r="Z593">
            <v>20215</v>
          </cell>
        </row>
        <row r="594">
          <cell r="A594" t="str">
            <v>PSB: UTILITIES FY15 - GAS/WATER ONLY, AUXILIARY</v>
          </cell>
          <cell r="B594" t="str">
            <v>PSB2</v>
          </cell>
          <cell r="C594" t="str">
            <v>PSB-XGW</v>
          </cell>
          <cell r="D594" t="str">
            <v>PSB-XGW-14</v>
          </cell>
          <cell r="E594" t="str">
            <v>PSA-XGW-13</v>
          </cell>
          <cell r="F594" t="str">
            <v>PSA-XGW-12</v>
          </cell>
          <cell r="G594" t="str">
            <v>PSA-XGW-11</v>
          </cell>
          <cell r="H594" t="str">
            <v>PSA-XGW-10</v>
          </cell>
          <cell r="I594" t="str">
            <v>PSA-XGW-09</v>
          </cell>
          <cell r="J594" t="str">
            <v>PSA-XGW-08</v>
          </cell>
          <cell r="K594" t="str">
            <v>PSA-XGW-07</v>
          </cell>
          <cell r="L594" t="str">
            <v>PSA-XGW-06</v>
          </cell>
          <cell r="M594" t="str">
            <v>PSA-XGW-05</v>
          </cell>
          <cell r="N594" t="str">
            <v>SWO003225</v>
          </cell>
          <cell r="O594" t="str">
            <v>SWO000995</v>
          </cell>
          <cell r="P594" t="str">
            <v>SWO000995</v>
          </cell>
          <cell r="Q594" t="str">
            <v>SWO000995</v>
          </cell>
          <cell r="R594" t="str">
            <v>SWO000995</v>
          </cell>
          <cell r="S594">
            <v>22653</v>
          </cell>
          <cell r="W594" t="str">
            <v>PSB: UTILITIES G/W/E  - GAS/WATER ONLY, AUXILIARY</v>
          </cell>
          <cell r="X594" t="str">
            <v>N</v>
          </cell>
        </row>
        <row r="595">
          <cell r="A595" t="str">
            <v>PSB: UTILITIES CHILLED WATER FY15</v>
          </cell>
          <cell r="B595" t="str">
            <v>PSB</v>
          </cell>
          <cell r="C595" t="str">
            <v>PSB-UCW</v>
          </cell>
          <cell r="D595" t="str">
            <v>PSB-UCW14</v>
          </cell>
          <cell r="E595" t="str">
            <v>PSB-UCW13</v>
          </cell>
          <cell r="F595" t="str">
            <v>PSB-UCW12</v>
          </cell>
          <cell r="G595" t="str">
            <v>PSB-UCW11</v>
          </cell>
          <cell r="H595" t="str">
            <v>PSB-UCW10</v>
          </cell>
          <cell r="I595" t="str">
            <v>PSB-UCW09</v>
          </cell>
          <cell r="J595" t="str">
            <v>PSB-UCW08</v>
          </cell>
          <cell r="K595" t="str">
            <v>PSB-UCW07</v>
          </cell>
          <cell r="L595" t="str">
            <v>PSB-UCW06</v>
          </cell>
          <cell r="M595" t="str">
            <v>PSB-UCW05</v>
          </cell>
          <cell r="T595" t="str">
            <v>1920</v>
          </cell>
          <cell r="U595" t="str">
            <v>PSB</v>
          </cell>
          <cell r="W595" t="str">
            <v xml:space="preserve">PSB: UTILITIES CHILLED WATER </v>
          </cell>
        </row>
        <row r="596">
          <cell r="A596" t="str">
            <v>PSB: UTILITIES DEBT SERVICE FY15</v>
          </cell>
          <cell r="B596" t="str">
            <v>PSB</v>
          </cell>
          <cell r="C596" t="str">
            <v>PSB-UDS</v>
          </cell>
          <cell r="D596" t="str">
            <v>PSB-UDS14</v>
          </cell>
          <cell r="E596" t="str">
            <v>PSB-UDS13</v>
          </cell>
          <cell r="F596" t="str">
            <v>PSB-UDS12</v>
          </cell>
          <cell r="G596" t="str">
            <v>PSB-UDS11</v>
          </cell>
          <cell r="H596" t="str">
            <v>PSB-UDS10</v>
          </cell>
          <cell r="I596" t="str">
            <v>PSB-UDS09</v>
          </cell>
          <cell r="J596" t="str">
            <v>PSB-UDS08</v>
          </cell>
          <cell r="K596" t="str">
            <v>PSB-UDS07</v>
          </cell>
          <cell r="L596" t="str">
            <v>PSB-UDS06</v>
          </cell>
          <cell r="M596" t="str">
            <v>PSB-UDS05</v>
          </cell>
          <cell r="W596" t="str">
            <v xml:space="preserve">PSB: UTILITIES DEBT SERVICE </v>
          </cell>
        </row>
        <row r="597">
          <cell r="A597" t="str">
            <v>PSB: UTILITIES MAINT FY15</v>
          </cell>
          <cell r="B597">
            <v>0</v>
          </cell>
          <cell r="C597" t="str">
            <v>PSB-UMT</v>
          </cell>
          <cell r="D597" t="str">
            <v>PSB-UMT14</v>
          </cell>
          <cell r="E597" t="str">
            <v>PSB-UMT13</v>
          </cell>
          <cell r="F597" t="str">
            <v>PSB-UMT12</v>
          </cell>
          <cell r="G597" t="str">
            <v>PSB-UMT11</v>
          </cell>
          <cell r="H597" t="str">
            <v>PSB-UMT10</v>
          </cell>
          <cell r="I597" t="str">
            <v>PSB-UMT09</v>
          </cell>
          <cell r="J597" t="str">
            <v>PSB-UMT08</v>
          </cell>
          <cell r="K597" t="str">
            <v>PSB-UMT07</v>
          </cell>
          <cell r="L597" t="str">
            <v>PSB-UMT06</v>
          </cell>
          <cell r="M597" t="str">
            <v>PSB-UMT05</v>
          </cell>
          <cell r="W597" t="str">
            <v xml:space="preserve">PSB: UTILITIES MAINT </v>
          </cell>
        </row>
        <row r="598">
          <cell r="A598" t="str">
            <v>PSB8: UTILITIES FY15 - ELECTRIC, CELL SITE</v>
          </cell>
          <cell r="B598" t="str">
            <v>PSB8</v>
          </cell>
          <cell r="C598" t="str">
            <v>PSB8NELC</v>
          </cell>
          <cell r="E598" t="str">
            <v>PSB-XGW-13</v>
          </cell>
          <cell r="F598" t="str">
            <v>PSB-XGW-12</v>
          </cell>
          <cell r="G598" t="str">
            <v>PSB-XGW-11</v>
          </cell>
          <cell r="H598" t="str">
            <v>PSB-XGW-10</v>
          </cell>
          <cell r="I598" t="str">
            <v>PSB-XGW-09</v>
          </cell>
          <cell r="J598" t="str">
            <v>PSB-XGW-08</v>
          </cell>
          <cell r="K598" t="str">
            <v>PSB-XGW-07</v>
          </cell>
          <cell r="L598" t="str">
            <v>PSB-XGW-06</v>
          </cell>
          <cell r="M598" t="str">
            <v>PSB-XGW-05</v>
          </cell>
          <cell r="N598" t="str">
            <v>SWO003226</v>
          </cell>
          <cell r="O598" t="str">
            <v>SWO000997</v>
          </cell>
          <cell r="P598" t="str">
            <v>SWO000997</v>
          </cell>
          <cell r="Q598" t="str">
            <v>SWO000997</v>
          </cell>
          <cell r="R598" t="str">
            <v>SWO000997</v>
          </cell>
          <cell r="S598">
            <v>22657</v>
          </cell>
          <cell r="T598" t="str">
            <v>1928</v>
          </cell>
          <cell r="W598" t="str">
            <v>PSB8 CELL SITE - ELECTRIC</v>
          </cell>
          <cell r="X598" t="str">
            <v>N</v>
          </cell>
        </row>
        <row r="599">
          <cell r="B599" t="str">
            <v>TSS</v>
          </cell>
          <cell r="G599" t="str">
            <v>TSS-EGW-11</v>
          </cell>
          <cell r="H599" t="str">
            <v>TSS-EGW-10</v>
          </cell>
          <cell r="I599" t="str">
            <v>TSS-EGW-09</v>
          </cell>
          <cell r="J599" t="str">
            <v>TSS-EGW-08</v>
          </cell>
          <cell r="K599" t="str">
            <v>TSS-EGW-07</v>
          </cell>
          <cell r="L599" t="str">
            <v>TSS-EGW-06</v>
          </cell>
          <cell r="M599" t="str">
            <v>TSS-EGW-05</v>
          </cell>
          <cell r="N599" t="str">
            <v>SWO003263</v>
          </cell>
          <cell r="O599" t="str">
            <v>SWO000998</v>
          </cell>
          <cell r="P599" t="str">
            <v>SWO000998</v>
          </cell>
          <cell r="Q599" t="str">
            <v>SWO000998</v>
          </cell>
          <cell r="R599" t="str">
            <v>SWO000998</v>
          </cell>
          <cell r="S599">
            <v>22659</v>
          </cell>
          <cell r="T599" t="str">
            <v>1930</v>
          </cell>
          <cell r="U599" t="str">
            <v>TSS</v>
          </cell>
          <cell r="W599" t="str">
            <v xml:space="preserve">TSS: UTILITIES G/W/E </v>
          </cell>
          <cell r="X599" t="str">
            <v>N</v>
          </cell>
          <cell r="Y599" t="str">
            <v>DEMOLISHED MARCH 2008</v>
          </cell>
        </row>
        <row r="600">
          <cell r="A600" t="str">
            <v>RZC: UTILITIES FY15 - GAS/WATER/ELECTRIC</v>
          </cell>
          <cell r="B600" t="str">
            <v>RZC</v>
          </cell>
          <cell r="C600" t="str">
            <v>RZC-EGW</v>
          </cell>
          <cell r="D600" t="str">
            <v>RZC-EGW-14</v>
          </cell>
          <cell r="E600" t="str">
            <v>RZC-EGW-13</v>
          </cell>
          <cell r="F600" t="str">
            <v>RZC-EGW-12</v>
          </cell>
          <cell r="G600" t="str">
            <v>RZC-EGW-11</v>
          </cell>
          <cell r="H600" t="str">
            <v>RZC-EGW-10</v>
          </cell>
          <cell r="I600" t="str">
            <v>RZC-EGW-09</v>
          </cell>
          <cell r="J600" t="str">
            <v>RZC-EGW-08</v>
          </cell>
          <cell r="K600" t="str">
            <v>RZC-EGW-07</v>
          </cell>
          <cell r="L600" t="str">
            <v>RZC-EGW-06</v>
          </cell>
          <cell r="M600" t="str">
            <v>RZC-EGW-05</v>
          </cell>
          <cell r="N600" t="str">
            <v>SWO003240</v>
          </cell>
          <cell r="O600" t="str">
            <v>SWO000999</v>
          </cell>
          <cell r="P600" t="str">
            <v>SWO000999</v>
          </cell>
          <cell r="Q600" t="str">
            <v>SWO000999</v>
          </cell>
          <cell r="R600" t="str">
            <v>SWO000999</v>
          </cell>
          <cell r="S600">
            <v>22660</v>
          </cell>
          <cell r="T600" t="str">
            <v>1970</v>
          </cell>
          <cell r="U600" t="str">
            <v>RZC</v>
          </cell>
          <cell r="W600" t="str">
            <v xml:space="preserve">RZC: UTILITIES G/W/E </v>
          </cell>
          <cell r="X600" t="str">
            <v>N</v>
          </cell>
        </row>
        <row r="601">
          <cell r="A601" t="str">
            <v>RZC: UTILITIES CHILLED WATER FY15</v>
          </cell>
          <cell r="B601" t="str">
            <v>RZC</v>
          </cell>
          <cell r="C601" t="str">
            <v>RZC-UCW</v>
          </cell>
          <cell r="D601" t="str">
            <v>RZC-UCW14</v>
          </cell>
          <cell r="E601" t="str">
            <v>RZC-UCW13</v>
          </cell>
          <cell r="F601" t="str">
            <v>RZC-UCW12</v>
          </cell>
          <cell r="G601" t="str">
            <v>RZC-UCW11</v>
          </cell>
          <cell r="H601" t="str">
            <v>RZC-UCW10</v>
          </cell>
          <cell r="I601" t="str">
            <v>RZC-UCW09</v>
          </cell>
          <cell r="J601" t="str">
            <v>RZC-UCW08</v>
          </cell>
          <cell r="K601" t="str">
            <v>RZC-UCW07</v>
          </cell>
          <cell r="L601" t="str">
            <v>RZC-UCW06</v>
          </cell>
          <cell r="M601" t="str">
            <v>RZC-UCW05</v>
          </cell>
          <cell r="W601" t="str">
            <v xml:space="preserve">RZC: UTILITIES CHILLED WATER </v>
          </cell>
        </row>
        <row r="602">
          <cell r="A602" t="str">
            <v>RZC: UTILITIES DEBT SERVICE FY15</v>
          </cell>
          <cell r="B602" t="str">
            <v>RZC</v>
          </cell>
          <cell r="C602" t="str">
            <v>RZC-UDS</v>
          </cell>
          <cell r="D602" t="str">
            <v>RZC-UDS14</v>
          </cell>
          <cell r="E602" t="str">
            <v>RZC-UDS13</v>
          </cell>
          <cell r="F602" t="str">
            <v>RZC-UDS12</v>
          </cell>
          <cell r="G602" t="str">
            <v>RZC-UDS11</v>
          </cell>
          <cell r="H602" t="str">
            <v>RZC-UDS10</v>
          </cell>
          <cell r="I602" t="str">
            <v>RZC-UDS09</v>
          </cell>
          <cell r="J602" t="str">
            <v>RZC-UDS08</v>
          </cell>
          <cell r="K602" t="str">
            <v>RZC-UDS07</v>
          </cell>
          <cell r="L602" t="str">
            <v>RZC-UDS06</v>
          </cell>
          <cell r="M602" t="str">
            <v>RZC-UDS05</v>
          </cell>
          <cell r="W602" t="str">
            <v xml:space="preserve">RZC: UTILITIES DEBT SERVICE </v>
          </cell>
        </row>
        <row r="603">
          <cell r="A603" t="str">
            <v>RZC: UTILITIES MAINT FY15</v>
          </cell>
          <cell r="B603">
            <v>0</v>
          </cell>
          <cell r="C603" t="str">
            <v>RZC-UMT</v>
          </cell>
          <cell r="D603" t="str">
            <v>RZC-UMT14</v>
          </cell>
          <cell r="E603" t="str">
            <v>RZC-UMT13</v>
          </cell>
          <cell r="F603" t="str">
            <v>RZC-UMT12</v>
          </cell>
          <cell r="G603" t="str">
            <v>RZC-UMT11</v>
          </cell>
          <cell r="H603" t="str">
            <v>RZC-UMT10</v>
          </cell>
          <cell r="I603" t="str">
            <v>RZC-UMT09</v>
          </cell>
          <cell r="J603" t="str">
            <v>RZC-UMT08</v>
          </cell>
          <cell r="K603" t="str">
            <v>RZC-UMT07</v>
          </cell>
          <cell r="L603" t="str">
            <v>RZC-UMT06</v>
          </cell>
          <cell r="M603" t="str">
            <v>RZC-UMT05</v>
          </cell>
          <cell r="W603" t="str">
            <v xml:space="preserve">RZC: UTILITIES MAINT </v>
          </cell>
        </row>
        <row r="604">
          <cell r="A604" t="str">
            <v>UPX: UTILITIES FY15 - GAS/WATER ONLY</v>
          </cell>
          <cell r="B604" t="str">
            <v>UPX</v>
          </cell>
          <cell r="C604" t="str">
            <v>UPX-XGW</v>
          </cell>
          <cell r="D604" t="str">
            <v>UPX-XGW-14</v>
          </cell>
          <cell r="E604" t="str">
            <v>UPX-XGW-13</v>
          </cell>
          <cell r="F604" t="str">
            <v>UPX-XGW-12</v>
          </cell>
          <cell r="G604" t="str">
            <v>UPX-XGW-11</v>
          </cell>
          <cell r="H604" t="str">
            <v>UPX-XGW-10</v>
          </cell>
          <cell r="I604" t="str">
            <v>UPX-XGW-09</v>
          </cell>
          <cell r="J604" t="str">
            <v>UPX-XGW-08</v>
          </cell>
          <cell r="K604" t="str">
            <v>UPX-XGW-07</v>
          </cell>
          <cell r="L604" t="str">
            <v>UPX-XGW-06</v>
          </cell>
          <cell r="M604" t="str">
            <v>UPX-XGW-05</v>
          </cell>
          <cell r="N604" t="str">
            <v>SWO003271</v>
          </cell>
          <cell r="O604" t="str">
            <v>SWO001033</v>
          </cell>
          <cell r="P604" t="str">
            <v>SWO001033</v>
          </cell>
          <cell r="Q604" t="str">
            <v>SWO001033</v>
          </cell>
          <cell r="R604" t="str">
            <v>SWO001033</v>
          </cell>
          <cell r="S604">
            <v>27877</v>
          </cell>
          <cell r="T604" t="str">
            <v>1990</v>
          </cell>
          <cell r="U604" t="str">
            <v>UPX</v>
          </cell>
          <cell r="W604" t="str">
            <v>UPX: UTILITIES G/W/E  - GAS/WATER ONLY</v>
          </cell>
          <cell r="X604" t="str">
            <v>N</v>
          </cell>
        </row>
        <row r="605">
          <cell r="A605" t="str">
            <v>UPX: UTILITIES CHILLED WATER FY15</v>
          </cell>
          <cell r="B605" t="str">
            <v>UPX</v>
          </cell>
          <cell r="C605" t="str">
            <v>UPX-UCW</v>
          </cell>
          <cell r="D605" t="str">
            <v>UPX-UCW14</v>
          </cell>
          <cell r="E605" t="str">
            <v>UPX-UCW13</v>
          </cell>
          <cell r="F605" t="str">
            <v>UPX-UCW12</v>
          </cell>
          <cell r="G605" t="str">
            <v>UPX-UCW11</v>
          </cell>
          <cell r="H605" t="str">
            <v>UPX-UCW10</v>
          </cell>
          <cell r="I605" t="str">
            <v>UPX-UCW09</v>
          </cell>
          <cell r="J605" t="str">
            <v>UPX-UCW08</v>
          </cell>
          <cell r="K605" t="str">
            <v>UPX-UCW07</v>
          </cell>
          <cell r="L605" t="str">
            <v>UPX-UCW06</v>
          </cell>
          <cell r="M605" t="str">
            <v>UPX-UCW05</v>
          </cell>
          <cell r="W605" t="str">
            <v xml:space="preserve">UPX: UTILITIES CHILLED WATER </v>
          </cell>
        </row>
        <row r="606">
          <cell r="A606" t="str">
            <v>UPX: UTILITIES DEBT SERVICE FY15</v>
          </cell>
          <cell r="B606" t="str">
            <v>UPX</v>
          </cell>
          <cell r="C606" t="str">
            <v>UPX-UDS</v>
          </cell>
          <cell r="D606" t="str">
            <v>UPX-UDS14</v>
          </cell>
          <cell r="E606" t="str">
            <v>UPX-UDS13</v>
          </cell>
          <cell r="F606" t="str">
            <v>UPX-UDS12</v>
          </cell>
          <cell r="G606" t="str">
            <v>UPX-UDS11</v>
          </cell>
          <cell r="H606" t="str">
            <v>UPX-UDS10</v>
          </cell>
          <cell r="I606" t="str">
            <v>UPX-UDS09</v>
          </cell>
          <cell r="J606" t="str">
            <v>UPX-UDS08</v>
          </cell>
          <cell r="K606" t="str">
            <v>UPX-UDS07</v>
          </cell>
          <cell r="L606" t="str">
            <v>UPX-UDS06</v>
          </cell>
          <cell r="M606" t="str">
            <v>UPX-UDS05</v>
          </cell>
          <cell r="W606" t="str">
            <v xml:space="preserve">UPX: UTILITIES DEBT SERVICE </v>
          </cell>
        </row>
        <row r="607">
          <cell r="A607" t="str">
            <v>UPX: UTILITIES MAINT FY15</v>
          </cell>
          <cell r="B607">
            <v>0</v>
          </cell>
          <cell r="C607" t="str">
            <v>UPX-UMT</v>
          </cell>
          <cell r="D607" t="str">
            <v>UPX-UMT14</v>
          </cell>
          <cell r="E607" t="str">
            <v>UPX-UMT13</v>
          </cell>
          <cell r="W607" t="str">
            <v>UPX: UTILITIES MAINT FY15</v>
          </cell>
        </row>
        <row r="608">
          <cell r="A608" t="str">
            <v>UPX1: UTILITIES FY15 - ELECTRIC, AUXILIARY</v>
          </cell>
          <cell r="B608" t="str">
            <v>UPX1</v>
          </cell>
          <cell r="C608" t="str">
            <v>UPX1-ELC</v>
          </cell>
          <cell r="D608" t="str">
            <v>UPX1-ELC14</v>
          </cell>
          <cell r="E608" t="str">
            <v>UPX1-ELC13</v>
          </cell>
          <cell r="F608" t="str">
            <v>UPX1-ELC12</v>
          </cell>
          <cell r="G608" t="str">
            <v>UPX1-ELC11</v>
          </cell>
          <cell r="H608" t="str">
            <v>UPX1-ELC10</v>
          </cell>
          <cell r="I608" t="str">
            <v>UPX1-ELC09</v>
          </cell>
          <cell r="J608" t="str">
            <v>UPX1-ELC08</v>
          </cell>
          <cell r="K608" t="str">
            <v>UPX1-ELC07</v>
          </cell>
          <cell r="L608" t="str">
            <v>SWO008961</v>
          </cell>
          <cell r="M608" t="str">
            <v>SWO005986</v>
          </cell>
          <cell r="N608" t="str">
            <v>SWO003469</v>
          </cell>
          <cell r="O608" t="str">
            <v>SWO002556</v>
          </cell>
          <cell r="P608" t="str">
            <v>SWO001822</v>
          </cell>
          <cell r="Q608" t="str">
            <v>SWO001334</v>
          </cell>
          <cell r="R608" t="str">
            <v>SWO001000</v>
          </cell>
          <cell r="S608">
            <v>22661</v>
          </cell>
          <cell r="T608" t="str">
            <v>1991</v>
          </cell>
          <cell r="U608" t="str">
            <v>UPX1</v>
          </cell>
          <cell r="W608" t="str">
            <v>University Parking Center - Electric</v>
          </cell>
          <cell r="X608" t="str">
            <v>Y</v>
          </cell>
          <cell r="Y608" t="str">
            <v>17-8090-0000</v>
          </cell>
          <cell r="Z608">
            <v>20215</v>
          </cell>
        </row>
        <row r="609">
          <cell r="A609" t="str">
            <v>UPX2: UTILITIES FY15 - ELECTRIC, ENGINEERING</v>
          </cell>
          <cell r="B609" t="str">
            <v>UPX2</v>
          </cell>
          <cell r="C609" t="str">
            <v>UPX2-ELC</v>
          </cell>
          <cell r="D609" t="str">
            <v>UPX2-ELC14</v>
          </cell>
          <cell r="E609" t="str">
            <v>UPX2-ELC13</v>
          </cell>
          <cell r="F609" t="str">
            <v>UPX2-ELC12</v>
          </cell>
          <cell r="G609" t="str">
            <v>UPX2-ELC11</v>
          </cell>
          <cell r="H609" t="str">
            <v>UPX2-ELC10</v>
          </cell>
          <cell r="I609" t="str">
            <v>UPX2-ELC09</v>
          </cell>
          <cell r="J609" t="str">
            <v>UPX2-ELC08</v>
          </cell>
          <cell r="K609" t="str">
            <v>UPX2-ELC07</v>
          </cell>
          <cell r="L609" t="str">
            <v>SWO009683</v>
          </cell>
          <cell r="M609" t="str">
            <v>SWO006319</v>
          </cell>
          <cell r="T609" t="str">
            <v>1992</v>
          </cell>
          <cell r="W609" t="str">
            <v>UPX2: UTILITIES FY04 - ELECTRIC, ENGINEERING</v>
          </cell>
        </row>
        <row r="610">
          <cell r="A610" t="str">
            <v>TMC: UTILITIES FY15 - GAS/WATER/ELECTRIC</v>
          </cell>
          <cell r="B610" t="str">
            <v>LPB</v>
          </cell>
          <cell r="C610" t="str">
            <v>LPB-EGW</v>
          </cell>
          <cell r="D610" t="str">
            <v>LPB-EGW-14</v>
          </cell>
          <cell r="E610" t="str">
            <v>LPB-EGW-13</v>
          </cell>
          <cell r="F610" t="str">
            <v>LPB-EGW-12</v>
          </cell>
          <cell r="G610" t="str">
            <v>LPB-EGW-11</v>
          </cell>
          <cell r="H610" t="str">
            <v>LPB-EGW-10</v>
          </cell>
          <cell r="I610" t="str">
            <v>LPB-EGW-09</v>
          </cell>
          <cell r="J610" t="str">
            <v>LPB-EGW-08</v>
          </cell>
          <cell r="K610" t="str">
            <v>LPB-EGW-07</v>
          </cell>
          <cell r="L610" t="str">
            <v>LPB-EGW-06</v>
          </cell>
          <cell r="M610" t="str">
            <v>LPB-EGW-05</v>
          </cell>
          <cell r="N610" t="str">
            <v>SWO003188</v>
          </cell>
          <cell r="O610" t="str">
            <v>SWO000907</v>
          </cell>
          <cell r="P610" t="str">
            <v>SWO000907</v>
          </cell>
          <cell r="Q610" t="str">
            <v>SWO000907</v>
          </cell>
          <cell r="R610" t="str">
            <v>SWO000907</v>
          </cell>
          <cell r="S610">
            <v>22662</v>
          </cell>
          <cell r="T610" t="str">
            <v>2200</v>
          </cell>
          <cell r="U610" t="str">
            <v>LPB</v>
          </cell>
          <cell r="W610" t="str">
            <v>TMC: UTILITIES G/W/E (was MARCIA LUCAS POST PROD BLDG)</v>
          </cell>
          <cell r="X610" t="str">
            <v>N</v>
          </cell>
          <cell r="Y610" t="str">
            <v>DEMOLISHED 7/31/2009</v>
          </cell>
        </row>
        <row r="611">
          <cell r="A611" t="str">
            <v>TMC: UTILITIES CHILLED WATER FY15</v>
          </cell>
          <cell r="B611" t="str">
            <v>LPB</v>
          </cell>
          <cell r="C611" t="str">
            <v>LPB-UCW</v>
          </cell>
          <cell r="D611" t="str">
            <v>LPB-UCW14</v>
          </cell>
          <cell r="E611" t="str">
            <v>LPB-UCW13</v>
          </cell>
          <cell r="F611" t="str">
            <v>LPB-UCW12</v>
          </cell>
          <cell r="G611" t="str">
            <v>LPB-UCW11</v>
          </cell>
          <cell r="H611" t="str">
            <v>LPB-UCW10</v>
          </cell>
          <cell r="I611" t="str">
            <v>LPB-UCW09</v>
          </cell>
          <cell r="J611" t="str">
            <v>LPB-UCW08</v>
          </cell>
          <cell r="K611" t="str">
            <v>LPB-UCW07</v>
          </cell>
          <cell r="L611" t="str">
            <v>LPB-UCW06</v>
          </cell>
          <cell r="M611" t="str">
            <v>LPB-UCW05</v>
          </cell>
          <cell r="W611" t="str">
            <v>TMC: UTILITIES CHILLED WATER  (was MARCIA LUCAS POST PROD BLDG)</v>
          </cell>
        </row>
        <row r="612">
          <cell r="A612" t="str">
            <v>TMC: UTILITIES DEBT SERVICE FY15</v>
          </cell>
          <cell r="B612" t="str">
            <v>LPB</v>
          </cell>
          <cell r="C612" t="str">
            <v>LPB-UDS</v>
          </cell>
          <cell r="D612" t="str">
            <v>LPB-UDS14</v>
          </cell>
          <cell r="E612" t="str">
            <v>LPB-UDS13</v>
          </cell>
          <cell r="F612" t="str">
            <v>LPB-UDS12</v>
          </cell>
          <cell r="G612" t="str">
            <v>LPB-UDS11</v>
          </cell>
          <cell r="H612" t="str">
            <v>LPB-UDS10</v>
          </cell>
          <cell r="I612" t="str">
            <v>LPB-UDS09</v>
          </cell>
          <cell r="J612" t="str">
            <v>LPB-UDS08</v>
          </cell>
          <cell r="K612" t="str">
            <v>LPB-UDS07</v>
          </cell>
          <cell r="L612" t="str">
            <v>LPB-UDS06</v>
          </cell>
          <cell r="M612" t="str">
            <v>LPB-UDS05</v>
          </cell>
          <cell r="W612" t="str">
            <v>TMC: UTILITIES DEBT SERVICE  (was MARCIA LUCAS POST PROD BLDG)</v>
          </cell>
        </row>
        <row r="613">
          <cell r="A613" t="str">
            <v>TMC: UTILITIES MAINT FY15</v>
          </cell>
          <cell r="B613">
            <v>0</v>
          </cell>
          <cell r="C613" t="str">
            <v>LPB-UMT</v>
          </cell>
          <cell r="D613" t="str">
            <v>LPB-UMT14</v>
          </cell>
          <cell r="E613" t="str">
            <v>LPB-UMT13</v>
          </cell>
          <cell r="F613" t="str">
            <v>LPB-UMT12</v>
          </cell>
          <cell r="G613" t="str">
            <v>LPB-UMT11</v>
          </cell>
          <cell r="H613" t="str">
            <v>LPB-UMT10</v>
          </cell>
          <cell r="I613" t="str">
            <v>LPB-UMT09</v>
          </cell>
          <cell r="J613" t="str">
            <v>LPB-UMT08</v>
          </cell>
          <cell r="K613" t="str">
            <v>LPB-UMT07</v>
          </cell>
          <cell r="L613" t="str">
            <v>LPB-UMT06</v>
          </cell>
          <cell r="M613" t="str">
            <v>LPB-UMT05</v>
          </cell>
          <cell r="W613" t="str">
            <v>TMC: UTILITIES MAINT  (was MARCIA LUCAS POST PROD BLDG)</v>
          </cell>
        </row>
        <row r="614">
          <cell r="B614" t="str">
            <v>LUC</v>
          </cell>
          <cell r="F614" t="str">
            <v>LUC-EGW-12</v>
          </cell>
          <cell r="G614" t="str">
            <v>LUC-EGW-11</v>
          </cell>
          <cell r="H614" t="str">
            <v>LUC-EGW-10</v>
          </cell>
          <cell r="I614" t="str">
            <v>LUC-EGW-09</v>
          </cell>
          <cell r="J614" t="str">
            <v>LUC-EGW-08</v>
          </cell>
          <cell r="K614" t="str">
            <v>LUC-EGW-07</v>
          </cell>
          <cell r="L614" t="str">
            <v>LUC-EGW-06</v>
          </cell>
          <cell r="M614" t="str">
            <v>LUC-EGW-05</v>
          </cell>
          <cell r="N614" t="str">
            <v>SWO003191</v>
          </cell>
          <cell r="O614" t="str">
            <v>SWO001001</v>
          </cell>
          <cell r="P614" t="str">
            <v>SWO001001</v>
          </cell>
          <cell r="Q614" t="str">
            <v>SWO001001</v>
          </cell>
          <cell r="R614" t="str">
            <v>SWO001001</v>
          </cell>
          <cell r="S614">
            <v>22663</v>
          </cell>
          <cell r="T614" t="str">
            <v>2210</v>
          </cell>
          <cell r="U614" t="str">
            <v>LUC</v>
          </cell>
          <cell r="W614" t="str">
            <v xml:space="preserve">LUC: UTILITIES G/W/E </v>
          </cell>
          <cell r="X614" t="str">
            <v>N</v>
          </cell>
          <cell r="Y614" t="str">
            <v>SEE #220</v>
          </cell>
        </row>
        <row r="615">
          <cell r="A615" t="str">
            <v>CTC: UTILITIES FY15 - GAS/WATER/ELECTRIC</v>
          </cell>
          <cell r="B615" t="str">
            <v>CTC</v>
          </cell>
          <cell r="C615" t="str">
            <v>CTC-EGW</v>
          </cell>
          <cell r="D615" t="str">
            <v>CTC-EGW-14</v>
          </cell>
          <cell r="E615" t="str">
            <v>CTC-EGW-13</v>
          </cell>
          <cell r="F615" t="str">
            <v>CTC-EGW-12</v>
          </cell>
          <cell r="G615" t="str">
            <v>CTC-EGW-11</v>
          </cell>
          <cell r="H615" t="str">
            <v>CTC-EGW-10</v>
          </cell>
          <cell r="I615" t="str">
            <v>CTC-EGW-09</v>
          </cell>
          <cell r="J615" t="str">
            <v>CTC-EGW-08</v>
          </cell>
          <cell r="K615" t="str">
            <v>CTC-EGW-07</v>
          </cell>
          <cell r="L615" t="str">
            <v>CTC-EGW-06</v>
          </cell>
          <cell r="M615" t="str">
            <v>CTC-EGW-05</v>
          </cell>
          <cell r="N615" t="str">
            <v>SWO003123</v>
          </cell>
          <cell r="O615" t="str">
            <v>SWO001002</v>
          </cell>
          <cell r="P615" t="str">
            <v>SWO001002</v>
          </cell>
          <cell r="Q615" t="str">
            <v>SWO001002</v>
          </cell>
          <cell r="R615" t="str">
            <v>SWO001002</v>
          </cell>
          <cell r="S615">
            <v>22664</v>
          </cell>
          <cell r="T615" t="str">
            <v>2211</v>
          </cell>
          <cell r="U615" t="str">
            <v>CTC</v>
          </cell>
          <cell r="W615" t="str">
            <v xml:space="preserve">CTC: UTILITIES G/W/E </v>
          </cell>
          <cell r="X615" t="str">
            <v>N</v>
          </cell>
        </row>
        <row r="616">
          <cell r="A616" t="str">
            <v>CTC: UTILITIES CHILLED WATER FY15</v>
          </cell>
          <cell r="B616" t="str">
            <v>CTC</v>
          </cell>
          <cell r="C616" t="str">
            <v>CTC-UCW</v>
          </cell>
          <cell r="D616" t="str">
            <v>CTC-UCW14</v>
          </cell>
          <cell r="E616" t="str">
            <v>CTC-UCW13</v>
          </cell>
          <cell r="F616" t="str">
            <v>CTC-UCW12</v>
          </cell>
          <cell r="G616" t="str">
            <v>CTC-UCW11</v>
          </cell>
          <cell r="H616" t="str">
            <v>CTC-UCW10</v>
          </cell>
          <cell r="I616" t="str">
            <v>CTC-UCW09</v>
          </cell>
          <cell r="J616" t="str">
            <v>CTC-UCW08</v>
          </cell>
          <cell r="K616" t="str">
            <v>CTC-UCW07</v>
          </cell>
          <cell r="L616" t="str">
            <v>CTC-UCW06</v>
          </cell>
          <cell r="M616" t="str">
            <v>CTC-UCW05</v>
          </cell>
          <cell r="W616" t="str">
            <v xml:space="preserve">CTC: UTILITIES CHILLED WATER </v>
          </cell>
        </row>
        <row r="617">
          <cell r="A617" t="str">
            <v>CTC: UTILITIES DEBT SERVICE FY15</v>
          </cell>
          <cell r="B617" t="str">
            <v>CTC</v>
          </cell>
          <cell r="C617" t="str">
            <v>CTC-UDS</v>
          </cell>
          <cell r="D617" t="str">
            <v>CTC-UDS14</v>
          </cell>
          <cell r="E617" t="str">
            <v>CTC-UDS13</v>
          </cell>
          <cell r="F617" t="str">
            <v>CTC-UDS12</v>
          </cell>
          <cell r="G617" t="str">
            <v>CTC-UDS11</v>
          </cell>
          <cell r="H617" t="str">
            <v>CTC-UDS10</v>
          </cell>
          <cell r="I617" t="str">
            <v>CTC-UDS09</v>
          </cell>
          <cell r="J617" t="str">
            <v>CTC-UDS08</v>
          </cell>
          <cell r="K617" t="str">
            <v>CTC-UDS07</v>
          </cell>
          <cell r="L617" t="str">
            <v>CTC-UDS06</v>
          </cell>
          <cell r="M617" t="str">
            <v>CTC-UDS05</v>
          </cell>
          <cell r="W617" t="str">
            <v xml:space="preserve">CTC: UTILITIES DEBT SERVICE </v>
          </cell>
        </row>
        <row r="618">
          <cell r="A618" t="str">
            <v>CTC: UTILITIES MAINT FY15</v>
          </cell>
          <cell r="B618">
            <v>0</v>
          </cell>
          <cell r="C618" t="str">
            <v>CTC-UMT</v>
          </cell>
          <cell r="D618" t="str">
            <v>CTC-UMT14</v>
          </cell>
          <cell r="E618" t="str">
            <v>CTC-UMT13</v>
          </cell>
          <cell r="F618" t="str">
            <v>CTC-UMT12</v>
          </cell>
          <cell r="G618" t="str">
            <v>CTC-UMT11</v>
          </cell>
          <cell r="H618" t="str">
            <v>CTC-UMT10</v>
          </cell>
          <cell r="I618" t="str">
            <v>CTC-UMT09</v>
          </cell>
          <cell r="J618" t="str">
            <v>CTC-UMT08</v>
          </cell>
          <cell r="K618" t="str">
            <v>CTC-UMT07</v>
          </cell>
          <cell r="L618" t="str">
            <v>CTC-UMT06</v>
          </cell>
          <cell r="M618" t="str">
            <v>CTC-UMT05</v>
          </cell>
          <cell r="W618" t="str">
            <v xml:space="preserve">CTC: UTILITIES MAINT </v>
          </cell>
        </row>
        <row r="619">
          <cell r="A619" t="str">
            <v>JWS: UTILITIES FY15 - GAS</v>
          </cell>
          <cell r="B619" t="str">
            <v>JWS</v>
          </cell>
          <cell r="C619" t="str">
            <v>JWS-GAS</v>
          </cell>
          <cell r="D619" t="str">
            <v>JWS-GAS-14</v>
          </cell>
          <cell r="E619" t="str">
            <v>JWS-GAS-13</v>
          </cell>
          <cell r="T619">
            <v>2220</v>
          </cell>
          <cell r="U619" t="str">
            <v>JWS</v>
          </cell>
          <cell r="W619" t="str">
            <v>JWS-GAS-13</v>
          </cell>
          <cell r="Y619" t="str">
            <v>NOTE: PER FAMIS BUILDING LIST #222 JOHN WILLIAMS SCORING STAGE NOT STEVEN SPIELBERG</v>
          </cell>
        </row>
        <row r="620">
          <cell r="A620" t="str">
            <v>JWS: UTILITIES  - ELECTRIC</v>
          </cell>
          <cell r="B620" t="str">
            <v>JWS</v>
          </cell>
          <cell r="W620" t="str">
            <v>JWS: UTILITIES  - ELECTRIC    (NEW BLDG)  FAMIS Xi</v>
          </cell>
        </row>
        <row r="621">
          <cell r="A621" t="str">
            <v>JWS: UTILITIES FY15 - GAS</v>
          </cell>
          <cell r="B621" t="str">
            <v>JWS</v>
          </cell>
          <cell r="C621" t="str">
            <v>JWS-GAS</v>
          </cell>
          <cell r="D621" t="str">
            <v>JWS-GAS-14</v>
          </cell>
          <cell r="W621" t="str">
            <v>JWS: UTILITIES  - GAS   (NEW BLDG)  FAMIS Xi</v>
          </cell>
        </row>
        <row r="622">
          <cell r="A622" t="str">
            <v>JWS: UTILITIES  - WATER</v>
          </cell>
          <cell r="B622" t="str">
            <v>JWS</v>
          </cell>
          <cell r="W622" t="str">
            <v>JWS: UTILITIES  - WATER    (NEW BLDG)  FAMIS Xi</v>
          </cell>
        </row>
        <row r="623">
          <cell r="A623" t="str">
            <v>JWS: UTILITIES DEBT SERVICE FY15</v>
          </cell>
          <cell r="B623" t="str">
            <v>JWS</v>
          </cell>
          <cell r="C623" t="str">
            <v>JWS-UDS14</v>
          </cell>
          <cell r="D623" t="str">
            <v>JWS-UDS14</v>
          </cell>
          <cell r="W623" t="str">
            <v xml:space="preserve">JWS: UTILITIES DEBT SERVICE </v>
          </cell>
        </row>
        <row r="624">
          <cell r="A624" t="str">
            <v>AES: UTILITIES FY15 - WATER/ELECTRIC</v>
          </cell>
          <cell r="B624" t="str">
            <v>AES</v>
          </cell>
          <cell r="C624" t="str">
            <v>CSS-EGW</v>
          </cell>
          <cell r="D624" t="str">
            <v>CSS-EGW-14</v>
          </cell>
          <cell r="T624">
            <v>2230</v>
          </cell>
          <cell r="U624" t="str">
            <v>AES</v>
          </cell>
          <cell r="W624" t="str">
            <v>AES: UTILITIES FY15 - WATER/ELECTRIC</v>
          </cell>
          <cell r="Y624" t="str">
            <v>10/28/12 DEDICATED ALICE AND ELEONORE SCHOENFELF SYMPHONIC HALL</v>
          </cell>
        </row>
        <row r="625">
          <cell r="A625" t="str">
            <v>AES: UTILITIES FY15 - GAS</v>
          </cell>
          <cell r="B625" t="str">
            <v>AES</v>
          </cell>
          <cell r="C625" t="str">
            <v>CSS-GAS</v>
          </cell>
          <cell r="D625" t="str">
            <v>CSS-GAS-14</v>
          </cell>
          <cell r="E625" t="str">
            <v>CSS-GAS-13</v>
          </cell>
          <cell r="W625" t="str">
            <v>AES: UTILITIES FY15 - GAS</v>
          </cell>
        </row>
        <row r="626">
          <cell r="A626" t="str">
            <v>AES: UTILITIES DEBT SERVICE FY15</v>
          </cell>
          <cell r="B626" t="str">
            <v>AES</v>
          </cell>
          <cell r="C626" t="str">
            <v>AES-UDS14</v>
          </cell>
          <cell r="D626" t="str">
            <v>AES-UDS14</v>
          </cell>
          <cell r="W626" t="str">
            <v xml:space="preserve">AES: UTILITIES FY15 - DEBT SERVICE </v>
          </cell>
        </row>
        <row r="627">
          <cell r="A627" t="str">
            <v>CTV: UTILITIES FY15 - WATER/ELECTRIC</v>
          </cell>
          <cell r="B627" t="str">
            <v>CTV</v>
          </cell>
          <cell r="C627" t="str">
            <v>CTV-EGW</v>
          </cell>
          <cell r="D627" t="str">
            <v>CTV-EGW-14</v>
          </cell>
          <cell r="E627" t="str">
            <v>CTV-EGW-13</v>
          </cell>
          <cell r="T627">
            <v>2240</v>
          </cell>
          <cell r="U627" t="str">
            <v>CTV</v>
          </cell>
          <cell r="W627" t="str">
            <v>CTV: UTILITIES FY15 - WATER/ELECTRIC</v>
          </cell>
        </row>
        <row r="628">
          <cell r="A628" t="str">
            <v>CTV: UTILITIES FY15 - GAS</v>
          </cell>
          <cell r="B628" t="str">
            <v>CTV</v>
          </cell>
          <cell r="C628" t="str">
            <v>CTV-GAS</v>
          </cell>
          <cell r="D628" t="str">
            <v>CTV-GAS-14</v>
          </cell>
          <cell r="E628" t="str">
            <v>CTV-GAS-13</v>
          </cell>
          <cell r="W628" t="str">
            <v>CTV: UTILITIES FY15 - GAS</v>
          </cell>
        </row>
        <row r="629">
          <cell r="A629" t="str">
            <v>CTV: UTILITIES DEBT SERVICE FY15</v>
          </cell>
          <cell r="B629" t="str">
            <v>CTV</v>
          </cell>
          <cell r="C629" t="str">
            <v>CTV-UDS14</v>
          </cell>
          <cell r="D629" t="str">
            <v>CTV-UDS14</v>
          </cell>
          <cell r="W629" t="str">
            <v xml:space="preserve">CTV: UTILITIES FY15 - DEBT SERVICE </v>
          </cell>
        </row>
        <row r="630">
          <cell r="A630" t="str">
            <v>CLN: UTILITIES FY15 - GAS/WATER/ELECTRIC</v>
          </cell>
          <cell r="B630" t="str">
            <v>CLN</v>
          </cell>
          <cell r="F630" t="str">
            <v>CLN-EGW-12</v>
          </cell>
          <cell r="G630" t="str">
            <v>CLN-EGW-11</v>
          </cell>
          <cell r="H630" t="str">
            <v>CLN-EGW-10</v>
          </cell>
          <cell r="I630" t="str">
            <v>CLN-EGW-09</v>
          </cell>
          <cell r="J630" t="str">
            <v>CLN-EGW-08</v>
          </cell>
          <cell r="K630" t="str">
            <v>CLN-EGW-07</v>
          </cell>
          <cell r="L630" t="str">
            <v>CLN-EGW-06</v>
          </cell>
          <cell r="M630" t="str">
            <v>CLN-EGW-05</v>
          </cell>
          <cell r="N630" t="str">
            <v>SWO003687</v>
          </cell>
          <cell r="T630">
            <v>2250</v>
          </cell>
          <cell r="U630" t="str">
            <v>CLN</v>
          </cell>
          <cell r="W630" t="str">
            <v xml:space="preserve">CLN: UTILITIES G/W/E </v>
          </cell>
          <cell r="X630" t="str">
            <v>N</v>
          </cell>
          <cell r="Y630" t="str">
            <v>TRANSFERRED TO REAL ESTATE - HOUSE MOVED ON PROPERTY</v>
          </cell>
        </row>
        <row r="631">
          <cell r="A631" t="str">
            <v>KOH: UTILITIES FY15 - ELECTRIC</v>
          </cell>
          <cell r="B631" t="str">
            <v>KOH1</v>
          </cell>
          <cell r="C631" t="str">
            <v>KOH-ELC</v>
          </cell>
          <cell r="D631" t="str">
            <v>KOH-ELC-14</v>
          </cell>
          <cell r="E631" t="str">
            <v>KOH-ELC-13</v>
          </cell>
          <cell r="F631" t="str">
            <v>KOH-ELC-12</v>
          </cell>
          <cell r="G631" t="str">
            <v>KOH-ELC-11</v>
          </cell>
          <cell r="H631" t="str">
            <v>KOH-ELC-10</v>
          </cell>
          <cell r="I631" t="str">
            <v>KOH-ELC-09</v>
          </cell>
          <cell r="J631" t="str">
            <v>KOH-ELC-08</v>
          </cell>
          <cell r="K631" t="str">
            <v>KOH-ELC-07</v>
          </cell>
          <cell r="L631" t="str">
            <v>SWO009023</v>
          </cell>
          <cell r="M631" t="str">
            <v>SWO006002</v>
          </cell>
          <cell r="N631" t="str">
            <v>SWO003421</v>
          </cell>
          <cell r="O631" t="str">
            <v>SWO002557</v>
          </cell>
          <cell r="P631" t="str">
            <v>SWO001823</v>
          </cell>
          <cell r="Q631" t="str">
            <v>SWO001335</v>
          </cell>
          <cell r="R631" t="str">
            <v>SWO001003</v>
          </cell>
          <cell r="S631">
            <v>22665</v>
          </cell>
          <cell r="T631" t="str">
            <v>2281</v>
          </cell>
          <cell r="U631" t="str">
            <v>KOH</v>
          </cell>
          <cell r="W631" t="str">
            <v>Cafe 84(King Hall) - Electric</v>
          </cell>
          <cell r="X631" t="str">
            <v>Y</v>
          </cell>
          <cell r="Y631" t="str">
            <v>17-8200-0250</v>
          </cell>
          <cell r="Z631">
            <v>20215</v>
          </cell>
        </row>
        <row r="632">
          <cell r="A632" t="str">
            <v>KOH: UTILITIES FY15 - GAS</v>
          </cell>
          <cell r="B632" t="str">
            <v>KOH1</v>
          </cell>
          <cell r="C632" t="str">
            <v>KOH-GAS</v>
          </cell>
          <cell r="D632" t="str">
            <v>KOH-GAS-14</v>
          </cell>
          <cell r="E632" t="str">
            <v>KOH-GAS-13</v>
          </cell>
          <cell r="F632" t="str">
            <v>KOH-GAS-12</v>
          </cell>
          <cell r="G632" t="str">
            <v>KOH-GAS-11</v>
          </cell>
          <cell r="H632" t="str">
            <v>KOH-GAS-10</v>
          </cell>
          <cell r="I632" t="str">
            <v>KOH-GAS-09</v>
          </cell>
          <cell r="J632" t="str">
            <v>KOH-GAS-08</v>
          </cell>
          <cell r="K632" t="str">
            <v>KOH-GAS-07</v>
          </cell>
          <cell r="L632" t="str">
            <v>SWO009039</v>
          </cell>
          <cell r="M632" t="str">
            <v>SWO006001</v>
          </cell>
          <cell r="N632" t="str">
            <v>SWO003422</v>
          </cell>
          <cell r="O632" t="str">
            <v>SWO002558</v>
          </cell>
          <cell r="P632" t="str">
            <v>SWO001824</v>
          </cell>
          <cell r="Q632" t="str">
            <v>SWO001336</v>
          </cell>
          <cell r="R632" t="str">
            <v>SWO001004</v>
          </cell>
          <cell r="S632">
            <v>22666</v>
          </cell>
          <cell r="W632" t="str">
            <v>Cafe 84(King Hall) - Gas</v>
          </cell>
          <cell r="X632" t="str">
            <v>Y</v>
          </cell>
          <cell r="Y632" t="str">
            <v>17-8200-0250</v>
          </cell>
          <cell r="Z632">
            <v>20211</v>
          </cell>
        </row>
        <row r="633">
          <cell r="A633" t="str">
            <v>KOH: UTILITIES FY15 - WATER</v>
          </cell>
          <cell r="B633" t="str">
            <v>KOH1</v>
          </cell>
          <cell r="C633" t="str">
            <v>KOH-WTR</v>
          </cell>
          <cell r="D633" t="str">
            <v>KOH-WTR-14</v>
          </cell>
          <cell r="E633" t="str">
            <v>KOH-WTR-13</v>
          </cell>
          <cell r="F633" t="str">
            <v>KOH-WTR-12</v>
          </cell>
          <cell r="G633" t="str">
            <v>KOH-WTR-11</v>
          </cell>
          <cell r="H633" t="str">
            <v>KOH-WTR-10</v>
          </cell>
          <cell r="I633" t="str">
            <v>KOH-WTR-09</v>
          </cell>
          <cell r="J633" t="str">
            <v>KOH-WTR-08</v>
          </cell>
          <cell r="K633" t="str">
            <v>KOH-WTR-07</v>
          </cell>
          <cell r="L633" t="str">
            <v>SWO009022</v>
          </cell>
          <cell r="M633" t="str">
            <v>SWO006000</v>
          </cell>
          <cell r="N633" t="str">
            <v>SWO003423</v>
          </cell>
          <cell r="O633" t="str">
            <v>SWO002559</v>
          </cell>
          <cell r="P633" t="str">
            <v>SWO001825</v>
          </cell>
          <cell r="Q633" t="str">
            <v>SWO001337</v>
          </cell>
          <cell r="R633" t="str">
            <v>SWO000908</v>
          </cell>
          <cell r="S633">
            <v>22667</v>
          </cell>
          <cell r="W633" t="str">
            <v>Cafe 84(King Hall) - Water</v>
          </cell>
          <cell r="X633" t="str">
            <v>Y</v>
          </cell>
          <cell r="Y633" t="str">
            <v>17-8200-0250</v>
          </cell>
          <cell r="Z633">
            <v>20212</v>
          </cell>
        </row>
        <row r="634">
          <cell r="A634" t="str">
            <v>KOH: UTILITIES FY15 - GAS/WATER/ELECTRIC</v>
          </cell>
          <cell r="B634" t="str">
            <v>KOH</v>
          </cell>
          <cell r="C634" t="str">
            <v>KOH-EGW</v>
          </cell>
          <cell r="D634" t="str">
            <v>KOH-EGW-14</v>
          </cell>
          <cell r="E634" t="str">
            <v>KOH-EGW-13</v>
          </cell>
          <cell r="F634" t="str">
            <v>KOH-EGW-12</v>
          </cell>
          <cell r="G634" t="str">
            <v>KOH-EGW-11</v>
          </cell>
          <cell r="H634" t="str">
            <v>KOH-EGW-10</v>
          </cell>
          <cell r="I634" t="str">
            <v>KOH-EGW-09</v>
          </cell>
          <cell r="J634" t="str">
            <v>KOH-EGW-08</v>
          </cell>
          <cell r="K634" t="str">
            <v>KOH-EGW-07</v>
          </cell>
          <cell r="L634" t="str">
            <v>KOH-EGW-06</v>
          </cell>
          <cell r="M634" t="str">
            <v>KOH-EGW-05</v>
          </cell>
          <cell r="N634" t="str">
            <v>SWO003183</v>
          </cell>
          <cell r="O634" t="str">
            <v>SWO001034</v>
          </cell>
          <cell r="P634" t="str">
            <v>SWO001034</v>
          </cell>
          <cell r="Q634" t="str">
            <v>SWO001034</v>
          </cell>
          <cell r="R634" t="str">
            <v>SWO001034</v>
          </cell>
          <cell r="S634">
            <v>27879</v>
          </cell>
          <cell r="T634" t="str">
            <v>2280</v>
          </cell>
          <cell r="U634" t="str">
            <v>KOH</v>
          </cell>
          <cell r="W634" t="str">
            <v xml:space="preserve">KOH: UTILITIES G/W/E </v>
          </cell>
          <cell r="X634" t="str">
            <v>N</v>
          </cell>
        </row>
        <row r="635">
          <cell r="A635" t="str">
            <v>KOH: UTILITIES CHILLED WATER FY15</v>
          </cell>
          <cell r="B635" t="str">
            <v>KOH</v>
          </cell>
          <cell r="C635" t="str">
            <v>KOH-UCW</v>
          </cell>
          <cell r="D635" t="str">
            <v>KOH-UCW14</v>
          </cell>
          <cell r="E635" t="str">
            <v>KOH-UCW13</v>
          </cell>
          <cell r="F635" t="str">
            <v>KOH-UCW12</v>
          </cell>
          <cell r="G635" t="str">
            <v>KOH-UCW11</v>
          </cell>
          <cell r="H635" t="str">
            <v>KOH-UCW10</v>
          </cell>
          <cell r="I635" t="str">
            <v>KOH-UCW09</v>
          </cell>
          <cell r="J635" t="str">
            <v>KOH-UCW08</v>
          </cell>
          <cell r="K635" t="str">
            <v>KOH-UCW07</v>
          </cell>
          <cell r="L635" t="str">
            <v>KOH-UCW06</v>
          </cell>
          <cell r="M635" t="str">
            <v>KOH-UCW05</v>
          </cell>
          <cell r="W635" t="str">
            <v xml:space="preserve">KOH: UTILITIES CHILLED WATER </v>
          </cell>
        </row>
        <row r="636">
          <cell r="A636" t="str">
            <v>KOH: UTILITIES DEBT SERVICE FY15</v>
          </cell>
          <cell r="B636" t="str">
            <v>KOH</v>
          </cell>
          <cell r="C636" t="str">
            <v>KOH-UDS</v>
          </cell>
          <cell r="D636" t="str">
            <v>KOH-UDS14</v>
          </cell>
          <cell r="E636" t="str">
            <v>KOH-UDS13</v>
          </cell>
          <cell r="F636" t="str">
            <v>KOH-UDS12</v>
          </cell>
          <cell r="G636" t="str">
            <v>KOH-UDS11</v>
          </cell>
          <cell r="H636" t="str">
            <v>KOH-UDS10</v>
          </cell>
          <cell r="I636" t="str">
            <v>KOH-UDS09</v>
          </cell>
          <cell r="J636" t="str">
            <v>KOH-UDS08</v>
          </cell>
          <cell r="K636" t="str">
            <v>KOH-UDS07</v>
          </cell>
          <cell r="L636" t="str">
            <v>KOH-UDS06</v>
          </cell>
          <cell r="M636" t="str">
            <v>KOH-UDS05</v>
          </cell>
          <cell r="W636" t="str">
            <v xml:space="preserve">KOH: UTILITIES DEBT SERVICE </v>
          </cell>
        </row>
        <row r="637">
          <cell r="A637" t="str">
            <v>KOH: UTILITIES MAINT FY15</v>
          </cell>
          <cell r="B637">
            <v>0</v>
          </cell>
          <cell r="C637" t="str">
            <v>KOH-UMT</v>
          </cell>
          <cell r="D637" t="str">
            <v>KOH-UMT14</v>
          </cell>
          <cell r="E637" t="str">
            <v>KOH-UMT13</v>
          </cell>
          <cell r="F637" t="str">
            <v>KOH-UMT12</v>
          </cell>
          <cell r="G637" t="str">
            <v>KOH-UMT11</v>
          </cell>
          <cell r="H637" t="str">
            <v>KOH-UMT10</v>
          </cell>
          <cell r="I637" t="str">
            <v>KOH-UMT09</v>
          </cell>
          <cell r="J637" t="str">
            <v>KOH-UMT08</v>
          </cell>
          <cell r="K637" t="str">
            <v>KOH-UMT07</v>
          </cell>
          <cell r="L637" t="str">
            <v>KOH-UMT06</v>
          </cell>
          <cell r="M637" t="str">
            <v>KOH-UMT05</v>
          </cell>
          <cell r="W637" t="str">
            <v xml:space="preserve">KOH: UTILITIES MAINT </v>
          </cell>
        </row>
        <row r="638">
          <cell r="A638" t="str">
            <v>CFH: UTILITIES FY15 - GAS/WATER/ELECTRIC</v>
          </cell>
          <cell r="B638" t="str">
            <v>CFH</v>
          </cell>
          <cell r="C638" t="str">
            <v>CFH-EGW</v>
          </cell>
          <cell r="D638" t="str">
            <v>CFH-EGW-14</v>
          </cell>
          <cell r="E638" t="str">
            <v>CFH-EGW-13</v>
          </cell>
          <cell r="F638" t="str">
            <v>CFH-EGW-12</v>
          </cell>
          <cell r="G638" t="str">
            <v>CFH-EGW-11</v>
          </cell>
          <cell r="H638" t="str">
            <v>CFH-EGW-10</v>
          </cell>
          <cell r="I638" t="str">
            <v>CFH-EGW-09</v>
          </cell>
          <cell r="J638" t="str">
            <v>CFH-EGW-08</v>
          </cell>
          <cell r="K638" t="str">
            <v>CFH-EGW-07</v>
          </cell>
          <cell r="L638" t="str">
            <v>CFH-EGW-06</v>
          </cell>
          <cell r="M638" t="str">
            <v>CFH-EGW-05</v>
          </cell>
          <cell r="N638" t="str">
            <v>SWO003112</v>
          </cell>
          <cell r="O638" t="str">
            <v>SWO001005</v>
          </cell>
          <cell r="P638" t="str">
            <v>SWO001005</v>
          </cell>
          <cell r="Q638" t="str">
            <v>SWO001005</v>
          </cell>
          <cell r="R638" t="str">
            <v>SWO001005</v>
          </cell>
          <cell r="S638">
            <v>22668</v>
          </cell>
          <cell r="T638" t="str">
            <v>2300</v>
          </cell>
          <cell r="U638" t="str">
            <v>CFH</v>
          </cell>
          <cell r="W638" t="str">
            <v xml:space="preserve">CFH: UTILITIES G/W/E </v>
          </cell>
          <cell r="X638" t="str">
            <v>N</v>
          </cell>
        </row>
        <row r="639">
          <cell r="B639">
            <v>0</v>
          </cell>
          <cell r="F639">
            <v>0</v>
          </cell>
          <cell r="G639" t="str">
            <v>CFH-UCW11</v>
          </cell>
          <cell r="H639" t="str">
            <v>CFH-UCW10</v>
          </cell>
          <cell r="I639" t="str">
            <v>CFH-UCW09</v>
          </cell>
          <cell r="J639" t="str">
            <v>CFH-UCW08</v>
          </cell>
          <cell r="K639" t="str">
            <v>CFH-UCW07</v>
          </cell>
          <cell r="L639" t="str">
            <v>CFH-UCW06</v>
          </cell>
          <cell r="M639" t="str">
            <v>CFH-UCW05</v>
          </cell>
          <cell r="W639" t="str">
            <v xml:space="preserve">CFH: UTILITIES CHILLED WATER </v>
          </cell>
        </row>
        <row r="640">
          <cell r="B640">
            <v>0</v>
          </cell>
          <cell r="F640">
            <v>0</v>
          </cell>
          <cell r="G640" t="str">
            <v>CFH-UDS11</v>
          </cell>
          <cell r="H640" t="str">
            <v>CFH-UDS10</v>
          </cell>
          <cell r="I640" t="str">
            <v>CFH-UDS09</v>
          </cell>
          <cell r="J640" t="str">
            <v>CFH-UDS08</v>
          </cell>
          <cell r="K640" t="str">
            <v>CFH-UDS07</v>
          </cell>
          <cell r="L640" t="str">
            <v>CFH-UDS06</v>
          </cell>
          <cell r="M640" t="str">
            <v>CFH-UDS05</v>
          </cell>
          <cell r="W640" t="str">
            <v xml:space="preserve">CFH: UTILITIES DEBT SERVICE </v>
          </cell>
        </row>
        <row r="641">
          <cell r="F641">
            <v>0</v>
          </cell>
          <cell r="G641">
            <v>0</v>
          </cell>
          <cell r="J641" t="str">
            <v>EPS-NELC08</v>
          </cell>
          <cell r="K641" t="str">
            <v>EPS-EGW-07</v>
          </cell>
          <cell r="T641" t="str">
            <v>2330</v>
          </cell>
          <cell r="U641" t="str">
            <v>EPS</v>
          </cell>
          <cell r="W641" t="str">
            <v xml:space="preserve">EPS: UTILITIES G/W/E </v>
          </cell>
        </row>
        <row r="642">
          <cell r="A642" t="str">
            <v>EPS: UTILITIES FY15 - ELECTRIC, NEW BUILDING</v>
          </cell>
          <cell r="B642" t="str">
            <v>EPS</v>
          </cell>
          <cell r="C642" t="str">
            <v>EPS-NELC</v>
          </cell>
          <cell r="D642" t="str">
            <v>EPS-NELC14</v>
          </cell>
          <cell r="E642" t="str">
            <v>EPS-NELC13</v>
          </cell>
          <cell r="F642" t="str">
            <v>EPS-NELC12</v>
          </cell>
          <cell r="G642" t="str">
            <v>EPS-NELC11</v>
          </cell>
          <cell r="H642" t="str">
            <v>EPS-NELC10</v>
          </cell>
          <cell r="I642" t="str">
            <v>EPS-NELC09</v>
          </cell>
          <cell r="J642" t="str">
            <v>EPS-NELC08</v>
          </cell>
          <cell r="K642" t="str">
            <v>EPS-NELC07</v>
          </cell>
          <cell r="L642" t="str">
            <v>NEW FEB 07</v>
          </cell>
          <cell r="T642" t="str">
            <v>2330</v>
          </cell>
          <cell r="U642" t="str">
            <v>EPS</v>
          </cell>
          <cell r="W642" t="str">
            <v>EXPOSITION PARKING STRUCTURE - ELECTRIC</v>
          </cell>
        </row>
        <row r="643">
          <cell r="A643" t="str">
            <v>EPS: UTILITIES FY15 - WATER, NEW BUILDING</v>
          </cell>
          <cell r="B643" t="str">
            <v>EPS</v>
          </cell>
          <cell r="C643" t="str">
            <v>EPS-NWTR</v>
          </cell>
          <cell r="D643" t="str">
            <v>EPS-NWTR14</v>
          </cell>
          <cell r="E643" t="str">
            <v>EPS-NWTR13</v>
          </cell>
          <cell r="F643" t="str">
            <v>EPS-NWTR12</v>
          </cell>
          <cell r="G643" t="str">
            <v>EPS-NWTR11</v>
          </cell>
          <cell r="H643" t="str">
            <v>EPS-NWTR10</v>
          </cell>
          <cell r="I643" t="str">
            <v>EPS-NWTR09</v>
          </cell>
          <cell r="J643" t="str">
            <v>EPS-NWTR08</v>
          </cell>
          <cell r="K643" t="str">
            <v>EPS-NWTR07</v>
          </cell>
          <cell r="L643" t="str">
            <v>NEW FEB 07</v>
          </cell>
          <cell r="T643" t="str">
            <v>2330</v>
          </cell>
          <cell r="U643" t="str">
            <v>EPS</v>
          </cell>
          <cell r="W643" t="str">
            <v>EXPOSITION PARKING STRUCTURE - WATER NBB</v>
          </cell>
        </row>
        <row r="644">
          <cell r="B644">
            <v>0</v>
          </cell>
          <cell r="F644">
            <v>0</v>
          </cell>
          <cell r="H644" t="str">
            <v>EPS-WTR-10</v>
          </cell>
          <cell r="I644" t="str">
            <v>EPS-WTR-09</v>
          </cell>
          <cell r="J644" t="str">
            <v>EPS-WTR-08</v>
          </cell>
          <cell r="K644" t="str">
            <v>EPS-WTR-07</v>
          </cell>
          <cell r="W644" t="str">
            <v>EXPOSITION PARKING STRUCTURE - WATER</v>
          </cell>
        </row>
        <row r="645">
          <cell r="A645" t="str">
            <v>SSH: UTILITIES FY15 - GAS/WATER/ELECTRIC</v>
          </cell>
          <cell r="B645" t="str">
            <v>SSH</v>
          </cell>
          <cell r="C645" t="str">
            <v>SSH-EGW</v>
          </cell>
          <cell r="D645" t="str">
            <v>SSH-EGW-14</v>
          </cell>
          <cell r="E645" t="str">
            <v>SSH-EGW-13</v>
          </cell>
          <cell r="F645" t="str">
            <v>SSH-EGW-12</v>
          </cell>
          <cell r="G645" t="str">
            <v>SSH-EGW-11</v>
          </cell>
          <cell r="H645" t="str">
            <v>SSH-EGW-10</v>
          </cell>
          <cell r="I645" t="str">
            <v>SSH-EGW-09</v>
          </cell>
          <cell r="J645" t="str">
            <v>SSH-EGW-08</v>
          </cell>
          <cell r="K645" t="str">
            <v>SSH-EGW-07</v>
          </cell>
          <cell r="L645" t="str">
            <v>SSH-EGW-06</v>
          </cell>
          <cell r="M645" t="str">
            <v>SSH-EGW-05</v>
          </cell>
          <cell r="N645" t="str">
            <v>SWO003255</v>
          </cell>
          <cell r="O645" t="str">
            <v>SWO001006</v>
          </cell>
          <cell r="P645" t="str">
            <v>SWO001006</v>
          </cell>
          <cell r="Q645" t="str">
            <v>SWO001006</v>
          </cell>
          <cell r="R645" t="str">
            <v>SWO001006</v>
          </cell>
          <cell r="S645">
            <v>22669</v>
          </cell>
          <cell r="T645" t="str">
            <v>2340</v>
          </cell>
          <cell r="U645" t="str">
            <v>SSH</v>
          </cell>
          <cell r="W645" t="str">
            <v xml:space="preserve">SSH: UTILITIES G/W/E </v>
          </cell>
          <cell r="X645" t="str">
            <v>N</v>
          </cell>
        </row>
        <row r="646">
          <cell r="A646" t="str">
            <v>SSH: UTILITIES CHILLED WATER FY15</v>
          </cell>
          <cell r="B646" t="str">
            <v>SSH</v>
          </cell>
          <cell r="C646" t="str">
            <v>SSH-UCW</v>
          </cell>
          <cell r="D646" t="str">
            <v>SSH-UCW14</v>
          </cell>
          <cell r="E646" t="str">
            <v>SSH-UCW13</v>
          </cell>
          <cell r="F646" t="str">
            <v>SSH-UCW12</v>
          </cell>
          <cell r="G646" t="str">
            <v>SSH-UCW11</v>
          </cell>
          <cell r="H646" t="str">
            <v>SSH-UCW10</v>
          </cell>
          <cell r="I646" t="str">
            <v>SSH-UCW09</v>
          </cell>
          <cell r="J646" t="str">
            <v>SSH-UCW08</v>
          </cell>
          <cell r="K646" t="str">
            <v>SSH-UCW07</v>
          </cell>
          <cell r="L646" t="str">
            <v>SSH-UCW06</v>
          </cell>
          <cell r="M646" t="str">
            <v>SSH-UCW05</v>
          </cell>
          <cell r="W646" t="str">
            <v xml:space="preserve">SSH: UTILITIES CHILLED WATER </v>
          </cell>
        </row>
        <row r="647">
          <cell r="A647" t="str">
            <v>SSH: UTILITIES DEBT SERVICE FY15</v>
          </cell>
          <cell r="B647" t="str">
            <v>SSH</v>
          </cell>
          <cell r="C647" t="str">
            <v>SSH-UDS</v>
          </cell>
          <cell r="D647" t="str">
            <v>SSH-UDS14</v>
          </cell>
          <cell r="E647" t="str">
            <v>SSH-UDS13</v>
          </cell>
          <cell r="F647" t="str">
            <v>SSH-UDS12</v>
          </cell>
          <cell r="G647" t="str">
            <v>SSH-UDS11</v>
          </cell>
          <cell r="H647" t="str">
            <v>SSH-UDS10</v>
          </cell>
          <cell r="I647" t="str">
            <v>SSH-UDS09</v>
          </cell>
          <cell r="J647" t="str">
            <v>SSH-UDS08</v>
          </cell>
          <cell r="K647" t="str">
            <v>SSH-UDS07</v>
          </cell>
          <cell r="L647" t="str">
            <v>SSH-UDS06</v>
          </cell>
          <cell r="M647" t="str">
            <v>SSH-UDS05</v>
          </cell>
          <cell r="W647" t="str">
            <v xml:space="preserve">SSH: UTILITIES DEBT SERVICE </v>
          </cell>
        </row>
        <row r="648">
          <cell r="A648" t="str">
            <v>SSH: UTILITIES MAINT FY15</v>
          </cell>
          <cell r="B648">
            <v>0</v>
          </cell>
          <cell r="C648" t="str">
            <v>SSH-UMT</v>
          </cell>
          <cell r="D648" t="str">
            <v>SSH-UMT14</v>
          </cell>
          <cell r="E648" t="str">
            <v>SSH-UMT13</v>
          </cell>
          <cell r="F648" t="str">
            <v>SSH-UMT12</v>
          </cell>
          <cell r="G648" t="str">
            <v>SSH-UMT11</v>
          </cell>
          <cell r="H648" t="str">
            <v>SSH-UMT10</v>
          </cell>
          <cell r="I648" t="str">
            <v>SSH-UMT09</v>
          </cell>
          <cell r="J648" t="str">
            <v>SSH-UMT08</v>
          </cell>
          <cell r="K648" t="str">
            <v>SSH-UMT07</v>
          </cell>
          <cell r="L648" t="str">
            <v>SSH-UMT06</v>
          </cell>
          <cell r="M648" t="str">
            <v>SSH-UMT05</v>
          </cell>
          <cell r="W648" t="str">
            <v xml:space="preserve">SSH: UTILITIES MAINT </v>
          </cell>
        </row>
        <row r="649">
          <cell r="A649" t="str">
            <v>SSB: UTILITIES FY15 - GAS/WATER/ELECTRIC</v>
          </cell>
          <cell r="B649" t="str">
            <v>SSB</v>
          </cell>
          <cell r="C649" t="str">
            <v>SSB-EGW</v>
          </cell>
          <cell r="D649" t="str">
            <v>SSB-EGW-14</v>
          </cell>
          <cell r="E649" t="str">
            <v>SSB-EGW-13</v>
          </cell>
          <cell r="F649" t="str">
            <v>SSB-EGW-12</v>
          </cell>
          <cell r="G649" t="str">
            <v>SSB-EGW-11</v>
          </cell>
          <cell r="H649" t="str">
            <v>SSB-EGW-10</v>
          </cell>
          <cell r="I649" t="str">
            <v>SSB-EGW-09</v>
          </cell>
          <cell r="J649" t="str">
            <v>SSB-EGW-08</v>
          </cell>
          <cell r="K649" t="str">
            <v>SSB-EGW-07</v>
          </cell>
          <cell r="L649" t="str">
            <v>NEW FY07</v>
          </cell>
          <cell r="T649">
            <v>2350</v>
          </cell>
          <cell r="W649" t="str">
            <v xml:space="preserve">SSB: UTILITIES G/W/E </v>
          </cell>
        </row>
        <row r="650">
          <cell r="A650" t="str">
            <v>SSB: UTILITIES CHILLED WATER FY15</v>
          </cell>
          <cell r="B650" t="str">
            <v>SSB</v>
          </cell>
          <cell r="C650" t="str">
            <v>SSB-UCW</v>
          </cell>
          <cell r="D650" t="str">
            <v>SSB-UCW-14</v>
          </cell>
          <cell r="E650" t="str">
            <v>SSB-UCW-13</v>
          </cell>
          <cell r="F650" t="str">
            <v>SSB-UCW-12</v>
          </cell>
          <cell r="G650" t="str">
            <v>SSB-UCW-11</v>
          </cell>
          <cell r="H650" t="str">
            <v>SSB-UCW-10</v>
          </cell>
          <cell r="I650" t="str">
            <v>SSB-UCW-09</v>
          </cell>
          <cell r="J650" t="str">
            <v>SSB-UCW-08</v>
          </cell>
          <cell r="W650" t="str">
            <v>SSB: UTILITIES CHILLED WATER FY08</v>
          </cell>
        </row>
        <row r="651">
          <cell r="A651" t="str">
            <v>SSB: UTILITIES DEBT SERVICE FY15</v>
          </cell>
          <cell r="B651" t="str">
            <v>SSB</v>
          </cell>
          <cell r="C651" t="str">
            <v>SSB-UDS</v>
          </cell>
          <cell r="D651" t="str">
            <v>SSB-UDS-14</v>
          </cell>
          <cell r="E651" t="str">
            <v>SSB-UDS-13</v>
          </cell>
          <cell r="F651" t="str">
            <v>SSB-UDS-12</v>
          </cell>
          <cell r="G651" t="str">
            <v>SSB-UDS-11</v>
          </cell>
          <cell r="H651" t="str">
            <v>SSB-UDS-10</v>
          </cell>
          <cell r="I651" t="str">
            <v>SSB-UDS-09</v>
          </cell>
          <cell r="J651" t="str">
            <v>SSB-UDS-08</v>
          </cell>
          <cell r="W651" t="str">
            <v>SSB: UTILITIES DEBT SERVICE FY08</v>
          </cell>
        </row>
        <row r="652">
          <cell r="A652" t="str">
            <v>SSB: UTILITIES MAINT FY15</v>
          </cell>
          <cell r="B652">
            <v>0</v>
          </cell>
          <cell r="C652" t="str">
            <v>SSB-UMT</v>
          </cell>
          <cell r="D652" t="str">
            <v>SSB-UMT-14</v>
          </cell>
          <cell r="E652" t="str">
            <v>SSB-UMT-13</v>
          </cell>
          <cell r="F652" t="str">
            <v>SSB-UMT-12</v>
          </cell>
          <cell r="G652" t="str">
            <v>SSB-UMT-11</v>
          </cell>
          <cell r="H652" t="str">
            <v>SSB-UMT-10</v>
          </cell>
          <cell r="I652" t="str">
            <v>SSB-UMT-09</v>
          </cell>
          <cell r="J652" t="str">
            <v>SSB-UMT-08</v>
          </cell>
          <cell r="W652" t="str">
            <v>SSB: UTILITIES MAINT FY08</v>
          </cell>
        </row>
        <row r="653">
          <cell r="A653" t="str">
            <v>GAP: UTILITIES FY15 - ELECTRIC</v>
          </cell>
          <cell r="B653" t="str">
            <v>GAP</v>
          </cell>
          <cell r="C653" t="str">
            <v>GAP-NELC</v>
          </cell>
          <cell r="D653" t="str">
            <v>GAP-NELC14</v>
          </cell>
          <cell r="E653" t="str">
            <v>GAP-NELC13</v>
          </cell>
          <cell r="F653" t="str">
            <v>GAP-NELC12</v>
          </cell>
          <cell r="G653" t="str">
            <v>GAP-NELC11</v>
          </cell>
          <cell r="H653" t="str">
            <v>GAP-NELC10</v>
          </cell>
          <cell r="I653" t="str">
            <v>GAP-NELC09</v>
          </cell>
          <cell r="J653" t="str">
            <v>GAP-NELC08</v>
          </cell>
          <cell r="K653" t="str">
            <v>GAP-NELC07</v>
          </cell>
          <cell r="L653" t="str">
            <v>NEW FEB 07</v>
          </cell>
          <cell r="M653" t="str">
            <v>UGB1-EL-05</v>
          </cell>
          <cell r="T653">
            <v>2360</v>
          </cell>
          <cell r="U653" t="str">
            <v>GAP</v>
          </cell>
          <cell r="W653" t="str">
            <v>GAP Galen Athletic Pavilion  - Electric</v>
          </cell>
          <cell r="X653" t="str">
            <v>N</v>
          </cell>
        </row>
        <row r="654">
          <cell r="A654" t="str">
            <v>GAP: UTILITIES FY15 - GAS, NEW BUILDING</v>
          </cell>
          <cell r="B654" t="str">
            <v>GAP</v>
          </cell>
          <cell r="C654" t="str">
            <v>GAP-NGAS</v>
          </cell>
          <cell r="D654" t="str">
            <v>GAP-NGAS14</v>
          </cell>
          <cell r="E654" t="str">
            <v>GAP-NGAS13</v>
          </cell>
          <cell r="F654" t="str">
            <v>GAP-NGAS12</v>
          </cell>
          <cell r="G654" t="str">
            <v>GAP-NGAS11</v>
          </cell>
          <cell r="H654" t="str">
            <v>GAP-NGAS10</v>
          </cell>
          <cell r="I654" t="str">
            <v>GAP-NGAS09</v>
          </cell>
          <cell r="J654" t="str">
            <v>GAP-NGAS08</v>
          </cell>
          <cell r="K654" t="str">
            <v>GAP-NGAS07</v>
          </cell>
          <cell r="L654" t="str">
            <v>NEW FEB 07</v>
          </cell>
          <cell r="W654" t="str">
            <v>GAP Galen Athletic Pavilion  - Gas</v>
          </cell>
        </row>
        <row r="655">
          <cell r="A655" t="str">
            <v>GAP: UTILITIES FY15 - WATER, NEW BUILDING</v>
          </cell>
          <cell r="B655" t="str">
            <v>GAP</v>
          </cell>
          <cell r="C655" t="str">
            <v>GAP-NWTR</v>
          </cell>
          <cell r="D655" t="str">
            <v>GAP-NWTR14</v>
          </cell>
          <cell r="E655" t="str">
            <v>GAP-NWTR13</v>
          </cell>
          <cell r="F655" t="str">
            <v>GAP-NWTR12</v>
          </cell>
          <cell r="G655" t="str">
            <v>GAP-NWTR11</v>
          </cell>
          <cell r="H655" t="str">
            <v>GAP-NWTR10</v>
          </cell>
          <cell r="I655" t="str">
            <v>GAP-NWTR09</v>
          </cell>
          <cell r="J655" t="str">
            <v>GAP-NWTR08</v>
          </cell>
          <cell r="K655" t="str">
            <v>GAP-NWTR07</v>
          </cell>
          <cell r="L655" t="str">
            <v>NEW FEB 07</v>
          </cell>
          <cell r="W655" t="str">
            <v>GAP Galen Athletic Pavilion  - Water</v>
          </cell>
        </row>
        <row r="656">
          <cell r="A656" t="str">
            <v>ROY: UTILITIES FY15 - GAS/WATER/ELECTRIC</v>
          </cell>
          <cell r="B656" t="str">
            <v>ROY</v>
          </cell>
          <cell r="C656" t="str">
            <v>ROY-EGW</v>
          </cell>
          <cell r="D656" t="str">
            <v>ROY-EGW-14</v>
          </cell>
          <cell r="E656" t="str">
            <v>ROY-EGW-13</v>
          </cell>
          <cell r="F656" t="str">
            <v>ROY-EGW-12</v>
          </cell>
          <cell r="G656" t="str">
            <v>ROY-EGW-11</v>
          </cell>
          <cell r="H656" t="str">
            <v>ROY-EGW-10</v>
          </cell>
          <cell r="I656" t="str">
            <v>ROY-EGW-09</v>
          </cell>
          <cell r="J656" t="str">
            <v>ROY-EGW-08</v>
          </cell>
          <cell r="K656" t="str">
            <v>ROY-EGW-07</v>
          </cell>
          <cell r="L656" t="str">
            <v>ROY-EGW-06</v>
          </cell>
          <cell r="M656" t="str">
            <v>ROY-EGW-05</v>
          </cell>
          <cell r="N656" t="str">
            <v>SWO003238</v>
          </cell>
          <cell r="O656" t="str">
            <v>SWO000917</v>
          </cell>
          <cell r="P656" t="str">
            <v>SWO000917</v>
          </cell>
          <cell r="Q656" t="str">
            <v>SWO000917</v>
          </cell>
          <cell r="R656" t="str">
            <v>SWO000917</v>
          </cell>
          <cell r="S656">
            <v>27880</v>
          </cell>
          <cell r="T656" t="str">
            <v>2390</v>
          </cell>
          <cell r="U656" t="str">
            <v>ROY</v>
          </cell>
          <cell r="W656" t="str">
            <v xml:space="preserve">ROY: UTILITIES G/W/E </v>
          </cell>
          <cell r="X656" t="str">
            <v>N</v>
          </cell>
        </row>
        <row r="657">
          <cell r="A657" t="str">
            <v>ROY: UTILITIES CHILLED WATER FY15</v>
          </cell>
          <cell r="B657" t="str">
            <v>ROY</v>
          </cell>
          <cell r="C657" t="str">
            <v>ROY-UCW</v>
          </cell>
          <cell r="D657" t="str">
            <v>ROY-UCW14</v>
          </cell>
          <cell r="E657" t="str">
            <v>ROY-UCW13</v>
          </cell>
          <cell r="F657" t="str">
            <v>ROY-UCW12</v>
          </cell>
          <cell r="G657" t="str">
            <v>ROY-UCW11</v>
          </cell>
          <cell r="H657" t="str">
            <v>ROY-UCW10</v>
          </cell>
          <cell r="I657" t="str">
            <v>ROY-UCW09</v>
          </cell>
          <cell r="J657" t="str">
            <v>ROY-UCW08</v>
          </cell>
          <cell r="K657" t="str">
            <v>ROY-UCW07</v>
          </cell>
          <cell r="L657" t="str">
            <v>ROY-UCW06</v>
          </cell>
          <cell r="M657" t="str">
            <v>ROY-UCW05</v>
          </cell>
          <cell r="W657" t="str">
            <v xml:space="preserve">ROY: UTILITIES CHILLED WATER </v>
          </cell>
        </row>
        <row r="658">
          <cell r="A658" t="str">
            <v>ROY: UTILITIES DEBT SERVICE FY15</v>
          </cell>
          <cell r="B658" t="str">
            <v>ROY</v>
          </cell>
          <cell r="C658" t="str">
            <v>ROY-UDS</v>
          </cell>
          <cell r="D658" t="str">
            <v>ROY-UDS14</v>
          </cell>
          <cell r="E658" t="str">
            <v>ROY-UDS13</v>
          </cell>
          <cell r="F658" t="str">
            <v>ROY-UDS12</v>
          </cell>
          <cell r="G658" t="str">
            <v>ROY-UDS11</v>
          </cell>
          <cell r="H658" t="str">
            <v>ROY-UDS10</v>
          </cell>
          <cell r="I658" t="str">
            <v>ROY-UDS09</v>
          </cell>
          <cell r="J658" t="str">
            <v>ROY-UDS08</v>
          </cell>
          <cell r="K658" t="str">
            <v>ROY-UDS07</v>
          </cell>
          <cell r="L658" t="str">
            <v>ROY-UDS06</v>
          </cell>
          <cell r="M658" t="str">
            <v>ROY-UDS05</v>
          </cell>
          <cell r="W658" t="str">
            <v xml:space="preserve">ROY: UTILITIES DEBT SERVICE </v>
          </cell>
        </row>
        <row r="659">
          <cell r="A659" t="str">
            <v>ROY: UTILITIES MAINT FY15</v>
          </cell>
          <cell r="B659">
            <v>0</v>
          </cell>
          <cell r="C659" t="str">
            <v>ROY-UMT</v>
          </cell>
          <cell r="D659" t="str">
            <v>ROY-UMT14</v>
          </cell>
          <cell r="E659" t="str">
            <v>ROY-UMT13</v>
          </cell>
          <cell r="F659" t="str">
            <v>ROY-UMT12</v>
          </cell>
          <cell r="G659" t="str">
            <v>ROY-UMT11</v>
          </cell>
          <cell r="H659" t="str">
            <v>ROY-UMT10</v>
          </cell>
          <cell r="I659" t="str">
            <v>ROY-UMT09</v>
          </cell>
          <cell r="J659" t="str">
            <v>ROY-UMT08</v>
          </cell>
          <cell r="K659" t="str">
            <v>ROY-UMT07</v>
          </cell>
          <cell r="L659" t="str">
            <v>ROY-UMT06</v>
          </cell>
          <cell r="M659" t="str">
            <v>ROY-UMT05</v>
          </cell>
          <cell r="W659" t="str">
            <v xml:space="preserve">ROY: UTILITIES MAINT </v>
          </cell>
        </row>
        <row r="660">
          <cell r="A660" t="str">
            <v>CSC: UTILITIES FY15 - ELECTRIC ONLY</v>
          </cell>
          <cell r="B660" t="str">
            <v>CSC</v>
          </cell>
          <cell r="C660" t="str">
            <v>CSC-ELC</v>
          </cell>
          <cell r="D660" t="str">
            <v>CSC-ELC-14</v>
          </cell>
          <cell r="E660" t="str">
            <v>CSC-ELC-13</v>
          </cell>
          <cell r="F660" t="str">
            <v>CSC-ELC-12</v>
          </cell>
          <cell r="G660" t="str">
            <v>CSC-ELC-11</v>
          </cell>
          <cell r="H660" t="str">
            <v>CSC-ELC-10</v>
          </cell>
          <cell r="I660" t="str">
            <v>CSC-ELC-09</v>
          </cell>
          <cell r="J660" t="str">
            <v>CSC-ELC-08</v>
          </cell>
          <cell r="K660" t="str">
            <v>CSC-ELC-07</v>
          </cell>
          <cell r="L660" t="str">
            <v>CSC-ELC-06</v>
          </cell>
          <cell r="M660" t="str">
            <v>CSC-ELC-05</v>
          </cell>
          <cell r="N660" t="str">
            <v>SWO003120</v>
          </cell>
          <cell r="O660" t="str">
            <v>SWO001007</v>
          </cell>
          <cell r="P660" t="str">
            <v>SWO001007</v>
          </cell>
          <cell r="Q660" t="str">
            <v>SWO001007</v>
          </cell>
          <cell r="R660" t="str">
            <v>SWO001007</v>
          </cell>
          <cell r="S660">
            <v>22670</v>
          </cell>
          <cell r="T660" t="str">
            <v>2470</v>
          </cell>
          <cell r="U660" t="str">
            <v>CSC</v>
          </cell>
          <cell r="V660" t="str">
            <v>HSC</v>
          </cell>
          <cell r="W660" t="str">
            <v>CSC: UTILITIES G/W/E  - ELECTRIC ONLY</v>
          </cell>
          <cell r="X660" t="str">
            <v>N</v>
          </cell>
        </row>
        <row r="661">
          <cell r="A661" t="str">
            <v>CSC: UTILITIES FY15 - GAS ONLY</v>
          </cell>
          <cell r="B661" t="str">
            <v>CSC</v>
          </cell>
          <cell r="C661" t="str">
            <v>CSC-GAS</v>
          </cell>
          <cell r="D661" t="str">
            <v>CSC-GAS-14</v>
          </cell>
          <cell r="E661" t="str">
            <v>CSC-GAS-13</v>
          </cell>
          <cell r="F661" t="str">
            <v>CSC-GAS-12</v>
          </cell>
          <cell r="G661" t="str">
            <v>CSC-GAS-11</v>
          </cell>
          <cell r="H661" t="str">
            <v>CSC-GAS-10</v>
          </cell>
          <cell r="I661" t="str">
            <v>CSC-GAS-09</v>
          </cell>
          <cell r="J661" t="str">
            <v>CSC-GAS-08</v>
          </cell>
          <cell r="K661" t="str">
            <v>CSC-GAS-07</v>
          </cell>
          <cell r="L661" t="str">
            <v>CSC-GAS-06</v>
          </cell>
          <cell r="M661" t="str">
            <v>CSC-GAS-05</v>
          </cell>
          <cell r="N661" t="str">
            <v>SWO003121</v>
          </cell>
          <cell r="O661" t="str">
            <v>SWO000909</v>
          </cell>
          <cell r="P661" t="str">
            <v>SWO000909</v>
          </cell>
          <cell r="Q661" t="str">
            <v>SWO000909</v>
          </cell>
          <cell r="R661" t="str">
            <v>SWO000909</v>
          </cell>
          <cell r="S661">
            <v>22671</v>
          </cell>
          <cell r="W661" t="str">
            <v>CSC: UTILITIES G/W/E  - GAS ONLY</v>
          </cell>
          <cell r="X661" t="str">
            <v>N</v>
          </cell>
        </row>
        <row r="662">
          <cell r="A662" t="str">
            <v>CSC: UTILITIES FY15 - WATER ONLY</v>
          </cell>
          <cell r="B662" t="str">
            <v>CSC</v>
          </cell>
          <cell r="C662" t="str">
            <v>CSC-WTR</v>
          </cell>
          <cell r="D662" t="str">
            <v>CSC-WTR-14</v>
          </cell>
          <cell r="E662" t="str">
            <v>CSC-WTR-13</v>
          </cell>
          <cell r="F662" t="str">
            <v>CSC-WTR-12</v>
          </cell>
          <cell r="G662" t="str">
            <v>CSC-WTR-11</v>
          </cell>
          <cell r="H662" t="str">
            <v>CSC-WTR-10</v>
          </cell>
          <cell r="I662" t="str">
            <v>CSC-WTR-09</v>
          </cell>
          <cell r="J662" t="str">
            <v>CSC-WTR-08</v>
          </cell>
          <cell r="K662" t="str">
            <v>CSC-WTR-07</v>
          </cell>
          <cell r="L662" t="str">
            <v>CSC-WTR-06</v>
          </cell>
          <cell r="M662" t="str">
            <v>CSC-WTR-05</v>
          </cell>
          <cell r="N662" t="str">
            <v>SWO003122</v>
          </cell>
          <cell r="O662" t="str">
            <v>SWO001008</v>
          </cell>
          <cell r="P662" t="str">
            <v>SWO001008</v>
          </cell>
          <cell r="Q662" t="str">
            <v>SWO001008</v>
          </cell>
          <cell r="R662" t="str">
            <v>SWO001008</v>
          </cell>
          <cell r="S662">
            <v>22672</v>
          </cell>
          <cell r="W662" t="str">
            <v>CSC: UTILITIES G/W/E  - WATER ONLY</v>
          </cell>
          <cell r="X662" t="str">
            <v>N</v>
          </cell>
        </row>
        <row r="663">
          <cell r="A663" t="str">
            <v>CSC: UTILITIES CHILLED WATER FY15</v>
          </cell>
          <cell r="B663" t="str">
            <v>CSC</v>
          </cell>
          <cell r="C663" t="str">
            <v>CSC-UCW</v>
          </cell>
          <cell r="D663" t="str">
            <v>CSC-UCW14</v>
          </cell>
          <cell r="E663" t="str">
            <v>CSC-UCW13</v>
          </cell>
          <cell r="F663" t="str">
            <v>CSC-UCW12</v>
          </cell>
          <cell r="G663" t="str">
            <v>CSC-UCW11</v>
          </cell>
          <cell r="H663" t="str">
            <v>CSC-UCW10</v>
          </cell>
          <cell r="I663" t="str">
            <v>CSC-UCW09</v>
          </cell>
          <cell r="J663" t="str">
            <v>CSC-UCW08</v>
          </cell>
          <cell r="K663" t="str">
            <v>CSC-UCW07</v>
          </cell>
          <cell r="L663" t="str">
            <v>CSC-UCW06</v>
          </cell>
          <cell r="M663" t="str">
            <v>CSC-UCW05</v>
          </cell>
          <cell r="W663" t="str">
            <v xml:space="preserve">CSC: UTILITIES CHILLED WATER </v>
          </cell>
        </row>
        <row r="664">
          <cell r="A664" t="str">
            <v>CSC: UTILITIES DEBT SERVICE FY15</v>
          </cell>
          <cell r="B664" t="str">
            <v>CSC</v>
          </cell>
          <cell r="C664" t="str">
            <v>CSC-UDS</v>
          </cell>
          <cell r="D664" t="str">
            <v>CSC-UDS14</v>
          </cell>
          <cell r="E664" t="str">
            <v>CSC-UDS13</v>
          </cell>
          <cell r="F664" t="str">
            <v>CSC-UDS12</v>
          </cell>
          <cell r="G664" t="str">
            <v>CSC-UDS11</v>
          </cell>
          <cell r="H664" t="str">
            <v>CSC-UDS10</v>
          </cell>
          <cell r="I664" t="str">
            <v>CSC-UDS09</v>
          </cell>
          <cell r="J664" t="str">
            <v>CSC-UDS08</v>
          </cell>
          <cell r="K664" t="str">
            <v>CSC-UDS07</v>
          </cell>
          <cell r="L664" t="str">
            <v>CSC-UDS06</v>
          </cell>
          <cell r="M664" t="str">
            <v>CSC-UDS05</v>
          </cell>
          <cell r="W664" t="str">
            <v xml:space="preserve">CSC: UTILITIES DEBT SERVICE </v>
          </cell>
        </row>
        <row r="665">
          <cell r="A665" t="str">
            <v>CSC: CHILLER/CONTRACT PM FY15 - EQUIPMENT, D3030</v>
          </cell>
          <cell r="B665">
            <v>0</v>
          </cell>
          <cell r="C665" t="e">
            <v>#N/A</v>
          </cell>
          <cell r="D665" t="str">
            <v>CSC-CMC-14</v>
          </cell>
          <cell r="E665" t="str">
            <v>CSC-CMC-13</v>
          </cell>
          <cell r="W665" t="str">
            <v>CSC: CHILLER/CONTRACT PM FY13 - EQUIPMENT, D3030</v>
          </cell>
        </row>
        <row r="666">
          <cell r="A666" t="str">
            <v>CSC1: UTILITIES FY15 - GAS/WATER/ELECTRIC</v>
          </cell>
          <cell r="B666" t="str">
            <v>CSC1</v>
          </cell>
          <cell r="C666" t="str">
            <v>CSC1-EG</v>
          </cell>
          <cell r="D666" t="str">
            <v>CSC1-EG-14</v>
          </cell>
          <cell r="E666" t="str">
            <v>CSC1-EG-13</v>
          </cell>
          <cell r="F666" t="str">
            <v>CSC1-EG-12</v>
          </cell>
          <cell r="G666" t="str">
            <v>CSC1-EG-11</v>
          </cell>
          <cell r="H666" t="str">
            <v>CSC1-EG-10</v>
          </cell>
          <cell r="I666" t="str">
            <v>CSC1-EG-09</v>
          </cell>
          <cell r="J666" t="str">
            <v>CSC1-EG-08</v>
          </cell>
          <cell r="K666" t="str">
            <v>CSC1-EG-07</v>
          </cell>
          <cell r="L666" t="str">
            <v>CSC1-EG-06</v>
          </cell>
          <cell r="M666" t="str">
            <v>CSC1-EG-05</v>
          </cell>
          <cell r="N666" t="str">
            <v>SWO003388</v>
          </cell>
          <cell r="T666" t="str">
            <v>2471</v>
          </cell>
          <cell r="U666" t="str">
            <v>CSC1</v>
          </cell>
          <cell r="W666" t="str">
            <v xml:space="preserve">CSC1: UTILITIES G/W/E </v>
          </cell>
          <cell r="X666" t="str">
            <v>N</v>
          </cell>
        </row>
        <row r="667">
          <cell r="A667" t="str">
            <v>CSA: UTILITIES FY15 - GAS/WATER/ELECTRIC</v>
          </cell>
          <cell r="B667" t="str">
            <v>CSA</v>
          </cell>
          <cell r="C667" t="str">
            <v>CSA-EGW</v>
          </cell>
          <cell r="D667" t="str">
            <v>CSA-EGW-14</v>
          </cell>
          <cell r="E667" t="str">
            <v>CSA-EGW-13</v>
          </cell>
          <cell r="F667" t="str">
            <v>CSA-EGW-12</v>
          </cell>
          <cell r="G667" t="str">
            <v>CSA-EGW-11</v>
          </cell>
          <cell r="H667" t="str">
            <v>CSA-EGW-10</v>
          </cell>
          <cell r="I667" t="str">
            <v>CSA-EGW-09</v>
          </cell>
          <cell r="J667" t="str">
            <v>CSA-EGW-08</v>
          </cell>
          <cell r="K667" t="str">
            <v>CSA-EGW-07</v>
          </cell>
          <cell r="L667" t="str">
            <v>CSA-EGW-06</v>
          </cell>
          <cell r="M667" t="str">
            <v>CSA-EGW-05</v>
          </cell>
          <cell r="N667" t="str">
            <v>SWO003118</v>
          </cell>
          <cell r="O667" t="str">
            <v>SWO001009</v>
          </cell>
          <cell r="P667" t="str">
            <v>SWO001009</v>
          </cell>
          <cell r="Q667" t="str">
            <v>SWO001009</v>
          </cell>
          <cell r="R667" t="str">
            <v>SWO001009</v>
          </cell>
          <cell r="S667">
            <v>22673</v>
          </cell>
          <cell r="T667" t="str">
            <v>2490</v>
          </cell>
          <cell r="U667" t="str">
            <v>CSA</v>
          </cell>
          <cell r="V667" t="str">
            <v>HSC</v>
          </cell>
          <cell r="W667" t="str">
            <v xml:space="preserve">CSA: UTILITIES G/W/E </v>
          </cell>
          <cell r="X667" t="str">
            <v>N</v>
          </cell>
        </row>
        <row r="668">
          <cell r="A668" t="str">
            <v>CSA: UTILITIES CHILLED WATER FY15</v>
          </cell>
          <cell r="B668" t="str">
            <v>CSA</v>
          </cell>
          <cell r="C668" t="str">
            <v>CSA-UCW</v>
          </cell>
          <cell r="D668" t="str">
            <v>CSA-UCW14</v>
          </cell>
          <cell r="E668" t="str">
            <v>CSA-UCW13</v>
          </cell>
          <cell r="F668" t="str">
            <v>CSA-UCW12</v>
          </cell>
          <cell r="G668" t="str">
            <v>CSA-UCW11</v>
          </cell>
          <cell r="H668" t="str">
            <v>CSA-UCW10</v>
          </cell>
          <cell r="I668" t="str">
            <v>CSA-UCW09</v>
          </cell>
          <cell r="J668" t="str">
            <v>CSA-UCW08</v>
          </cell>
          <cell r="K668" t="str">
            <v>CSA-UCW07</v>
          </cell>
          <cell r="L668" t="str">
            <v>CSA-UCW06</v>
          </cell>
          <cell r="M668" t="str">
            <v>CSA-UCW05</v>
          </cell>
          <cell r="W668" t="str">
            <v xml:space="preserve">CSA: UTILITIES CHILLED WATER </v>
          </cell>
        </row>
        <row r="669">
          <cell r="A669" t="str">
            <v>CSA: UTILITIES DEBT SERVICE FY15</v>
          </cell>
          <cell r="B669" t="str">
            <v>CSA</v>
          </cell>
          <cell r="C669" t="str">
            <v>CSA-UDS</v>
          </cell>
          <cell r="D669" t="str">
            <v>CSA-UDS14</v>
          </cell>
          <cell r="E669" t="str">
            <v>CSA-UDS13</v>
          </cell>
          <cell r="F669" t="str">
            <v>CSA-UDS12</v>
          </cell>
          <cell r="G669" t="str">
            <v>CSA-UDS11</v>
          </cell>
          <cell r="H669" t="str">
            <v>CSA-UDS10</v>
          </cell>
          <cell r="I669" t="str">
            <v>CSA-UDS09</v>
          </cell>
          <cell r="J669" t="str">
            <v>CSA-UDS08</v>
          </cell>
          <cell r="K669" t="str">
            <v>CSA-UDS07</v>
          </cell>
          <cell r="L669" t="str">
            <v>CSA-UDS06</v>
          </cell>
          <cell r="M669" t="str">
            <v>CSA-UDS05</v>
          </cell>
          <cell r="W669" t="str">
            <v xml:space="preserve">CSA: UTILITIES DEBT SERVICE </v>
          </cell>
        </row>
        <row r="670">
          <cell r="A670" t="str">
            <v>CSA: UTILITIES MAINT FY15</v>
          </cell>
          <cell r="B670">
            <v>0</v>
          </cell>
          <cell r="C670" t="str">
            <v>CSA-UMT</v>
          </cell>
          <cell r="D670" t="str">
            <v>CSA-UMT14</v>
          </cell>
          <cell r="E670" t="str">
            <v>CSA-UMT13</v>
          </cell>
          <cell r="F670" t="str">
            <v>CSA-UMT12</v>
          </cell>
          <cell r="G670" t="str">
            <v>CSA-UMT11</v>
          </cell>
          <cell r="H670" t="str">
            <v>CSA-UMT10</v>
          </cell>
          <cell r="I670" t="str">
            <v>CSA-UMT09</v>
          </cell>
          <cell r="J670" t="str">
            <v>CSA-UMT08</v>
          </cell>
          <cell r="K670" t="str">
            <v>CSA-UMT07</v>
          </cell>
          <cell r="L670" t="str">
            <v>CSA-UMT06</v>
          </cell>
          <cell r="M670" t="str">
            <v>CSA-UMT05</v>
          </cell>
          <cell r="W670" t="str">
            <v xml:space="preserve">CSA: UTILITIES MAINT </v>
          </cell>
        </row>
        <row r="671">
          <cell r="A671" t="str">
            <v>LRC: UTILITIES FY15 - GAS/WATER/ELECTRIC</v>
          </cell>
          <cell r="B671" t="str">
            <v>LRC</v>
          </cell>
          <cell r="C671" t="str">
            <v>LRC-EGW</v>
          </cell>
          <cell r="D671" t="str">
            <v>LRC-EGW-14</v>
          </cell>
          <cell r="E671" t="str">
            <v>LRC-EGW-13</v>
          </cell>
          <cell r="F671" t="str">
            <v>LRC-EGW-12</v>
          </cell>
          <cell r="G671" t="str">
            <v>LRC-EGW-11</v>
          </cell>
          <cell r="H671" t="str">
            <v>LRC-EGW-10</v>
          </cell>
          <cell r="I671" t="str">
            <v>LRC-EGW-09</v>
          </cell>
          <cell r="J671" t="str">
            <v>LRC-EGW-08</v>
          </cell>
          <cell r="K671" t="str">
            <v>LRC-EGW-07</v>
          </cell>
          <cell r="L671" t="str">
            <v>LRC-EGW-06</v>
          </cell>
          <cell r="M671" t="str">
            <v>LRC-EGW-05</v>
          </cell>
          <cell r="N671" t="str">
            <v>SWO003189</v>
          </cell>
          <cell r="O671" t="str">
            <v>SWO001010</v>
          </cell>
          <cell r="P671" t="str">
            <v>SWO001010</v>
          </cell>
          <cell r="Q671" t="str">
            <v>SWO001010</v>
          </cell>
          <cell r="R671" t="str">
            <v>SWO001010</v>
          </cell>
          <cell r="S671">
            <v>22674</v>
          </cell>
          <cell r="T671" t="str">
            <v>2500</v>
          </cell>
          <cell r="U671" t="str">
            <v>LRC</v>
          </cell>
          <cell r="W671" t="str">
            <v xml:space="preserve">LRC: UTILITIES G/W/E </v>
          </cell>
          <cell r="X671" t="str">
            <v>N</v>
          </cell>
        </row>
        <row r="672">
          <cell r="A672" t="str">
            <v>LRC: UTILITIES CHILLED WATER FY15</v>
          </cell>
          <cell r="B672" t="str">
            <v>LRC</v>
          </cell>
          <cell r="C672" t="str">
            <v>LRC-UCW</v>
          </cell>
          <cell r="D672" t="str">
            <v>LRC-UCW14</v>
          </cell>
          <cell r="E672" t="str">
            <v>LRC-UCW13</v>
          </cell>
          <cell r="F672" t="str">
            <v>LRC-UCW12</v>
          </cell>
          <cell r="G672" t="str">
            <v>LRC-UCW11</v>
          </cell>
          <cell r="H672" t="str">
            <v>LRC-UCW10</v>
          </cell>
          <cell r="I672" t="str">
            <v>LRC-UCW09</v>
          </cell>
          <cell r="J672" t="str">
            <v>LRC-UCW08</v>
          </cell>
          <cell r="K672" t="str">
            <v>LRC-UCW07</v>
          </cell>
          <cell r="L672" t="str">
            <v>LRC-UCW06</v>
          </cell>
          <cell r="M672" t="str">
            <v>LRC-UCW05</v>
          </cell>
          <cell r="W672" t="str">
            <v xml:space="preserve">LRC: UTILITIES CHILLED WATER </v>
          </cell>
        </row>
        <row r="673">
          <cell r="A673" t="str">
            <v>LRC: UTILITIES DEBT SERVICE FY15</v>
          </cell>
          <cell r="B673" t="str">
            <v>LRC</v>
          </cell>
          <cell r="C673" t="str">
            <v>LRC-UDS</v>
          </cell>
          <cell r="D673" t="str">
            <v>LRC-UDS14</v>
          </cell>
          <cell r="E673" t="str">
            <v>LRC-UDS13</v>
          </cell>
          <cell r="F673" t="str">
            <v>LRC-UDS12</v>
          </cell>
          <cell r="G673" t="str">
            <v>LRC-UDS11</v>
          </cell>
          <cell r="H673" t="str">
            <v>LRC-UDS10</v>
          </cell>
          <cell r="I673" t="str">
            <v>LRC-UDS09</v>
          </cell>
          <cell r="J673" t="str">
            <v>LRC-UDS08</v>
          </cell>
          <cell r="K673" t="str">
            <v>LRC-UDS07</v>
          </cell>
          <cell r="L673" t="str">
            <v>LRC-UDS06</v>
          </cell>
          <cell r="M673" t="str">
            <v>LRC-UDS05</v>
          </cell>
          <cell r="W673" t="str">
            <v xml:space="preserve">LRC: UTILITIES DEBT SERVICE </v>
          </cell>
        </row>
        <row r="674">
          <cell r="A674" t="str">
            <v>LRC: UTILITIES MAINT FY15</v>
          </cell>
          <cell r="B674">
            <v>0</v>
          </cell>
          <cell r="C674" t="str">
            <v>LRC-UMT</v>
          </cell>
          <cell r="D674" t="str">
            <v>LRC-UMT14</v>
          </cell>
          <cell r="E674" t="str">
            <v>LRC-UMT13</v>
          </cell>
          <cell r="F674" t="str">
            <v>LRC-UMT12</v>
          </cell>
          <cell r="G674" t="str">
            <v>LRC-UMT11</v>
          </cell>
          <cell r="H674" t="str">
            <v>LRC-UMT10</v>
          </cell>
          <cell r="I674" t="str">
            <v>LRC-UMT09</v>
          </cell>
          <cell r="J674" t="str">
            <v>LRC-UMT08</v>
          </cell>
          <cell r="K674" t="str">
            <v>LRC-UMT07</v>
          </cell>
          <cell r="L674" t="str">
            <v>LRC-UMT06</v>
          </cell>
          <cell r="M674" t="str">
            <v>LRC-UMT05</v>
          </cell>
          <cell r="W674" t="str">
            <v xml:space="preserve">LRC: UTILITIES MAINT </v>
          </cell>
        </row>
        <row r="675">
          <cell r="A675" t="str">
            <v>KAB: UTILITIES FY15 - GAS/WATER/ELECTRIC</v>
          </cell>
          <cell r="B675" t="str">
            <v>KAB</v>
          </cell>
          <cell r="C675" t="str">
            <v>KAB-EGW</v>
          </cell>
          <cell r="D675" t="str">
            <v>KAB-EGW-14</v>
          </cell>
          <cell r="E675" t="str">
            <v>KAB-EGW-13</v>
          </cell>
          <cell r="F675" t="str">
            <v>KAB-EGW-12</v>
          </cell>
          <cell r="G675" t="str">
            <v>KAB-EGW-11</v>
          </cell>
          <cell r="H675" t="str">
            <v>KAB-EGW-10</v>
          </cell>
          <cell r="I675" t="str">
            <v>KAB-EGW-09</v>
          </cell>
          <cell r="J675" t="str">
            <v>KAB-EGW-08</v>
          </cell>
          <cell r="K675" t="str">
            <v>KAB-EGW-07</v>
          </cell>
          <cell r="L675" t="str">
            <v>KAB-EGW-06</v>
          </cell>
          <cell r="M675" t="str">
            <v>KAB-EGW-05</v>
          </cell>
          <cell r="N675" t="str">
            <v>SWO003178</v>
          </cell>
          <cell r="O675" t="str">
            <v>SWO000910</v>
          </cell>
          <cell r="P675" t="str">
            <v>SWO000910</v>
          </cell>
          <cell r="Q675" t="str">
            <v>SWO000910</v>
          </cell>
          <cell r="R675" t="str">
            <v>SWO000910</v>
          </cell>
          <cell r="S675">
            <v>22675</v>
          </cell>
          <cell r="T675" t="str">
            <v>2510</v>
          </cell>
          <cell r="U675" t="str">
            <v>KAB</v>
          </cell>
          <cell r="W675" t="str">
            <v xml:space="preserve">KAB: UTILITIES G/W/E </v>
          </cell>
          <cell r="X675" t="str">
            <v>N</v>
          </cell>
          <cell r="Y675" t="str">
            <v>DEMOLISHED JAN 2013</v>
          </cell>
        </row>
        <row r="676">
          <cell r="A676" t="str">
            <v>KAB: UTILITIES CHILLED WATER FY15</v>
          </cell>
          <cell r="B676" t="str">
            <v>KAB</v>
          </cell>
          <cell r="C676" t="str">
            <v>KAB-UCW</v>
          </cell>
          <cell r="D676" t="str">
            <v>KAB-UCW14</v>
          </cell>
          <cell r="E676" t="str">
            <v>KAB-UCW13</v>
          </cell>
          <cell r="F676" t="str">
            <v>KAB-UCW12</v>
          </cell>
          <cell r="G676" t="str">
            <v>KAB-UCW11</v>
          </cell>
          <cell r="H676" t="str">
            <v>KAB-UCW10</v>
          </cell>
          <cell r="I676" t="str">
            <v>KAB-UCW09</v>
          </cell>
          <cell r="J676" t="str">
            <v>KAB-UCW08</v>
          </cell>
          <cell r="K676" t="str">
            <v>KAB-UCW07</v>
          </cell>
          <cell r="L676" t="str">
            <v>KAB-UCW06</v>
          </cell>
          <cell r="M676" t="str">
            <v>KAB-UCW05</v>
          </cell>
          <cell r="W676" t="str">
            <v xml:space="preserve">KAB: UTILITIES CHILLED WATER </v>
          </cell>
        </row>
        <row r="677">
          <cell r="A677" t="str">
            <v>KAB: UTILITIES DEBT SERVICE FY15</v>
          </cell>
          <cell r="B677" t="str">
            <v>KAB</v>
          </cell>
          <cell r="C677" t="str">
            <v>KAB-UDS</v>
          </cell>
          <cell r="D677" t="str">
            <v>KAB-UDS14</v>
          </cell>
          <cell r="E677" t="str">
            <v>KAB-UDS13</v>
          </cell>
          <cell r="F677" t="str">
            <v>KAB-UDS12</v>
          </cell>
          <cell r="G677" t="str">
            <v>KAB-UDS11</v>
          </cell>
          <cell r="H677" t="str">
            <v>KAB-UDS10</v>
          </cell>
          <cell r="I677" t="str">
            <v>KAB-UDS09</v>
          </cell>
          <cell r="J677" t="str">
            <v>KAB-UDS08</v>
          </cell>
          <cell r="K677" t="str">
            <v>KAB-UDS07</v>
          </cell>
          <cell r="L677" t="str">
            <v>KAB-UDS06</v>
          </cell>
          <cell r="M677" t="str">
            <v>KAB-UDS05</v>
          </cell>
          <cell r="W677" t="str">
            <v xml:space="preserve">KAB: UTILITIES DEBT SERVICE </v>
          </cell>
        </row>
        <row r="678">
          <cell r="A678" t="str">
            <v>KAB: UTILITIES MAINT FY15</v>
          </cell>
          <cell r="B678">
            <v>0</v>
          </cell>
          <cell r="C678" t="str">
            <v>KAB-UMT</v>
          </cell>
          <cell r="D678" t="str">
            <v>KAB-UMT14</v>
          </cell>
          <cell r="E678" t="str">
            <v>KAB-UMT13</v>
          </cell>
          <cell r="F678" t="str">
            <v>KAB-UMT12</v>
          </cell>
          <cell r="G678" t="str">
            <v>KAB-UMT11</v>
          </cell>
          <cell r="H678" t="str">
            <v>KAB-UMT10</v>
          </cell>
          <cell r="I678" t="str">
            <v>KAB-UMT09</v>
          </cell>
          <cell r="J678" t="str">
            <v>KAB-UMT08</v>
          </cell>
          <cell r="K678" t="str">
            <v>KAB-UMT07</v>
          </cell>
          <cell r="L678" t="str">
            <v>KAB-UMT06</v>
          </cell>
          <cell r="M678" t="str">
            <v>KAB-UMT05</v>
          </cell>
          <cell r="W678" t="str">
            <v xml:space="preserve">KAB: UTILITIES MAINT </v>
          </cell>
        </row>
        <row r="679">
          <cell r="A679" t="str">
            <v>HNB: UTILITIES FY15 - GAS/WATER/ELECTRIC</v>
          </cell>
          <cell r="B679" t="str">
            <v>HNB</v>
          </cell>
          <cell r="C679" t="str">
            <v>HNB-EGW</v>
          </cell>
          <cell r="D679" t="str">
            <v>HNB-EGW-14</v>
          </cell>
          <cell r="E679" t="str">
            <v>HNB-EGW-13</v>
          </cell>
          <cell r="F679" t="str">
            <v>HNB-EGW-12</v>
          </cell>
          <cell r="G679" t="str">
            <v>HNB-EGW-11</v>
          </cell>
          <cell r="H679" t="str">
            <v>HNB-EGW-10</v>
          </cell>
          <cell r="I679" t="str">
            <v>HNB-EGW-09</v>
          </cell>
          <cell r="J679" t="str">
            <v>HNB-EGW-08</v>
          </cell>
          <cell r="K679" t="str">
            <v>HNB-EGW-07</v>
          </cell>
          <cell r="L679" t="str">
            <v>HNB-EGW-06</v>
          </cell>
          <cell r="M679" t="str">
            <v>HNB-EGW-05</v>
          </cell>
          <cell r="N679" t="str">
            <v>SWO003163</v>
          </cell>
          <cell r="O679" t="str">
            <v>SWO001011</v>
          </cell>
          <cell r="P679" t="str">
            <v>SWO001011</v>
          </cell>
          <cell r="Q679" t="str">
            <v>SWO001011</v>
          </cell>
          <cell r="R679" t="str">
            <v>SWO001011</v>
          </cell>
          <cell r="S679">
            <v>22676</v>
          </cell>
          <cell r="T679" t="str">
            <v>2520</v>
          </cell>
          <cell r="U679" t="str">
            <v>HNB</v>
          </cell>
          <cell r="W679" t="str">
            <v xml:space="preserve">HNB: UTILITIES G/W/E </v>
          </cell>
          <cell r="X679" t="str">
            <v>N</v>
          </cell>
        </row>
        <row r="680">
          <cell r="A680" t="str">
            <v>HNB: UTILITIES CHILLED WATER FY15</v>
          </cell>
          <cell r="B680" t="str">
            <v>HNB</v>
          </cell>
          <cell r="C680" t="str">
            <v>HNB-UCW</v>
          </cell>
          <cell r="D680" t="str">
            <v>HNB-UCW14</v>
          </cell>
          <cell r="E680" t="str">
            <v>HNB-UCW13</v>
          </cell>
          <cell r="F680" t="str">
            <v>HNB-UCW12</v>
          </cell>
          <cell r="G680" t="str">
            <v>HNB-UCW11</v>
          </cell>
          <cell r="H680" t="str">
            <v>HNB-UCW10</v>
          </cell>
          <cell r="I680" t="str">
            <v>HNB-UCW09</v>
          </cell>
          <cell r="J680" t="str">
            <v>HNB-UCW08</v>
          </cell>
          <cell r="K680" t="str">
            <v>HNB-UCW07</v>
          </cell>
          <cell r="L680" t="str">
            <v>HNB-UCW06</v>
          </cell>
          <cell r="M680" t="str">
            <v>HNB-UCW05</v>
          </cell>
          <cell r="W680" t="str">
            <v xml:space="preserve">HNB: UTILITIES CHILLED WATER </v>
          </cell>
        </row>
        <row r="681">
          <cell r="A681" t="str">
            <v>HNB: UTILITIES DEBT SERVICE FY15</v>
          </cell>
          <cell r="B681" t="str">
            <v>HNB</v>
          </cell>
          <cell r="C681" t="str">
            <v>HNB-UDS</v>
          </cell>
          <cell r="D681" t="str">
            <v>HNB-UDS14</v>
          </cell>
          <cell r="E681" t="str">
            <v>HNB-UDS13</v>
          </cell>
          <cell r="F681" t="str">
            <v>HNB-UDS12</v>
          </cell>
          <cell r="G681" t="str">
            <v>HNB-UDS11</v>
          </cell>
          <cell r="H681" t="str">
            <v>HNB-UDS10</v>
          </cell>
          <cell r="I681" t="str">
            <v>HNB-UDS09</v>
          </cell>
          <cell r="J681" t="str">
            <v>HNB-UDS08</v>
          </cell>
          <cell r="K681" t="str">
            <v>HNB-UDS07</v>
          </cell>
          <cell r="L681" t="str">
            <v>HNB-UDS06</v>
          </cell>
          <cell r="M681" t="str">
            <v>HNB-UDS05</v>
          </cell>
          <cell r="W681" t="str">
            <v xml:space="preserve">HNB: UTILITIES DEBT SERVICE </v>
          </cell>
        </row>
        <row r="682">
          <cell r="A682" t="str">
            <v>HNB: UTILITIES MAINT FY15</v>
          </cell>
          <cell r="B682">
            <v>0</v>
          </cell>
          <cell r="C682" t="str">
            <v>HNB-UMT</v>
          </cell>
          <cell r="D682" t="str">
            <v>HNB-UMT14</v>
          </cell>
          <cell r="E682" t="str">
            <v>HNB-UMT13</v>
          </cell>
          <cell r="F682" t="str">
            <v>HNB-UMT12</v>
          </cell>
          <cell r="G682" t="str">
            <v>HNB-UMT11</v>
          </cell>
          <cell r="H682" t="str">
            <v>HNB-UMT10</v>
          </cell>
          <cell r="I682" t="str">
            <v>HNB-UMT09</v>
          </cell>
          <cell r="J682" t="str">
            <v>HNB-UMT08</v>
          </cell>
          <cell r="K682" t="str">
            <v>HNB-UMT07</v>
          </cell>
          <cell r="L682" t="str">
            <v>HNB-UMT06</v>
          </cell>
          <cell r="M682" t="str">
            <v>HNB-UMT05</v>
          </cell>
          <cell r="W682" t="str">
            <v xml:space="preserve">HNB: UTILITIES MAINT </v>
          </cell>
        </row>
        <row r="683">
          <cell r="A683" t="str">
            <v>KAP: UTILITIES FY15 - GAS/WATER/ELECTRIC</v>
          </cell>
          <cell r="B683" t="str">
            <v>KAP</v>
          </cell>
          <cell r="C683" t="str">
            <v>KAP-EGW</v>
          </cell>
          <cell r="D683" t="str">
            <v>KAP-EGW-14</v>
          </cell>
          <cell r="E683" t="str">
            <v>KAP-EGW-13</v>
          </cell>
          <cell r="F683" t="str">
            <v>KAP-EGW-12</v>
          </cell>
          <cell r="G683" t="str">
            <v>KAP-EGW-11</v>
          </cell>
          <cell r="H683" t="str">
            <v>KAP-EGW-10</v>
          </cell>
          <cell r="I683" t="str">
            <v>KAP-EGW-09</v>
          </cell>
          <cell r="J683" t="str">
            <v>KAP-EGW-08</v>
          </cell>
          <cell r="K683" t="str">
            <v>KAP-EGW-07</v>
          </cell>
          <cell r="L683" t="str">
            <v>KAP-EGW-06</v>
          </cell>
          <cell r="M683" t="str">
            <v>KAP-EGW-05</v>
          </cell>
          <cell r="N683" t="str">
            <v>SWO003180</v>
          </cell>
          <cell r="O683" t="str">
            <v>SWO001012</v>
          </cell>
          <cell r="P683" t="str">
            <v>SWO001012</v>
          </cell>
          <cell r="Q683" t="str">
            <v>SWO001012</v>
          </cell>
          <cell r="R683" t="str">
            <v>SWO001012</v>
          </cell>
          <cell r="S683">
            <v>22677</v>
          </cell>
          <cell r="T683" t="str">
            <v>2530</v>
          </cell>
          <cell r="U683" t="str">
            <v>KAP</v>
          </cell>
          <cell r="W683" t="str">
            <v xml:space="preserve">KAP: UTILITIES G/W/E </v>
          </cell>
          <cell r="X683" t="str">
            <v>N</v>
          </cell>
        </row>
        <row r="684">
          <cell r="A684" t="str">
            <v>KAP: UTILITIES CHILLED WATER FY15</v>
          </cell>
          <cell r="B684" t="str">
            <v>KAP</v>
          </cell>
          <cell r="C684" t="str">
            <v>KAP-UCW</v>
          </cell>
          <cell r="D684" t="str">
            <v>KAP-UCW14</v>
          </cell>
          <cell r="E684" t="str">
            <v>KAP-UCW13</v>
          </cell>
          <cell r="F684" t="str">
            <v>KAP-UCW12</v>
          </cell>
          <cell r="G684" t="str">
            <v>KAP-UCW11</v>
          </cell>
          <cell r="H684" t="str">
            <v>KAP-UCW10</v>
          </cell>
          <cell r="I684" t="str">
            <v>KAP-UCW09</v>
          </cell>
          <cell r="J684" t="str">
            <v>KAP-UCW08</v>
          </cell>
          <cell r="K684" t="str">
            <v>KAP-UCW07</v>
          </cell>
          <cell r="L684" t="str">
            <v>KAP-UCW06</v>
          </cell>
          <cell r="M684" t="str">
            <v>KAP-UCW05</v>
          </cell>
          <cell r="W684" t="str">
            <v xml:space="preserve">KAP: UTILITIES CHILLED WATER </v>
          </cell>
        </row>
        <row r="685">
          <cell r="A685" t="str">
            <v>KAP: UTILITIES DEBT SERVICE FY15</v>
          </cell>
          <cell r="B685" t="str">
            <v>KAP</v>
          </cell>
          <cell r="C685" t="str">
            <v>KAP-UDS</v>
          </cell>
          <cell r="D685" t="str">
            <v>KAP-UDS14</v>
          </cell>
          <cell r="E685" t="str">
            <v>KAP-UDS13</v>
          </cell>
          <cell r="F685" t="str">
            <v>KAP-UDS12</v>
          </cell>
          <cell r="G685" t="str">
            <v>KAP-UDS11</v>
          </cell>
          <cell r="H685" t="str">
            <v>KAP-UDS10</v>
          </cell>
          <cell r="I685" t="str">
            <v>KAP-UDS09</v>
          </cell>
          <cell r="J685" t="str">
            <v>KAP-UDS08</v>
          </cell>
          <cell r="K685" t="str">
            <v>KAP-UDS07</v>
          </cell>
          <cell r="L685" t="str">
            <v>KAP-UDS06</v>
          </cell>
          <cell r="M685" t="str">
            <v>KAP-UDS05</v>
          </cell>
          <cell r="W685" t="str">
            <v xml:space="preserve">KAP: UTILITIES DEBT SERVICE </v>
          </cell>
        </row>
        <row r="686">
          <cell r="A686" t="str">
            <v>KAP: UTILITIES FY15 - GAS/WATER/ELECTRIC</v>
          </cell>
          <cell r="B686" t="str">
            <v>KAP</v>
          </cell>
          <cell r="C686" t="str">
            <v>KAP-EGW</v>
          </cell>
          <cell r="D686" t="str">
            <v>KAP-EGW-14</v>
          </cell>
          <cell r="E686" t="str">
            <v>KAP-EGW-13</v>
          </cell>
          <cell r="F686" t="str">
            <v>KAP-EGW-12</v>
          </cell>
          <cell r="G686" t="str">
            <v>KAP-EGW-11</v>
          </cell>
          <cell r="H686" t="str">
            <v>KAP-EGW-10</v>
          </cell>
          <cell r="I686" t="str">
            <v>KAP-EGW-09</v>
          </cell>
          <cell r="J686" t="str">
            <v>KAP-EGW-08</v>
          </cell>
          <cell r="K686" t="str">
            <v>KAP-EGW-07</v>
          </cell>
          <cell r="L686" t="str">
            <v>KAP-EGW-06</v>
          </cell>
          <cell r="M686" t="str">
            <v>KAP-EGW-05</v>
          </cell>
          <cell r="W686" t="str">
            <v xml:space="preserve">KAP: UTILITIES G/W/E </v>
          </cell>
        </row>
        <row r="687">
          <cell r="A687" t="str">
            <v>BKS: UTILITIES FY15 - ELECTRIC</v>
          </cell>
          <cell r="B687" t="str">
            <v>BKS1</v>
          </cell>
          <cell r="C687" t="str">
            <v>BKS-ELC</v>
          </cell>
          <cell r="D687" t="str">
            <v>BKS-ELC-14</v>
          </cell>
          <cell r="E687" t="str">
            <v>BKS-ELC-13</v>
          </cell>
          <cell r="F687" t="str">
            <v>BKS-ELC-12</v>
          </cell>
          <cell r="G687" t="str">
            <v>BKS-ELC-11</v>
          </cell>
          <cell r="H687" t="str">
            <v>BKS-ELC-10</v>
          </cell>
          <cell r="I687" t="str">
            <v>BKS-ELC-09</v>
          </cell>
          <cell r="J687" t="str">
            <v>BKS-ELC-08</v>
          </cell>
          <cell r="K687" t="str">
            <v>BKS-ELC-07</v>
          </cell>
          <cell r="L687" t="str">
            <v>SWO008994</v>
          </cell>
          <cell r="M687" t="str">
            <v>SWO006029</v>
          </cell>
          <cell r="N687" t="str">
            <v>SWO003389</v>
          </cell>
          <cell r="O687" t="str">
            <v>SWO002496</v>
          </cell>
          <cell r="P687" t="str">
            <v>SWO001704</v>
          </cell>
          <cell r="Q687" t="str">
            <v>SWO001338</v>
          </cell>
          <cell r="R687" t="str">
            <v>SWO001013</v>
          </cell>
          <cell r="S687">
            <v>22678</v>
          </cell>
          <cell r="T687" t="str">
            <v>2541</v>
          </cell>
          <cell r="U687" t="str">
            <v>BKS</v>
          </cell>
          <cell r="W687" t="str">
            <v>Bookstore - Electric</v>
          </cell>
          <cell r="X687" t="str">
            <v>Y</v>
          </cell>
          <cell r="Y687" t="str">
            <v>17-8101-0000</v>
          </cell>
          <cell r="Z687">
            <v>20215</v>
          </cell>
        </row>
        <row r="688">
          <cell r="A688" t="str">
            <v>BKS: UTILITIES FY15 - GAS</v>
          </cell>
          <cell r="B688" t="str">
            <v>BKS1</v>
          </cell>
          <cell r="C688" t="str">
            <v>BKS-GAS</v>
          </cell>
          <cell r="D688" t="str">
            <v>BKS-GAS-14</v>
          </cell>
          <cell r="E688" t="str">
            <v>BKS-GAS-13</v>
          </cell>
          <cell r="F688" t="str">
            <v>BKS-GAS-12</v>
          </cell>
          <cell r="G688" t="str">
            <v>BKS-GAS-11</v>
          </cell>
          <cell r="H688" t="str">
            <v>BKS-GAS-10</v>
          </cell>
          <cell r="I688" t="str">
            <v>BKS-GAS-09</v>
          </cell>
          <cell r="J688" t="str">
            <v>BKS-GAS-08</v>
          </cell>
          <cell r="K688" t="str">
            <v>BKS-GAS-07</v>
          </cell>
          <cell r="L688" t="str">
            <v>SWO008996</v>
          </cell>
          <cell r="M688" t="str">
            <v>SWO006028</v>
          </cell>
          <cell r="N688" t="str">
            <v>SWO003390</v>
          </cell>
          <cell r="O688" t="str">
            <v>SWO002494</v>
          </cell>
          <cell r="P688" t="str">
            <v>SWO001702</v>
          </cell>
          <cell r="Q688" t="str">
            <v>SWO001339</v>
          </cell>
          <cell r="R688" t="str">
            <v>SWO001014</v>
          </cell>
          <cell r="S688">
            <v>22679</v>
          </cell>
          <cell r="W688" t="str">
            <v>Bookstore - Gas</v>
          </cell>
          <cell r="X688" t="str">
            <v>Y</v>
          </cell>
          <cell r="Y688" t="str">
            <v>17-8101-0000</v>
          </cell>
          <cell r="Z688">
            <v>20211</v>
          </cell>
        </row>
        <row r="689">
          <cell r="A689" t="str">
            <v>BKS: UTILITIES FY15 - WATER</v>
          </cell>
          <cell r="B689" t="str">
            <v>BKS1</v>
          </cell>
          <cell r="C689" t="str">
            <v>BKS-WTR</v>
          </cell>
          <cell r="D689" t="str">
            <v>BKS-WTR-14</v>
          </cell>
          <cell r="E689" t="str">
            <v>BKS-WTR-13</v>
          </cell>
          <cell r="F689" t="str">
            <v>BKS-WTR-12</v>
          </cell>
          <cell r="G689" t="str">
            <v>BKS-WTR-11</v>
          </cell>
          <cell r="H689" t="str">
            <v>BKS-WTR-10</v>
          </cell>
          <cell r="I689" t="str">
            <v>BKS-WTR-09</v>
          </cell>
          <cell r="J689" t="str">
            <v>BKS-WTR-08</v>
          </cell>
          <cell r="K689" t="str">
            <v>BKS-WTR-07</v>
          </cell>
          <cell r="L689" t="str">
            <v>SWO008995</v>
          </cell>
          <cell r="M689" t="str">
            <v>SWO006027</v>
          </cell>
          <cell r="N689" t="str">
            <v>SWO003391</v>
          </cell>
          <cell r="O689" t="str">
            <v>SWO002495</v>
          </cell>
          <cell r="P689" t="str">
            <v>SWO001703</v>
          </cell>
          <cell r="Q689" t="str">
            <v>SWO001340</v>
          </cell>
          <cell r="R689" t="str">
            <v>SWO000911</v>
          </cell>
          <cell r="S689">
            <v>22680</v>
          </cell>
          <cell r="W689" t="str">
            <v>Bookstore - Water</v>
          </cell>
          <cell r="X689" t="str">
            <v>Y</v>
          </cell>
          <cell r="Y689" t="str">
            <v>17-8101-0000</v>
          </cell>
          <cell r="Z689">
            <v>20212</v>
          </cell>
        </row>
        <row r="690">
          <cell r="A690" t="str">
            <v>BKS: UTILITIES CHILLED WATER FY15</v>
          </cell>
          <cell r="B690">
            <v>0</v>
          </cell>
          <cell r="C690" t="str">
            <v>BKS-UCW</v>
          </cell>
          <cell r="D690" t="str">
            <v>BKS-UCW14</v>
          </cell>
          <cell r="E690" t="str">
            <v>BKS-UCW13</v>
          </cell>
          <cell r="F690" t="str">
            <v>BKS-UCW12</v>
          </cell>
          <cell r="G690" t="str">
            <v>BKS-UCW11</v>
          </cell>
          <cell r="H690" t="str">
            <v>BKS-UCW10</v>
          </cell>
          <cell r="I690" t="str">
            <v>BKS-UCW09</v>
          </cell>
          <cell r="J690" t="str">
            <v>BKS-UCW08</v>
          </cell>
          <cell r="K690" t="str">
            <v>BKS-UCW07</v>
          </cell>
          <cell r="L690" t="str">
            <v>BKS-UCW06</v>
          </cell>
          <cell r="M690" t="str">
            <v>BKS-UCW05</v>
          </cell>
          <cell r="W690" t="str">
            <v xml:space="preserve">BKS: UTILITIES CHILLED WATER </v>
          </cell>
        </row>
        <row r="691">
          <cell r="A691" t="str">
            <v>BKS: UTILITIES DEBT SERVICE FY15</v>
          </cell>
          <cell r="B691">
            <v>0</v>
          </cell>
          <cell r="C691" t="str">
            <v>BKS-UDS</v>
          </cell>
          <cell r="D691" t="str">
            <v>BKS-UDS14</v>
          </cell>
          <cell r="E691" t="str">
            <v>BKS-UDS13</v>
          </cell>
          <cell r="F691" t="str">
            <v>BKS-UDS12</v>
          </cell>
          <cell r="G691" t="str">
            <v>BKS-UDS11</v>
          </cell>
          <cell r="H691" t="str">
            <v>BKS-UDS10</v>
          </cell>
          <cell r="I691" t="str">
            <v>BKS-UDS09</v>
          </cell>
          <cell r="J691" t="str">
            <v>BKS-UDS08</v>
          </cell>
          <cell r="K691" t="str">
            <v>BKS-UDS07</v>
          </cell>
          <cell r="L691" t="str">
            <v>BKS-UDS06</v>
          </cell>
          <cell r="M691" t="str">
            <v>BKS-UDS05</v>
          </cell>
          <cell r="W691" t="str">
            <v xml:space="preserve">BKS: UTILITIES DEBT SERVICE </v>
          </cell>
        </row>
        <row r="692">
          <cell r="A692" t="str">
            <v>BKS: UTILITIES MAINT FY15</v>
          </cell>
          <cell r="B692">
            <v>0</v>
          </cell>
          <cell r="C692" t="str">
            <v>BKS-UMT</v>
          </cell>
          <cell r="D692" t="str">
            <v>BKS-UMT14</v>
          </cell>
          <cell r="E692" t="str">
            <v>BKS-UMT13</v>
          </cell>
          <cell r="F692" t="str">
            <v>BKS-UMT12</v>
          </cell>
          <cell r="G692" t="str">
            <v>BKS-UMT11</v>
          </cell>
          <cell r="H692" t="str">
            <v>BKS-UMT10</v>
          </cell>
          <cell r="I692" t="str">
            <v>BKS-UMT09</v>
          </cell>
          <cell r="J692" t="str">
            <v>BKS-UMT08</v>
          </cell>
          <cell r="K692" t="str">
            <v>BKS-UMT07</v>
          </cell>
          <cell r="L692" t="str">
            <v>BKS-UMT06</v>
          </cell>
          <cell r="M692" t="str">
            <v>BKS-UMT05</v>
          </cell>
          <cell r="W692" t="str">
            <v xml:space="preserve">BKS: UTILITIES MAINT </v>
          </cell>
        </row>
        <row r="693">
          <cell r="A693" t="str">
            <v>BKS: UTILITIES FY15 - GAS/WATER/ELECTRIC</v>
          </cell>
          <cell r="B693" t="str">
            <v>BKS</v>
          </cell>
          <cell r="C693" t="str">
            <v>BKS-EGW</v>
          </cell>
          <cell r="D693" t="str">
            <v>BKS-EGW-14</v>
          </cell>
          <cell r="E693" t="str">
            <v>BKS-EGW-13</v>
          </cell>
          <cell r="F693" t="str">
            <v>BKS-EGW-12</v>
          </cell>
          <cell r="G693" t="str">
            <v>BKS-EGW-11</v>
          </cell>
          <cell r="H693" t="str">
            <v>BKS-EGW-10</v>
          </cell>
          <cell r="I693" t="str">
            <v>BKS-EGW-09</v>
          </cell>
          <cell r="J693" t="str">
            <v>BKS-EGW-08</v>
          </cell>
          <cell r="K693" t="str">
            <v>BKS-EGW-07</v>
          </cell>
          <cell r="L693" t="str">
            <v>BKS-EGW-06</v>
          </cell>
          <cell r="M693" t="str">
            <v>BKS-EGW-05</v>
          </cell>
          <cell r="N693" t="str">
            <v>SWO003103</v>
          </cell>
          <cell r="O693" t="str">
            <v>SWO001035</v>
          </cell>
          <cell r="P693" t="str">
            <v>SWO001035</v>
          </cell>
          <cell r="Q693" t="str">
            <v>SWO001035</v>
          </cell>
          <cell r="R693" t="str">
            <v>SWO001035</v>
          </cell>
          <cell r="S693">
            <v>27882</v>
          </cell>
          <cell r="T693" t="str">
            <v>2540</v>
          </cell>
          <cell r="U693" t="str">
            <v>BKS</v>
          </cell>
          <cell r="W693" t="str">
            <v xml:space="preserve">BKS: UTILITIES G/W/E </v>
          </cell>
          <cell r="X693" t="str">
            <v>N</v>
          </cell>
        </row>
        <row r="694">
          <cell r="B694" t="str">
            <v>BKS7</v>
          </cell>
          <cell r="F694">
            <v>0</v>
          </cell>
          <cell r="G694" t="str">
            <v>BKS7-EL-11</v>
          </cell>
          <cell r="H694" t="str">
            <v>BKS7-EL-10</v>
          </cell>
          <cell r="I694" t="str">
            <v>BKS7-EL-09</v>
          </cell>
          <cell r="J694" t="str">
            <v>BKS7-EL-08</v>
          </cell>
          <cell r="K694" t="str">
            <v>BKS7-EL-07</v>
          </cell>
          <cell r="L694" t="str">
            <v>BKS7-EL-06</v>
          </cell>
          <cell r="M694" t="str">
            <v>BKS9-EL-05</v>
          </cell>
          <cell r="T694">
            <v>2547</v>
          </cell>
          <cell r="U694" t="str">
            <v>BKS7</v>
          </cell>
          <cell r="W694" t="str">
            <v>Bookstore VERIZON Cell Site - Electric</v>
          </cell>
          <cell r="X694" t="str">
            <v>N</v>
          </cell>
          <cell r="Y694" t="str">
            <v>CANCELLED JAN 2011</v>
          </cell>
        </row>
        <row r="695">
          <cell r="A695" t="str">
            <v>BKS8: UTILITIES FY15 - ELECTRIC, CELL SITE, T-MOBILE</v>
          </cell>
          <cell r="B695" t="str">
            <v>BKS8</v>
          </cell>
          <cell r="C695" t="str">
            <v>BKS8-EL</v>
          </cell>
          <cell r="D695" t="str">
            <v>BKS8-EL-14</v>
          </cell>
          <cell r="E695" t="str">
            <v>BKS8-EL-13</v>
          </cell>
          <cell r="F695" t="str">
            <v>BKS8-EL-12</v>
          </cell>
          <cell r="G695" t="str">
            <v>BKS8-EL-11</v>
          </cell>
          <cell r="H695" t="str">
            <v>BKS8-EL-10</v>
          </cell>
          <cell r="I695" t="str">
            <v>BKS8-EL-09</v>
          </cell>
          <cell r="J695" t="str">
            <v>BKS8-EL-08</v>
          </cell>
          <cell r="K695" t="str">
            <v>BKS8-EL-07</v>
          </cell>
          <cell r="L695" t="str">
            <v>BKS8-EL-06</v>
          </cell>
          <cell r="M695" t="str">
            <v>BKS9-EL-05</v>
          </cell>
          <cell r="T695">
            <v>2548</v>
          </cell>
          <cell r="U695" t="str">
            <v>BKS8</v>
          </cell>
          <cell r="W695" t="str">
            <v>Bookstore T-MOBILE Cell Site - Electric</v>
          </cell>
          <cell r="X695" t="str">
            <v>N</v>
          </cell>
        </row>
        <row r="696">
          <cell r="A696" t="str">
            <v>BKS9: UTILITIES FY15 - ELECTRIC ONLY, CELL SITE</v>
          </cell>
          <cell r="B696" t="str">
            <v>BKS9</v>
          </cell>
          <cell r="C696" t="str">
            <v>BKS9-EL</v>
          </cell>
          <cell r="D696" t="str">
            <v>BKS9-EL-14</v>
          </cell>
          <cell r="E696" t="str">
            <v>BKS9-EL-13</v>
          </cell>
          <cell r="F696" t="str">
            <v>BKS9-EL-12</v>
          </cell>
          <cell r="G696" t="str">
            <v>BKS9-EL-11</v>
          </cell>
          <cell r="H696" t="str">
            <v>BKS9-EL-10</v>
          </cell>
          <cell r="I696" t="str">
            <v>BKS9-EL-09</v>
          </cell>
          <cell r="J696" t="str">
            <v>BKS9-EL-08</v>
          </cell>
          <cell r="K696" t="str">
            <v>BKS9-EL-07</v>
          </cell>
          <cell r="L696" t="str">
            <v>BKS9-EL-06</v>
          </cell>
          <cell r="M696" t="str">
            <v>BKS9-EL-05</v>
          </cell>
          <cell r="T696">
            <v>2549</v>
          </cell>
          <cell r="W696" t="str">
            <v>Bookstore NEXTEL Cell Site - Electric</v>
          </cell>
          <cell r="X696" t="str">
            <v>N</v>
          </cell>
        </row>
        <row r="697">
          <cell r="A697" t="str">
            <v>CHP: UTILITIES FY15 - GAS/WATER/ELECTRIC</v>
          </cell>
          <cell r="B697" t="str">
            <v>CHP</v>
          </cell>
          <cell r="C697" t="str">
            <v>CHP-EGW</v>
          </cell>
          <cell r="D697" t="str">
            <v>CHP-EGW-14</v>
          </cell>
          <cell r="E697" t="str">
            <v>CHP-EGW-13</v>
          </cell>
          <cell r="F697" t="str">
            <v>CHP-EGW-12</v>
          </cell>
          <cell r="G697" t="str">
            <v>CHP-EGW-11</v>
          </cell>
          <cell r="H697" t="str">
            <v>CHP-EGW-10</v>
          </cell>
          <cell r="I697" t="str">
            <v>CHP-EGW-09</v>
          </cell>
          <cell r="J697" t="str">
            <v>CHP-EGW-08</v>
          </cell>
          <cell r="K697" t="str">
            <v>CHP-EGW-07</v>
          </cell>
          <cell r="L697" t="str">
            <v>CHP-EGW-06</v>
          </cell>
          <cell r="M697" t="str">
            <v>CHP-EGW-05</v>
          </cell>
          <cell r="N697" t="str">
            <v>SWO003114</v>
          </cell>
          <cell r="O697" t="str">
            <v>SWO001015</v>
          </cell>
          <cell r="P697" t="str">
            <v>SWO001015</v>
          </cell>
          <cell r="Q697" t="str">
            <v>SWO001015</v>
          </cell>
          <cell r="R697" t="str">
            <v>SWO001015</v>
          </cell>
          <cell r="S697">
            <v>22681</v>
          </cell>
          <cell r="T697" t="str">
            <v>2550</v>
          </cell>
          <cell r="U697" t="str">
            <v>CHP</v>
          </cell>
          <cell r="V697" t="str">
            <v>HSC</v>
          </cell>
          <cell r="W697" t="str">
            <v xml:space="preserve">CHP: UTILITIES G/W/E </v>
          </cell>
          <cell r="X697" t="str">
            <v>N</v>
          </cell>
        </row>
        <row r="698">
          <cell r="A698" t="str">
            <v>CHP: UTILITIES CHILLED WATER FY15</v>
          </cell>
          <cell r="B698" t="str">
            <v>CHP</v>
          </cell>
          <cell r="C698" t="str">
            <v>CHP-UCW</v>
          </cell>
          <cell r="D698" t="str">
            <v>CHP-UCW14</v>
          </cell>
          <cell r="E698" t="str">
            <v>CHP-UCW13</v>
          </cell>
          <cell r="F698" t="str">
            <v>CHP-UCW12</v>
          </cell>
          <cell r="G698" t="str">
            <v>CHP-UCW11</v>
          </cell>
          <cell r="H698" t="str">
            <v>CHP-UCW10</v>
          </cell>
          <cell r="I698" t="str">
            <v>CHP-UCW09</v>
          </cell>
          <cell r="J698" t="str">
            <v>CHP-UCW08</v>
          </cell>
          <cell r="K698" t="str">
            <v>CHP-UCW07</v>
          </cell>
          <cell r="L698" t="str">
            <v>CHP-UCW06</v>
          </cell>
          <cell r="M698" t="str">
            <v>CHP-UCW05</v>
          </cell>
          <cell r="W698" t="str">
            <v xml:space="preserve">CHP: UTILITIES CHILLED WATER </v>
          </cell>
        </row>
        <row r="699">
          <cell r="A699" t="str">
            <v>CHP: UTILITIES DEBT SERVICE FY15</v>
          </cell>
          <cell r="B699" t="str">
            <v>CHP</v>
          </cell>
          <cell r="C699" t="str">
            <v>CHP-UDS</v>
          </cell>
          <cell r="D699" t="str">
            <v>CHP-UDS14</v>
          </cell>
          <cell r="E699" t="str">
            <v>CHP-UDS13</v>
          </cell>
          <cell r="F699" t="str">
            <v>CHP-UDS12</v>
          </cell>
          <cell r="G699" t="str">
            <v>CHP-UDS11</v>
          </cell>
          <cell r="H699" t="str">
            <v>CHP-UDS10</v>
          </cell>
          <cell r="I699" t="str">
            <v>CHP-UDS09</v>
          </cell>
          <cell r="J699" t="str">
            <v>CHP-UDS08</v>
          </cell>
          <cell r="K699" t="str">
            <v>CHP-UDS07</v>
          </cell>
          <cell r="L699" t="str">
            <v>CHP-UDS06</v>
          </cell>
          <cell r="M699" t="str">
            <v>CHP-UDS05</v>
          </cell>
          <cell r="W699" t="str">
            <v xml:space="preserve">CHP: UTILITIES DEBT SERVICE </v>
          </cell>
        </row>
        <row r="700">
          <cell r="A700" t="str">
            <v>CHP: UTILITIES MAINT FY15</v>
          </cell>
          <cell r="B700">
            <v>0</v>
          </cell>
          <cell r="C700" t="str">
            <v>CHP-UMT</v>
          </cell>
          <cell r="D700" t="str">
            <v>CHP-UMT14</v>
          </cell>
          <cell r="E700" t="str">
            <v>CHP-UMT13</v>
          </cell>
          <cell r="F700" t="str">
            <v>CHP-UMT12</v>
          </cell>
          <cell r="G700" t="str">
            <v>CHP-UMT11</v>
          </cell>
          <cell r="H700" t="str">
            <v>CHP-UMT10</v>
          </cell>
          <cell r="I700" t="str">
            <v>CHP-UMT09</v>
          </cell>
          <cell r="J700" t="str">
            <v>CHP-UMT08</v>
          </cell>
          <cell r="K700" t="str">
            <v>CHP-UMT07</v>
          </cell>
          <cell r="L700" t="str">
            <v>CHP-UMT06</v>
          </cell>
          <cell r="M700" t="str">
            <v>CHP-UMT05</v>
          </cell>
          <cell r="W700" t="str">
            <v xml:space="preserve">CHP: UTILITIES MAINT </v>
          </cell>
        </row>
        <row r="701">
          <cell r="A701" t="str">
            <v>CCP: CHILLER/CONTRACT PM FY15 - EQUIPMENT, D3030</v>
          </cell>
          <cell r="B701" t="str">
            <v>CHP1</v>
          </cell>
          <cell r="C701" t="e">
            <v>#N/A</v>
          </cell>
          <cell r="D701" t="str">
            <v>CCP-CMC-14</v>
          </cell>
          <cell r="E701" t="str">
            <v>CCP-CMC-13</v>
          </cell>
          <cell r="W701" t="str">
            <v>CCP: CHILLER/CONTRACT PM FY13 - EQUIPMENT, D3030</v>
          </cell>
        </row>
        <row r="702">
          <cell r="A702" t="str">
            <v>CCP: UTILITIES FY15 - GAS/WATER/ELECTRIC</v>
          </cell>
          <cell r="B702" t="str">
            <v>CHP1</v>
          </cell>
          <cell r="C702" t="str">
            <v>CCP-EGW</v>
          </cell>
          <cell r="D702" t="str">
            <v>CCP-EGW-14</v>
          </cell>
          <cell r="E702" t="str">
            <v>CCP-EGW-13</v>
          </cell>
          <cell r="F702" t="str">
            <v>CCP-EGW-12</v>
          </cell>
          <cell r="G702" t="str">
            <v>CCP-EGW-11</v>
          </cell>
          <cell r="H702" t="str">
            <v>CCP-EGW-10</v>
          </cell>
          <cell r="I702" t="str">
            <v>CCP-EGW-09</v>
          </cell>
          <cell r="J702" t="str">
            <v>CCP-EGW-08</v>
          </cell>
          <cell r="K702" t="str">
            <v>CCP-EGW-07</v>
          </cell>
          <cell r="L702" t="str">
            <v>CHP-EGW-06</v>
          </cell>
          <cell r="M702" t="str">
            <v>CCP-EGW-05</v>
          </cell>
          <cell r="N702" t="str">
            <v>SWO003110</v>
          </cell>
          <cell r="O702" t="str">
            <v>SWO002568</v>
          </cell>
          <cell r="T702" t="str">
            <v>2551</v>
          </cell>
          <cell r="U702" t="str">
            <v>CHP1</v>
          </cell>
          <cell r="W702" t="str">
            <v xml:space="preserve">CHP CHILLER: UTILITIES G/W/E </v>
          </cell>
          <cell r="X702" t="str">
            <v>N</v>
          </cell>
        </row>
        <row r="703">
          <cell r="A703" t="str">
            <v>EEB: UTILITIES FY15 - GAS/WATER/ELECTRIC</v>
          </cell>
          <cell r="B703" t="str">
            <v>EEB</v>
          </cell>
          <cell r="C703" t="str">
            <v>EEB-EGW</v>
          </cell>
          <cell r="D703" t="str">
            <v>EEB-EGW-14</v>
          </cell>
          <cell r="E703" t="str">
            <v>EEB-EGW-13</v>
          </cell>
          <cell r="F703" t="str">
            <v>EEB-EGW-12</v>
          </cell>
          <cell r="G703" t="str">
            <v>EEB-EGW-11</v>
          </cell>
          <cell r="H703" t="str">
            <v>EEB-EGW-10</v>
          </cell>
          <cell r="I703" t="str">
            <v>EEB-EGW-09</v>
          </cell>
          <cell r="J703" t="str">
            <v>EEB-EGW-08</v>
          </cell>
          <cell r="K703" t="str">
            <v>EEB-EGW-07</v>
          </cell>
          <cell r="L703" t="str">
            <v>EEB-EGW-06</v>
          </cell>
          <cell r="M703" t="str">
            <v>EEB-EGW-05</v>
          </cell>
          <cell r="N703" t="str">
            <v>SWO003141</v>
          </cell>
          <cell r="O703" t="str">
            <v>SWO001016</v>
          </cell>
          <cell r="P703" t="str">
            <v>SWO001016</v>
          </cell>
          <cell r="Q703" t="str">
            <v>SWO001016</v>
          </cell>
          <cell r="R703" t="str">
            <v>SWO001016</v>
          </cell>
          <cell r="S703">
            <v>22682</v>
          </cell>
          <cell r="T703" t="str">
            <v>2560</v>
          </cell>
          <cell r="U703" t="str">
            <v>EEB</v>
          </cell>
          <cell r="W703" t="str">
            <v xml:space="preserve">EEB: UTILITIES G/W/E </v>
          </cell>
          <cell r="X703" t="str">
            <v>N</v>
          </cell>
        </row>
        <row r="704">
          <cell r="A704" t="str">
            <v>EEB: UTILITIES CHILLED WATER FY15</v>
          </cell>
          <cell r="B704" t="str">
            <v>EEB</v>
          </cell>
          <cell r="C704" t="str">
            <v>EEB-UCW</v>
          </cell>
          <cell r="D704" t="str">
            <v>EEB-UCW14</v>
          </cell>
          <cell r="E704" t="str">
            <v>EEB-UCW13</v>
          </cell>
          <cell r="F704" t="str">
            <v>EEB-UCW12</v>
          </cell>
          <cell r="G704" t="str">
            <v>EEB-UCW11</v>
          </cell>
          <cell r="H704" t="str">
            <v>EEB-UCW10</v>
          </cell>
          <cell r="I704" t="str">
            <v>EEB-UCW09</v>
          </cell>
          <cell r="J704" t="str">
            <v>EEB-UCW08</v>
          </cell>
          <cell r="K704" t="str">
            <v>EEB-UCW07</v>
          </cell>
          <cell r="L704" t="str">
            <v>EEB-UCW06</v>
          </cell>
          <cell r="M704" t="str">
            <v>EEB-UCW05</v>
          </cell>
          <cell r="W704" t="str">
            <v xml:space="preserve">EEB: UTILITIES CHILLED WATER </v>
          </cell>
        </row>
        <row r="705">
          <cell r="A705" t="str">
            <v>EEB: UTILITIES DEBT SERVICE FY15</v>
          </cell>
          <cell r="B705" t="str">
            <v>EEB</v>
          </cell>
          <cell r="C705" t="str">
            <v>EEB-UDS</v>
          </cell>
          <cell r="D705" t="str">
            <v>EEB-UDS14</v>
          </cell>
          <cell r="E705" t="str">
            <v>EEB-UDS13</v>
          </cell>
          <cell r="F705" t="str">
            <v>EEB-UDS12</v>
          </cell>
          <cell r="G705" t="str">
            <v>EEB-UDS11</v>
          </cell>
          <cell r="H705" t="str">
            <v>EEB-UDS10</v>
          </cell>
          <cell r="I705" t="str">
            <v>EEB-UDS09</v>
          </cell>
          <cell r="J705" t="str">
            <v>EEB-UDS08</v>
          </cell>
          <cell r="K705" t="str">
            <v>EEB-UDS07</v>
          </cell>
          <cell r="L705" t="str">
            <v>EEB-UDS06</v>
          </cell>
          <cell r="M705" t="str">
            <v>EEB-UDS05</v>
          </cell>
          <cell r="W705" t="str">
            <v xml:space="preserve">EEB: UTILITIES DEBT SERVICE </v>
          </cell>
        </row>
        <row r="706">
          <cell r="A706" t="str">
            <v>EEB: UTILITIES MAINT FY15</v>
          </cell>
          <cell r="B706">
            <v>0</v>
          </cell>
          <cell r="C706" t="str">
            <v>EEB-UMT</v>
          </cell>
          <cell r="D706" t="str">
            <v>EEB-UMT14</v>
          </cell>
          <cell r="E706" t="str">
            <v>EEB-UMT13</v>
          </cell>
          <cell r="F706" t="str">
            <v>EEB-UMT12</v>
          </cell>
          <cell r="G706" t="str">
            <v>EEB-UMT11</v>
          </cell>
          <cell r="H706" t="str">
            <v>EEB-UMT10</v>
          </cell>
          <cell r="I706" t="str">
            <v>EEB-UMT09</v>
          </cell>
          <cell r="J706" t="str">
            <v>EEB-UMT08</v>
          </cell>
          <cell r="K706" t="str">
            <v>EEB-UMT07</v>
          </cell>
          <cell r="L706" t="str">
            <v>EEB-UMT06</v>
          </cell>
          <cell r="M706" t="str">
            <v>EEB-UMT05</v>
          </cell>
          <cell r="W706" t="str">
            <v xml:space="preserve">EEB: UTILITIES MAINT </v>
          </cell>
        </row>
        <row r="707">
          <cell r="A707" t="str">
            <v>LVL: UTILITIES FY15 - GAS/WATER/ELECTRIC</v>
          </cell>
          <cell r="B707" t="str">
            <v>LVL</v>
          </cell>
          <cell r="C707" t="str">
            <v>LVL-EGW</v>
          </cell>
          <cell r="D707" t="str">
            <v>LVL-EGW-14</v>
          </cell>
          <cell r="E707" t="str">
            <v>LVL-EGW-13</v>
          </cell>
          <cell r="F707" t="str">
            <v>LVL-EGW-12</v>
          </cell>
          <cell r="G707" t="str">
            <v>LVL-EGW-11</v>
          </cell>
          <cell r="H707" t="str">
            <v>LVL-EGW-10</v>
          </cell>
          <cell r="I707" t="str">
            <v>LVL-EGW-09</v>
          </cell>
          <cell r="J707" t="str">
            <v>LVL-EGW-08</v>
          </cell>
          <cell r="K707" t="str">
            <v>LVL-EGW-07</v>
          </cell>
          <cell r="L707" t="str">
            <v>LVL-EGW-06</v>
          </cell>
          <cell r="M707" t="str">
            <v>LVL-EGW-05</v>
          </cell>
          <cell r="N707" t="str">
            <v>SWO003192</v>
          </cell>
          <cell r="O707" t="str">
            <v>SWO001017</v>
          </cell>
          <cell r="P707" t="str">
            <v>SWO001017</v>
          </cell>
          <cell r="Q707" t="str">
            <v>SWO001017</v>
          </cell>
          <cell r="R707" t="str">
            <v>SWO001017</v>
          </cell>
          <cell r="S707">
            <v>22683</v>
          </cell>
          <cell r="T707" t="str">
            <v>2570</v>
          </cell>
          <cell r="U707" t="str">
            <v>LVL</v>
          </cell>
          <cell r="W707" t="str">
            <v xml:space="preserve">LVL: UTILITIES G/W/E </v>
          </cell>
          <cell r="X707" t="str">
            <v>N</v>
          </cell>
        </row>
        <row r="708">
          <cell r="A708" t="str">
            <v>LVL: UTILITIES CHILLED WATER FY15</v>
          </cell>
          <cell r="B708" t="str">
            <v>LVL</v>
          </cell>
          <cell r="C708" t="str">
            <v>LVL-UCW</v>
          </cell>
          <cell r="D708" t="str">
            <v>LVL-UCW14</v>
          </cell>
          <cell r="E708" t="str">
            <v>LVL-UCW13</v>
          </cell>
          <cell r="F708" t="str">
            <v>LVL-UCW12</v>
          </cell>
          <cell r="G708" t="str">
            <v>LVL-UCW11</v>
          </cell>
          <cell r="H708" t="str">
            <v>LVL-UCW10</v>
          </cell>
          <cell r="I708" t="str">
            <v>LVL-UCW09</v>
          </cell>
          <cell r="J708" t="str">
            <v>LVL-UCW08</v>
          </cell>
          <cell r="K708" t="str">
            <v>LVL-UCW07</v>
          </cell>
          <cell r="L708" t="str">
            <v>LVL-UCW06</v>
          </cell>
          <cell r="M708" t="str">
            <v>LVL-UCW05</v>
          </cell>
          <cell r="W708" t="str">
            <v xml:space="preserve">LVL: UTILITIES CHILLED WATER </v>
          </cell>
        </row>
        <row r="709">
          <cell r="A709" t="str">
            <v>LVL: UTILITIES DEBT SERVICE FY15</v>
          </cell>
          <cell r="B709" t="str">
            <v>LVL</v>
          </cell>
          <cell r="C709" t="str">
            <v>LVL-UDS</v>
          </cell>
          <cell r="D709" t="str">
            <v>LVL-UDS14</v>
          </cell>
          <cell r="E709" t="str">
            <v>LVL-UDS13</v>
          </cell>
          <cell r="F709" t="str">
            <v>LVL-UDS12</v>
          </cell>
          <cell r="G709" t="str">
            <v>LVL-UDS11</v>
          </cell>
          <cell r="H709" t="str">
            <v>LVL-UDS10</v>
          </cell>
          <cell r="I709" t="str">
            <v>LVL-UDS09</v>
          </cell>
          <cell r="J709" t="str">
            <v>LVL-UDS08</v>
          </cell>
          <cell r="K709" t="str">
            <v>LVL-UDS07</v>
          </cell>
          <cell r="L709" t="str">
            <v>LVL-UDS06</v>
          </cell>
          <cell r="M709" t="str">
            <v>LVL-UDS05</v>
          </cell>
          <cell r="W709" t="str">
            <v xml:space="preserve">LVL: UTILITIES DEBT SERVICE </v>
          </cell>
        </row>
        <row r="710">
          <cell r="A710" t="str">
            <v>LVL: UTILITIES MAINT FY15</v>
          </cell>
          <cell r="B710">
            <v>0</v>
          </cell>
          <cell r="C710" t="str">
            <v>LVL-UMT</v>
          </cell>
          <cell r="D710" t="str">
            <v>LVL-UMT14</v>
          </cell>
          <cell r="E710" t="str">
            <v>LVL-UMT13</v>
          </cell>
          <cell r="F710" t="str">
            <v>LVL-UMT12</v>
          </cell>
          <cell r="G710" t="str">
            <v>LVL-UMT11</v>
          </cell>
          <cell r="H710" t="str">
            <v>LVL-UMT10</v>
          </cell>
          <cell r="I710" t="str">
            <v>LVL-UMT09</v>
          </cell>
          <cell r="J710" t="str">
            <v>LVL-UMT08</v>
          </cell>
          <cell r="K710" t="str">
            <v>LVL-UMT07</v>
          </cell>
          <cell r="L710" t="str">
            <v>LVL-UMT06</v>
          </cell>
          <cell r="M710" t="str">
            <v>LVL-UMT05</v>
          </cell>
          <cell r="W710" t="str">
            <v xml:space="preserve">LVL: UTILITIES MAINT </v>
          </cell>
        </row>
        <row r="711">
          <cell r="A711" t="str">
            <v>DMV: UTILITIES FY15 - GAS/WATER/ELECTRIC</v>
          </cell>
          <cell r="B711" t="str">
            <v>DMV</v>
          </cell>
          <cell r="C711" t="str">
            <v>DMV-EGW</v>
          </cell>
          <cell r="D711" t="str">
            <v>DMV-EGW-14</v>
          </cell>
          <cell r="E711" t="str">
            <v>DMV-EGW-13</v>
          </cell>
          <cell r="F711" t="str">
            <v>DMV-EGW-12</v>
          </cell>
          <cell r="G711" t="str">
            <v>DMV-EGW-11</v>
          </cell>
          <cell r="H711" t="str">
            <v>DMV-EGW-10</v>
          </cell>
          <cell r="I711" t="str">
            <v>DMV-EGW-09</v>
          </cell>
          <cell r="J711" t="str">
            <v>DMV-EGW-08</v>
          </cell>
          <cell r="K711" t="str">
            <v>DMV-EGW-07</v>
          </cell>
          <cell r="L711" t="str">
            <v>DMV-EGW-06</v>
          </cell>
          <cell r="M711" t="str">
            <v>DMV-EGW-05</v>
          </cell>
          <cell r="N711" t="str">
            <v>SWO003131</v>
          </cell>
          <cell r="O711" t="str">
            <v>SWO000912</v>
          </cell>
          <cell r="P711" t="str">
            <v>SWO000912</v>
          </cell>
          <cell r="Q711" t="str">
            <v>SWO000912</v>
          </cell>
          <cell r="R711" t="str">
            <v>SWO000912</v>
          </cell>
          <cell r="S711">
            <v>22684</v>
          </cell>
          <cell r="T711" t="str">
            <v>2580</v>
          </cell>
          <cell r="U711" t="str">
            <v>DMV</v>
          </cell>
          <cell r="W711" t="str">
            <v xml:space="preserve">DMV: UTILITIES G/W/E </v>
          </cell>
          <cell r="X711" t="str">
            <v>N</v>
          </cell>
        </row>
        <row r="712">
          <cell r="A712" t="str">
            <v>DMV: UTILITIES CHILLED WATER FY15</v>
          </cell>
          <cell r="B712" t="str">
            <v>DMV</v>
          </cell>
          <cell r="C712" t="str">
            <v>DMV-UCW</v>
          </cell>
          <cell r="D712" t="str">
            <v>DMV-UCW14</v>
          </cell>
          <cell r="E712" t="str">
            <v>DMV-UCW13</v>
          </cell>
          <cell r="F712" t="str">
            <v>DMV-UCW12</v>
          </cell>
          <cell r="G712" t="str">
            <v>DMV-UCW11</v>
          </cell>
          <cell r="H712" t="str">
            <v>DMV-UCW10</v>
          </cell>
          <cell r="I712" t="str">
            <v>DMV-UCW09</v>
          </cell>
          <cell r="J712" t="str">
            <v>DMV-UCW08</v>
          </cell>
          <cell r="K712" t="str">
            <v>DMV-UCW07</v>
          </cell>
          <cell r="L712" t="str">
            <v>DMV-UCW06</v>
          </cell>
          <cell r="M712" t="str">
            <v>DMV-UCW05</v>
          </cell>
          <cell r="W712" t="str">
            <v xml:space="preserve">DMV: UTILITIES CHILLED WATER </v>
          </cell>
        </row>
        <row r="713">
          <cell r="A713" t="str">
            <v>DMV: UTILITIES DEBT SERVICE FY15</v>
          </cell>
          <cell r="B713" t="str">
            <v>DMV</v>
          </cell>
          <cell r="C713" t="str">
            <v>DMV-UDS</v>
          </cell>
          <cell r="D713" t="str">
            <v>DMV-UDS14</v>
          </cell>
          <cell r="E713" t="str">
            <v>DMV-UDS13</v>
          </cell>
          <cell r="F713" t="str">
            <v>DMV-UDS12</v>
          </cell>
          <cell r="G713" t="str">
            <v>DMV-UDS11</v>
          </cell>
          <cell r="H713" t="str">
            <v>DMV-UDS10</v>
          </cell>
          <cell r="I713" t="str">
            <v>DMV-UDS09</v>
          </cell>
          <cell r="J713" t="str">
            <v>DMV-UDS08</v>
          </cell>
          <cell r="K713" t="str">
            <v>DMV-UDS07</v>
          </cell>
          <cell r="L713" t="str">
            <v>DMV-UDS06</v>
          </cell>
          <cell r="M713" t="str">
            <v>DMV-UDS05</v>
          </cell>
          <cell r="W713" t="str">
            <v xml:space="preserve">DMV: UTILITIES DEBT SERVICE </v>
          </cell>
        </row>
        <row r="714">
          <cell r="A714" t="str">
            <v>DMV: UTILITIES MAINT FY15</v>
          </cell>
          <cell r="B714">
            <v>0</v>
          </cell>
          <cell r="C714" t="str">
            <v>DMV-UMT</v>
          </cell>
          <cell r="D714" t="str">
            <v>DMV-UMT14</v>
          </cell>
          <cell r="E714" t="str">
            <v>DMV-UMT13</v>
          </cell>
          <cell r="F714" t="str">
            <v>DMV-UMT12</v>
          </cell>
          <cell r="G714" t="str">
            <v>DMV-UMT11</v>
          </cell>
          <cell r="H714" t="str">
            <v>DMV-UMT10</v>
          </cell>
          <cell r="I714" t="str">
            <v>DMV-UMT09</v>
          </cell>
          <cell r="J714" t="str">
            <v>DMV-UMT08</v>
          </cell>
          <cell r="K714" t="str">
            <v>DMV-UMT07</v>
          </cell>
          <cell r="L714" t="str">
            <v>DMV-UMT06</v>
          </cell>
          <cell r="M714" t="str">
            <v>DMV-UMT05</v>
          </cell>
          <cell r="W714" t="str">
            <v xml:space="preserve">DMV: UTILITIES MAINT </v>
          </cell>
        </row>
        <row r="715">
          <cell r="A715" t="str">
            <v>FPM: UTILITIES FY15 - GAS/WATER/ELECTRIC</v>
          </cell>
          <cell r="B715" t="str">
            <v>FPM</v>
          </cell>
          <cell r="C715" t="str">
            <v>FPM-EGW</v>
          </cell>
          <cell r="D715" t="str">
            <v>FPM-EGW-14</v>
          </cell>
          <cell r="E715" t="str">
            <v>FPM-EGW-13</v>
          </cell>
          <cell r="F715" t="str">
            <v>FPM-EGW-12</v>
          </cell>
          <cell r="G715" t="str">
            <v>FPM-EGW-11</v>
          </cell>
          <cell r="H715" t="str">
            <v>FPM-EGW-10</v>
          </cell>
          <cell r="I715" t="str">
            <v>FPM-EGW-09</v>
          </cell>
          <cell r="T715" t="str">
            <v>2590</v>
          </cell>
          <cell r="W715" t="str">
            <v xml:space="preserve">FPM: UTILITIES G/W/E </v>
          </cell>
          <cell r="Y715" t="str">
            <v>GROUNDS MOVED IN JAN 2009</v>
          </cell>
        </row>
        <row r="716">
          <cell r="A716" t="str">
            <v>FPM: UTILITIES CHILLED WATER FY15</v>
          </cell>
          <cell r="B716" t="str">
            <v>FPM</v>
          </cell>
          <cell r="C716" t="str">
            <v>FPM-UCW</v>
          </cell>
          <cell r="D716" t="str">
            <v>FPM-UCW-14</v>
          </cell>
          <cell r="E716" t="str">
            <v>FPM-UCW-13</v>
          </cell>
          <cell r="T716" t="str">
            <v>NEEDS TO BE DELETED</v>
          </cell>
          <cell r="W716" t="str">
            <v>FPM: UTILITIES CHILLED WATER FY15</v>
          </cell>
        </row>
        <row r="717">
          <cell r="A717" t="str">
            <v>FPM: UTILITIES DEBT SERVICE FY15</v>
          </cell>
          <cell r="B717" t="str">
            <v>FPM</v>
          </cell>
          <cell r="C717" t="str">
            <v>FPM-UDS</v>
          </cell>
          <cell r="D717" t="str">
            <v>FPM-UDS-14</v>
          </cell>
          <cell r="E717" t="str">
            <v>FPM-UDS-13</v>
          </cell>
          <cell r="W717" t="str">
            <v>FPM: UTILITIES DEBT SERVICE FY15</v>
          </cell>
        </row>
        <row r="718">
          <cell r="A718" t="str">
            <v>FPM: UTILITIES MAINT FY15</v>
          </cell>
          <cell r="B718">
            <v>0</v>
          </cell>
          <cell r="C718" t="str">
            <v>FPM-UMT</v>
          </cell>
          <cell r="D718" t="str">
            <v>FPM-UMT-14</v>
          </cell>
          <cell r="E718" t="str">
            <v>FPM-UMT-13</v>
          </cell>
          <cell r="W718" t="str">
            <v>FPM: UTILITIES MAINT FY15</v>
          </cell>
        </row>
        <row r="719">
          <cell r="A719" t="str">
            <v>EGG: UTILITIES FY15 - GAS/WATER/ELECTRIC</v>
          </cell>
          <cell r="B719" t="str">
            <v>EGG</v>
          </cell>
          <cell r="C719" t="str">
            <v>EGG-EGW</v>
          </cell>
          <cell r="D719" t="str">
            <v>EGG-EGW-14</v>
          </cell>
          <cell r="E719" t="str">
            <v>EGG-EGW-13</v>
          </cell>
          <cell r="F719" t="str">
            <v>EGG-EGW-12</v>
          </cell>
          <cell r="G719" t="str">
            <v>EGG-EGW-11</v>
          </cell>
          <cell r="H719" t="str">
            <v>EGG-EGW-10</v>
          </cell>
          <cell r="I719" t="str">
            <v>EGG-EGW-09</v>
          </cell>
          <cell r="J719" t="str">
            <v>EGG-EGW-08</v>
          </cell>
          <cell r="K719" t="str">
            <v>EGG-EGW-07</v>
          </cell>
          <cell r="L719" t="str">
            <v>EGG-EGW-06</v>
          </cell>
          <cell r="M719" t="str">
            <v>EGG-EGW-05</v>
          </cell>
          <cell r="N719" t="str">
            <v>SWO003142</v>
          </cell>
          <cell r="O719" t="str">
            <v>SWO001018</v>
          </cell>
          <cell r="P719" t="str">
            <v>SWO001018</v>
          </cell>
          <cell r="Q719" t="str">
            <v>SWO001018</v>
          </cell>
          <cell r="R719" t="str">
            <v>SWO001018</v>
          </cell>
          <cell r="S719">
            <v>22685</v>
          </cell>
          <cell r="T719" t="str">
            <v>2610</v>
          </cell>
          <cell r="U719" t="str">
            <v>EGG</v>
          </cell>
          <cell r="W719" t="str">
            <v xml:space="preserve">EGG: UTILITIES G/W/E </v>
          </cell>
          <cell r="X719" t="str">
            <v>N</v>
          </cell>
        </row>
        <row r="720">
          <cell r="A720" t="str">
            <v>EGG: UTILITIES CHILLED WATER FY15</v>
          </cell>
          <cell r="B720" t="str">
            <v>EGG</v>
          </cell>
          <cell r="C720" t="str">
            <v>EGG-UCW</v>
          </cell>
          <cell r="D720" t="str">
            <v>EGG-UCW14</v>
          </cell>
          <cell r="E720" t="str">
            <v>EGG-UCW13</v>
          </cell>
          <cell r="F720" t="str">
            <v>EGG-UCW12</v>
          </cell>
          <cell r="G720" t="str">
            <v>EGG-UCW11</v>
          </cell>
          <cell r="H720" t="str">
            <v>EGG-UCW10</v>
          </cell>
          <cell r="I720" t="str">
            <v>EGG-UCW09</v>
          </cell>
          <cell r="J720" t="str">
            <v>EGG-UCW08</v>
          </cell>
          <cell r="K720" t="str">
            <v>EGG-UCW07</v>
          </cell>
          <cell r="L720" t="str">
            <v>EGG-UCW06</v>
          </cell>
          <cell r="M720" t="str">
            <v>EGG-UCW05</v>
          </cell>
          <cell r="W720" t="str">
            <v xml:space="preserve">EGG: UTILITIES CHILLED WATER </v>
          </cell>
        </row>
        <row r="721">
          <cell r="A721" t="str">
            <v>EGG: UTILITIES DEBT SERVICE FY15</v>
          </cell>
          <cell r="B721" t="str">
            <v>EGG</v>
          </cell>
          <cell r="C721" t="str">
            <v>EGG-UDS</v>
          </cell>
          <cell r="D721" t="str">
            <v>EGG-UDS14</v>
          </cell>
          <cell r="E721" t="str">
            <v>EGG-UDS13</v>
          </cell>
          <cell r="F721" t="str">
            <v>EGG-UDS12</v>
          </cell>
          <cell r="G721" t="str">
            <v>EGG-UDS11</v>
          </cell>
          <cell r="H721" t="str">
            <v>EGG-UDS10</v>
          </cell>
          <cell r="I721" t="str">
            <v>EGG-UDS09</v>
          </cell>
          <cell r="J721" t="str">
            <v>EGG-UDS08</v>
          </cell>
          <cell r="K721" t="str">
            <v>EGG-UDS07</v>
          </cell>
          <cell r="L721" t="str">
            <v>EGG-UDS06</v>
          </cell>
          <cell r="M721" t="str">
            <v>EGG-UDS05</v>
          </cell>
          <cell r="W721" t="str">
            <v xml:space="preserve">EGG: UTILITIES DEBT SERVICE </v>
          </cell>
        </row>
        <row r="722">
          <cell r="A722" t="str">
            <v>EGG: UTILITIES MAINT FY15</v>
          </cell>
          <cell r="B722">
            <v>0</v>
          </cell>
          <cell r="C722" t="str">
            <v>EGG-UMT</v>
          </cell>
          <cell r="D722" t="str">
            <v>EGG-UMT14</v>
          </cell>
          <cell r="E722" t="str">
            <v>EGG-UMT13</v>
          </cell>
          <cell r="F722" t="str">
            <v>EGG-UMT12</v>
          </cell>
          <cell r="G722" t="str">
            <v>EGG-UMT11</v>
          </cell>
          <cell r="H722" t="str">
            <v>EGG-UMT10</v>
          </cell>
          <cell r="I722" t="str">
            <v>EGG-UMT09</v>
          </cell>
          <cell r="J722" t="str">
            <v>EGG-UMT08</v>
          </cell>
          <cell r="K722" t="str">
            <v>EGG-UMT07</v>
          </cell>
          <cell r="L722" t="str">
            <v>EGG-UMT06</v>
          </cell>
          <cell r="M722" t="str">
            <v>EGG-UMT05</v>
          </cell>
          <cell r="W722" t="str">
            <v xml:space="preserve">EGG: UTILITIES MAINT </v>
          </cell>
        </row>
        <row r="723">
          <cell r="A723" t="str">
            <v>RGL: UTILITIES FY15 - GAS/WATER/ELECTRIC</v>
          </cell>
          <cell r="B723" t="str">
            <v>RGL</v>
          </cell>
          <cell r="C723" t="str">
            <v>RGL-EGW</v>
          </cell>
          <cell r="D723" t="str">
            <v>RGL-EGW-14</v>
          </cell>
          <cell r="E723" t="str">
            <v>RGL-EGW-13</v>
          </cell>
          <cell r="F723" t="str">
            <v>RGL-EGW-12</v>
          </cell>
          <cell r="G723" t="str">
            <v>RGL-EGW-11</v>
          </cell>
          <cell r="H723" t="str">
            <v>RGL-EGW-10</v>
          </cell>
          <cell r="I723" t="str">
            <v>RGL-EGW-09</v>
          </cell>
          <cell r="J723" t="str">
            <v>RGL-EGW-08</v>
          </cell>
          <cell r="K723" t="str">
            <v>RGL-EGW-07</v>
          </cell>
          <cell r="L723" t="str">
            <v>RGL-EGW-06</v>
          </cell>
          <cell r="M723" t="str">
            <v>RGL-EGW-05</v>
          </cell>
          <cell r="N723" t="str">
            <v>SWO003235</v>
          </cell>
          <cell r="O723" t="str">
            <v>SWO001019</v>
          </cell>
          <cell r="P723" t="str">
            <v>SWO001019</v>
          </cell>
          <cell r="Q723" t="str">
            <v>SWO001019</v>
          </cell>
          <cell r="R723" t="str">
            <v>SWO001019</v>
          </cell>
          <cell r="S723">
            <v>22686</v>
          </cell>
          <cell r="T723" t="str">
            <v>2620</v>
          </cell>
          <cell r="U723" t="str">
            <v>RGL</v>
          </cell>
          <cell r="W723" t="str">
            <v xml:space="preserve">RGL: UTILITIES G/W/E </v>
          </cell>
          <cell r="X723" t="str">
            <v>N</v>
          </cell>
        </row>
        <row r="724">
          <cell r="A724" t="str">
            <v>RGL: UTILITIES CHILLED WATER FY15</v>
          </cell>
          <cell r="B724" t="str">
            <v>RGL</v>
          </cell>
          <cell r="C724" t="str">
            <v>RGL-UCW</v>
          </cell>
          <cell r="D724" t="str">
            <v>RGL-UCW14</v>
          </cell>
          <cell r="E724" t="str">
            <v>RGL-UCW13</v>
          </cell>
          <cell r="F724" t="str">
            <v>RGL-UCW12</v>
          </cell>
          <cell r="G724" t="str">
            <v>RGL-UCW11</v>
          </cell>
          <cell r="H724" t="str">
            <v>RGL-UCW10</v>
          </cell>
          <cell r="I724" t="str">
            <v>RGL-UCW09</v>
          </cell>
          <cell r="J724" t="str">
            <v>RGL-UCW08</v>
          </cell>
          <cell r="K724" t="str">
            <v>RGL-UCW07</v>
          </cell>
          <cell r="L724" t="str">
            <v>RGL-UCW06</v>
          </cell>
          <cell r="M724" t="str">
            <v>RGL-UCW05</v>
          </cell>
          <cell r="W724" t="str">
            <v xml:space="preserve">RGL: UTILITIES CHILLED WATER </v>
          </cell>
        </row>
        <row r="725">
          <cell r="A725" t="str">
            <v>RGL: UTILITIES DEBT SERVICE FY15</v>
          </cell>
          <cell r="B725" t="str">
            <v>RGL</v>
          </cell>
          <cell r="C725" t="str">
            <v>RGL-UDS</v>
          </cell>
          <cell r="D725" t="str">
            <v>RGL-UDS14</v>
          </cell>
          <cell r="E725" t="str">
            <v>RGL-UDS13</v>
          </cell>
          <cell r="F725" t="str">
            <v>RGL-UDS12</v>
          </cell>
          <cell r="G725" t="str">
            <v>RGL-UDS11</v>
          </cell>
          <cell r="H725" t="str">
            <v>RGL-UDS10</v>
          </cell>
          <cell r="I725" t="str">
            <v>RGL-UDS09</v>
          </cell>
          <cell r="J725" t="str">
            <v>RGL-UDS08</v>
          </cell>
          <cell r="K725" t="str">
            <v>RGL-UDS07</v>
          </cell>
          <cell r="L725" t="str">
            <v>RGL-UDS06</v>
          </cell>
          <cell r="M725" t="str">
            <v>RGL-UDS05</v>
          </cell>
          <cell r="W725" t="str">
            <v xml:space="preserve">RGL: UTILITIES DEBT SERVICE </v>
          </cell>
        </row>
        <row r="726">
          <cell r="A726" t="str">
            <v>RGL: UTILITIES MAINT FY15</v>
          </cell>
          <cell r="B726">
            <v>0</v>
          </cell>
          <cell r="C726" t="str">
            <v>RGL-UMT</v>
          </cell>
          <cell r="D726" t="str">
            <v>RGL-UMT14</v>
          </cell>
          <cell r="E726" t="str">
            <v>RGL-UMT13</v>
          </cell>
          <cell r="F726" t="str">
            <v>RGL-UMT12</v>
          </cell>
          <cell r="G726" t="str">
            <v>RGL-UMT11</v>
          </cell>
          <cell r="H726" t="str">
            <v>RGL-UMT10</v>
          </cell>
          <cell r="I726" t="str">
            <v>RGL-UMT09</v>
          </cell>
          <cell r="J726" t="str">
            <v>RGL-UMT08</v>
          </cell>
          <cell r="K726" t="str">
            <v>RGL-UMT07</v>
          </cell>
          <cell r="L726" t="str">
            <v>RGL-UMT06</v>
          </cell>
          <cell r="M726" t="str">
            <v>RGL-UMT05</v>
          </cell>
          <cell r="W726" t="str">
            <v xml:space="preserve">RGL: UTILITIES MAINT </v>
          </cell>
        </row>
        <row r="727">
          <cell r="A727" t="str">
            <v>JKP: UTILITIES FY15 - NON-AUXILIARY</v>
          </cell>
          <cell r="B727" t="str">
            <v>JPK</v>
          </cell>
          <cell r="C727" t="str">
            <v>JKP-EGW</v>
          </cell>
          <cell r="D727" t="str">
            <v>JKP-EGW-14</v>
          </cell>
          <cell r="E727" t="str">
            <v>JKP-EGW-13</v>
          </cell>
          <cell r="F727" t="str">
            <v>JKP-EGW-12</v>
          </cell>
          <cell r="G727" t="str">
            <v>JKP-EGW-11</v>
          </cell>
          <cell r="H727" t="str">
            <v>JKP-EGW-10</v>
          </cell>
          <cell r="I727" t="str">
            <v>JKP-EGW-09</v>
          </cell>
          <cell r="J727" t="str">
            <v>JKP-EGW-08</v>
          </cell>
          <cell r="K727" t="str">
            <v>JKP-EGW-07</v>
          </cell>
          <cell r="L727" t="str">
            <v>JKP-EGW-06</v>
          </cell>
          <cell r="M727" t="str">
            <v>JKP-EGW-05</v>
          </cell>
          <cell r="N727" t="str">
            <v>SWO003177</v>
          </cell>
          <cell r="O727" t="str">
            <v>SWO001020</v>
          </cell>
          <cell r="P727" t="str">
            <v>SWO001020</v>
          </cell>
          <cell r="Q727" t="str">
            <v>SWO001020</v>
          </cell>
          <cell r="R727" t="str">
            <v>SWO001020</v>
          </cell>
          <cell r="S727">
            <v>22687</v>
          </cell>
          <cell r="T727" t="str">
            <v>2630</v>
          </cell>
          <cell r="U727" t="str">
            <v>JPK</v>
          </cell>
          <cell r="W727" t="str">
            <v>JKP: UTILITIES G/W/E  - NON-AUXILIARY</v>
          </cell>
          <cell r="X727" t="str">
            <v>N</v>
          </cell>
        </row>
        <row r="728">
          <cell r="A728" t="str">
            <v>JKP: UTILITIES CHILLED WATER FY15</v>
          </cell>
          <cell r="B728" t="str">
            <v>JPK</v>
          </cell>
          <cell r="C728" t="str">
            <v>JKP-UCW</v>
          </cell>
          <cell r="D728" t="str">
            <v>JKP-UCW14</v>
          </cell>
          <cell r="E728" t="str">
            <v>JKP-UCW13</v>
          </cell>
          <cell r="F728" t="str">
            <v>JKP-UCW12</v>
          </cell>
          <cell r="G728" t="str">
            <v>JKP-UCW11</v>
          </cell>
          <cell r="H728" t="str">
            <v>JKP-UCW10</v>
          </cell>
          <cell r="I728" t="str">
            <v>JKP-UCW09</v>
          </cell>
          <cell r="J728" t="str">
            <v>JKP-UCW08</v>
          </cell>
          <cell r="K728" t="str">
            <v>JKP-UCW07</v>
          </cell>
          <cell r="L728" t="str">
            <v>JKP-UCW06</v>
          </cell>
          <cell r="M728" t="str">
            <v>JKP-UCW05</v>
          </cell>
          <cell r="W728" t="str">
            <v xml:space="preserve">JKP: UTILITIES CHILLED WATER </v>
          </cell>
        </row>
        <row r="729">
          <cell r="A729" t="str">
            <v>JKP: UTILITIES DEBT SERVICE FY15</v>
          </cell>
          <cell r="B729" t="str">
            <v>JPK</v>
          </cell>
          <cell r="C729" t="str">
            <v>JKP-UDS</v>
          </cell>
          <cell r="D729" t="str">
            <v>JKP-UDS14</v>
          </cell>
          <cell r="E729" t="str">
            <v>JKP-UDS13</v>
          </cell>
          <cell r="F729" t="str">
            <v>JKP-UDS12</v>
          </cell>
          <cell r="G729" t="str">
            <v>JKP-UDS11</v>
          </cell>
          <cell r="H729" t="str">
            <v>JKP-UDS10</v>
          </cell>
          <cell r="I729" t="str">
            <v>JKP-UDS09</v>
          </cell>
          <cell r="J729" t="str">
            <v>JKP-UDS08</v>
          </cell>
          <cell r="K729" t="str">
            <v>JKP-UDS07</v>
          </cell>
          <cell r="L729" t="str">
            <v>JKP-UDS06</v>
          </cell>
          <cell r="M729" t="str">
            <v>JKP-UDS05</v>
          </cell>
          <cell r="W729" t="str">
            <v xml:space="preserve">JKP: UTILITIES DEBT SERVICE </v>
          </cell>
        </row>
        <row r="730">
          <cell r="A730" t="str">
            <v>JKP: UTILITIES MAINT FY15</v>
          </cell>
          <cell r="B730">
            <v>0</v>
          </cell>
          <cell r="C730" t="str">
            <v>JKP-UMT</v>
          </cell>
          <cell r="D730" t="str">
            <v>JKP-UMT14</v>
          </cell>
          <cell r="E730" t="str">
            <v>JKP-UMT13</v>
          </cell>
          <cell r="F730" t="str">
            <v>JKP-UMT12</v>
          </cell>
          <cell r="G730" t="str">
            <v>JKP-UMT11</v>
          </cell>
          <cell r="H730" t="str">
            <v>JKP-UMT10</v>
          </cell>
          <cell r="I730" t="str">
            <v>JKP-UMT09</v>
          </cell>
          <cell r="J730" t="str">
            <v>JKP-UMT08</v>
          </cell>
          <cell r="K730" t="str">
            <v>JKP-UMT07</v>
          </cell>
          <cell r="L730" t="str">
            <v>JKP-UMT06</v>
          </cell>
          <cell r="M730" t="str">
            <v>JKP-UMT05</v>
          </cell>
          <cell r="W730" t="str">
            <v xml:space="preserve">JKP: UTILITIES MAINT </v>
          </cell>
        </row>
        <row r="731">
          <cell r="A731" t="str">
            <v>JKP1: UTILITIES FY15 - ELECTRIC</v>
          </cell>
          <cell r="B731" t="str">
            <v>JPK1</v>
          </cell>
          <cell r="C731" t="str">
            <v>JKP1-ELC</v>
          </cell>
          <cell r="D731" t="str">
            <v>JKP1-ELC14</v>
          </cell>
          <cell r="E731" t="str">
            <v>JKP1-ELC13</v>
          </cell>
          <cell r="F731" t="str">
            <v>JKP1-ELC12</v>
          </cell>
          <cell r="G731" t="str">
            <v>JKP1-ELC11</v>
          </cell>
          <cell r="H731" t="str">
            <v>JKP1-ELC10</v>
          </cell>
          <cell r="I731" t="str">
            <v>JKP1-ELC09</v>
          </cell>
          <cell r="J731" t="str">
            <v>JKP1-ELC08</v>
          </cell>
          <cell r="K731" t="str">
            <v>JKP1-ELC07</v>
          </cell>
          <cell r="L731" t="str">
            <v>SWO008967</v>
          </cell>
          <cell r="M731" t="str">
            <v>SWO005999</v>
          </cell>
          <cell r="N731" t="str">
            <v>SWO003454</v>
          </cell>
          <cell r="O731" t="str">
            <v>SWO002540</v>
          </cell>
          <cell r="P731" t="str">
            <v>SWO001799</v>
          </cell>
          <cell r="Q731" t="str">
            <v>SWO001388</v>
          </cell>
          <cell r="R731" t="str">
            <v>SWO001020</v>
          </cell>
          <cell r="S731">
            <v>22687</v>
          </cell>
          <cell r="T731" t="str">
            <v>2631</v>
          </cell>
          <cell r="W731" t="str">
            <v>J H &amp; J K Popovich Cafe - Electric</v>
          </cell>
          <cell r="X731" t="str">
            <v>Y</v>
          </cell>
          <cell r="Y731" t="str">
            <v>17-8200-0270</v>
          </cell>
          <cell r="Z731">
            <v>20215</v>
          </cell>
        </row>
        <row r="732">
          <cell r="A732" t="str">
            <v>JKP1: UTILITIES FY15 - GAS</v>
          </cell>
          <cell r="B732" t="str">
            <v>JPK1</v>
          </cell>
          <cell r="C732" t="str">
            <v>JKP1-GAS</v>
          </cell>
          <cell r="D732" t="str">
            <v>JKP1-GAS14</v>
          </cell>
          <cell r="E732" t="str">
            <v>JKP1-GAS13</v>
          </cell>
          <cell r="F732" t="str">
            <v>JKP1-GAS12</v>
          </cell>
          <cell r="G732" t="str">
            <v>JKP1-GAS11</v>
          </cell>
          <cell r="H732" t="str">
            <v>JKP1-GAS10</v>
          </cell>
          <cell r="I732" t="str">
            <v>JKP1-GAS09</v>
          </cell>
          <cell r="J732" t="str">
            <v>JKP1-GAS08</v>
          </cell>
          <cell r="K732" t="str">
            <v>JKP1-GAS07</v>
          </cell>
          <cell r="L732" t="str">
            <v>SWO008969</v>
          </cell>
          <cell r="M732" t="str">
            <v>SWO005998</v>
          </cell>
          <cell r="N732" t="str">
            <v>SWO003455</v>
          </cell>
          <cell r="O732" t="str">
            <v>SWO002538</v>
          </cell>
          <cell r="P732" t="str">
            <v>SWO001797</v>
          </cell>
          <cell r="Q732" t="str">
            <v>SWO001389</v>
          </cell>
          <cell r="W732" t="str">
            <v>J H &amp; J K Popovich Cafe - Gas</v>
          </cell>
          <cell r="X732" t="str">
            <v>Y</v>
          </cell>
          <cell r="Y732" t="str">
            <v>17-8200-0270</v>
          </cell>
          <cell r="Z732">
            <v>20211</v>
          </cell>
        </row>
        <row r="733">
          <cell r="A733" t="str">
            <v>JKP1: UTILITIES FY15 - WATER</v>
          </cell>
          <cell r="B733" t="str">
            <v>JPK1</v>
          </cell>
          <cell r="C733" t="str">
            <v>JKP1-WTR</v>
          </cell>
          <cell r="D733" t="str">
            <v>JKP1-WTR14</v>
          </cell>
          <cell r="E733" t="str">
            <v>JKP1-WTR13</v>
          </cell>
          <cell r="F733" t="str">
            <v>JKP1-WTR12</v>
          </cell>
          <cell r="G733" t="str">
            <v>JKP1-WTR11</v>
          </cell>
          <cell r="H733" t="str">
            <v>JKP1-WTR10</v>
          </cell>
          <cell r="I733" t="str">
            <v>JKP1-WTR09</v>
          </cell>
          <cell r="J733" t="str">
            <v>JKP1-WTR08</v>
          </cell>
          <cell r="K733" t="str">
            <v>JKP1-WTR07</v>
          </cell>
          <cell r="L733" t="str">
            <v>SWO008968</v>
          </cell>
          <cell r="M733" t="str">
            <v>SWO006052</v>
          </cell>
          <cell r="N733" t="str">
            <v>SWO003456</v>
          </cell>
          <cell r="O733" t="str">
            <v>SWO002539</v>
          </cell>
          <cell r="P733" t="str">
            <v>SWO001798</v>
          </cell>
          <cell r="Q733" t="str">
            <v>SWO001390</v>
          </cell>
          <cell r="W733" t="str">
            <v>J H &amp; J K Popovich Cafe - Water</v>
          </cell>
          <cell r="X733" t="str">
            <v>Y</v>
          </cell>
          <cell r="Y733" t="str">
            <v>17-8200-0270</v>
          </cell>
          <cell r="Z733">
            <v>20212</v>
          </cell>
        </row>
        <row r="734">
          <cell r="A734" t="str">
            <v>FMH: UTILITIES FY15 - GAS/WATER/ELECTRIC</v>
          </cell>
          <cell r="B734" t="str">
            <v>FMH</v>
          </cell>
          <cell r="C734" t="str">
            <v>FMH-EGW</v>
          </cell>
          <cell r="D734" t="str">
            <v>FMH-EGW-14</v>
          </cell>
          <cell r="E734" t="str">
            <v>FMH-EGW-13</v>
          </cell>
          <cell r="F734" t="str">
            <v>FMH-EGW-12</v>
          </cell>
          <cell r="G734" t="str">
            <v>FMH-EGW-11</v>
          </cell>
          <cell r="H734" t="str">
            <v>FMH-EGW-10</v>
          </cell>
          <cell r="I734" t="str">
            <v>FMH-EGW-09</v>
          </cell>
          <cell r="J734" t="str">
            <v>FMH-EGW-08</v>
          </cell>
          <cell r="K734" t="str">
            <v>FMH-EGW-07</v>
          </cell>
          <cell r="L734" t="str">
            <v>FMH-EGW-06</v>
          </cell>
          <cell r="M734" t="str">
            <v>FMH-EGW-05</v>
          </cell>
          <cell r="N734" t="str">
            <v>SWO003151</v>
          </cell>
          <cell r="O734" t="str">
            <v>SWO000914</v>
          </cell>
          <cell r="P734" t="str">
            <v>SWO000914</v>
          </cell>
          <cell r="Q734" t="str">
            <v>SWO000914</v>
          </cell>
          <cell r="R734" t="str">
            <v>SWO000914</v>
          </cell>
          <cell r="S734">
            <v>22694</v>
          </cell>
          <cell r="T734" t="str">
            <v>2640</v>
          </cell>
          <cell r="U734" t="str">
            <v>FMH</v>
          </cell>
          <cell r="W734" t="str">
            <v xml:space="preserve">FMH: UTILITIES G/W/E </v>
          </cell>
          <cell r="X734" t="str">
            <v>N</v>
          </cell>
        </row>
        <row r="735">
          <cell r="A735" t="str">
            <v>FMH: UTILITIES CHILLED WATER FY15</v>
          </cell>
          <cell r="B735" t="str">
            <v>FMH</v>
          </cell>
          <cell r="C735" t="str">
            <v>FMH-UCW</v>
          </cell>
          <cell r="D735" t="str">
            <v>FMH-UCW14</v>
          </cell>
          <cell r="E735" t="str">
            <v>FMH-UCW13</v>
          </cell>
          <cell r="F735" t="str">
            <v>FMH-UCW12</v>
          </cell>
          <cell r="G735" t="str">
            <v>FMH-UCW11</v>
          </cell>
          <cell r="H735" t="str">
            <v>FMH-UCW10</v>
          </cell>
          <cell r="I735" t="str">
            <v>FMH-UCW09</v>
          </cell>
          <cell r="J735" t="str">
            <v>FMH-UCW08</v>
          </cell>
          <cell r="K735" t="str">
            <v>FMH-UCW07</v>
          </cell>
          <cell r="L735" t="str">
            <v>FMH-UCW06</v>
          </cell>
          <cell r="M735" t="str">
            <v>FMH-UCW05</v>
          </cell>
          <cell r="W735" t="str">
            <v xml:space="preserve">FMH: UTILITIES CHILLED WATER </v>
          </cell>
        </row>
        <row r="736">
          <cell r="A736" t="str">
            <v>FMH: UTILITIES DEBT SERVICE FY15</v>
          </cell>
          <cell r="B736" t="str">
            <v>FMH</v>
          </cell>
          <cell r="C736" t="str">
            <v>FMH-UDS</v>
          </cell>
          <cell r="D736" t="str">
            <v>FMH-UDS14</v>
          </cell>
          <cell r="E736" t="str">
            <v>FMH-UDS13</v>
          </cell>
          <cell r="F736" t="str">
            <v>FMH-UDS12</v>
          </cell>
          <cell r="G736" t="str">
            <v>FMH-UDS11</v>
          </cell>
          <cell r="H736" t="str">
            <v>FMH-UDS10</v>
          </cell>
          <cell r="I736" t="str">
            <v>FMH-UDS09</v>
          </cell>
          <cell r="J736" t="str">
            <v>FMH-UDS08</v>
          </cell>
          <cell r="K736" t="str">
            <v>FMH-UDS07</v>
          </cell>
          <cell r="L736" t="str">
            <v>FMH-UDS06</v>
          </cell>
          <cell r="M736" t="str">
            <v>FMH-UDS05</v>
          </cell>
          <cell r="W736" t="str">
            <v xml:space="preserve">FMH: UTILITIES DEBT SERVICE </v>
          </cell>
        </row>
        <row r="737">
          <cell r="A737" t="str">
            <v>FMH: UTILITIES MAINT FY15</v>
          </cell>
          <cell r="B737">
            <v>0</v>
          </cell>
          <cell r="C737" t="str">
            <v>FMH-UMT</v>
          </cell>
          <cell r="D737" t="str">
            <v>FMH-UMT14</v>
          </cell>
          <cell r="E737" t="str">
            <v>FMH-UMT13</v>
          </cell>
          <cell r="F737" t="str">
            <v>FMH-UMT12</v>
          </cell>
          <cell r="G737" t="str">
            <v>FMH-UMT11</v>
          </cell>
          <cell r="H737" t="str">
            <v>FMH-UMT10</v>
          </cell>
          <cell r="I737" t="str">
            <v>FMH-UMT09</v>
          </cell>
          <cell r="J737" t="str">
            <v>FMH-UMT08</v>
          </cell>
          <cell r="K737" t="str">
            <v>FMH-UMT07</v>
          </cell>
          <cell r="L737" t="str">
            <v>FMH-UMT06</v>
          </cell>
          <cell r="M737" t="str">
            <v>FMH-UMT05</v>
          </cell>
          <cell r="W737" t="str">
            <v xml:space="preserve">FMH: UTILITIES MAINT </v>
          </cell>
        </row>
        <row r="738">
          <cell r="A738" t="str">
            <v>COH: UTILITIES FY15 - GAS/WATER/ELECTRIC</v>
          </cell>
          <cell r="B738" t="str">
            <v>COH</v>
          </cell>
          <cell r="C738" t="str">
            <v>COH-EGW</v>
          </cell>
          <cell r="D738" t="str">
            <v>COH-EGW-14</v>
          </cell>
          <cell r="E738" t="str">
            <v>COH-EGW-13</v>
          </cell>
          <cell r="F738" t="str">
            <v>COH-EGW-12</v>
          </cell>
          <cell r="G738" t="str">
            <v>COH-EGW-11</v>
          </cell>
          <cell r="H738" t="str">
            <v>COH-EGW-10</v>
          </cell>
          <cell r="I738" t="str">
            <v>COH-EGW-09</v>
          </cell>
          <cell r="J738" t="str">
            <v>COH-EGW-08</v>
          </cell>
          <cell r="K738" t="str">
            <v>COH-EGW-07</v>
          </cell>
          <cell r="L738" t="str">
            <v>COH-EGW-06</v>
          </cell>
          <cell r="M738" t="str">
            <v>COH-EGW-05</v>
          </cell>
          <cell r="N738" t="str">
            <v>SWO003115</v>
          </cell>
          <cell r="O738" t="str">
            <v>SWO001024</v>
          </cell>
          <cell r="P738" t="str">
            <v>SWO001024</v>
          </cell>
          <cell r="Q738" t="str">
            <v>SWO001024</v>
          </cell>
          <cell r="R738" t="str">
            <v>SWO001024</v>
          </cell>
          <cell r="S738">
            <v>22693</v>
          </cell>
          <cell r="T738" t="str">
            <v>2650</v>
          </cell>
          <cell r="U738" t="str">
            <v>COH</v>
          </cell>
          <cell r="W738" t="str">
            <v xml:space="preserve">COH: UTILITIES G/W/E </v>
          </cell>
          <cell r="X738" t="str">
            <v>N</v>
          </cell>
        </row>
        <row r="739">
          <cell r="A739" t="str">
            <v>COH: UTILITIES CHILLED WATER FY15</v>
          </cell>
          <cell r="B739" t="str">
            <v>COH</v>
          </cell>
          <cell r="C739" t="str">
            <v>COH-UCW</v>
          </cell>
          <cell r="D739" t="str">
            <v>COH-UCW-14</v>
          </cell>
          <cell r="E739" t="str">
            <v>COH-UCW-13</v>
          </cell>
          <cell r="F739" t="str">
            <v>COH-UCW-12</v>
          </cell>
          <cell r="G739" t="str">
            <v>COH-UCW-11</v>
          </cell>
          <cell r="H739" t="str">
            <v>COH-UCW-10</v>
          </cell>
          <cell r="I739" t="str">
            <v>COH-UCW-09</v>
          </cell>
          <cell r="J739" t="str">
            <v>COH-UCW-08</v>
          </cell>
          <cell r="K739" t="str">
            <v>COH-UCW-07</v>
          </cell>
          <cell r="L739" t="str">
            <v>COH-UCW06</v>
          </cell>
          <cell r="M739" t="str">
            <v>COH-UCW05</v>
          </cell>
          <cell r="W739" t="str">
            <v xml:space="preserve">COH: UTILITIES CHILLED WATER </v>
          </cell>
        </row>
        <row r="740">
          <cell r="A740" t="str">
            <v>COH: UTILITIES DEBT SERVICE FY15</v>
          </cell>
          <cell r="B740" t="str">
            <v>COH</v>
          </cell>
          <cell r="C740" t="str">
            <v>COH-UDS</v>
          </cell>
          <cell r="D740" t="str">
            <v>COH-UDS14</v>
          </cell>
          <cell r="E740" t="str">
            <v>COH-UDS13</v>
          </cell>
          <cell r="F740" t="str">
            <v>COH-UDS12</v>
          </cell>
          <cell r="G740" t="str">
            <v>COH-UDS11</v>
          </cell>
          <cell r="H740" t="str">
            <v>COH-UDS10</v>
          </cell>
          <cell r="I740" t="str">
            <v>COH-UDS09</v>
          </cell>
          <cell r="J740" t="str">
            <v>COH-UDS08</v>
          </cell>
          <cell r="K740" t="str">
            <v>COH-UDS07</v>
          </cell>
          <cell r="L740" t="str">
            <v>COH-UDS06</v>
          </cell>
          <cell r="M740" t="str">
            <v>COH-UDS05</v>
          </cell>
          <cell r="W740" t="str">
            <v xml:space="preserve">COH: UTILITIES DEBT SERVICE </v>
          </cell>
        </row>
        <row r="741">
          <cell r="A741" t="str">
            <v>COH: UTILITIES MAINT FY15</v>
          </cell>
          <cell r="B741">
            <v>0</v>
          </cell>
          <cell r="C741" t="str">
            <v>COH-UMT</v>
          </cell>
          <cell r="D741" t="str">
            <v>COH-UMT14</v>
          </cell>
          <cell r="E741" t="str">
            <v>COH-UMT13</v>
          </cell>
          <cell r="F741" t="str">
            <v>COH-UMT12</v>
          </cell>
          <cell r="G741" t="str">
            <v>COH-UMT11</v>
          </cell>
          <cell r="H741" t="str">
            <v>COH-UMT10</v>
          </cell>
          <cell r="I741" t="str">
            <v>COH-UMT09</v>
          </cell>
          <cell r="J741" t="str">
            <v>COH-UMT08</v>
          </cell>
          <cell r="K741" t="str">
            <v>COH-UMT07</v>
          </cell>
          <cell r="L741" t="str">
            <v>COH-UMT06</v>
          </cell>
          <cell r="M741" t="str">
            <v>COH-UMT05</v>
          </cell>
          <cell r="W741" t="str">
            <v xml:space="preserve">COH: UTILITIES MAINT </v>
          </cell>
        </row>
        <row r="742">
          <cell r="A742" t="str">
            <v>BCC: UTILITIES FY15 - WATER/ELECTRIC</v>
          </cell>
          <cell r="B742" t="str">
            <v>BCC</v>
          </cell>
          <cell r="C742" t="str">
            <v>BCC-EGW</v>
          </cell>
          <cell r="D742" t="str">
            <v>BCC-EGW-14</v>
          </cell>
          <cell r="E742" t="str">
            <v>BCC-EGW-13</v>
          </cell>
          <cell r="F742" t="str">
            <v>BCC-EGW-12</v>
          </cell>
          <cell r="G742" t="str">
            <v>BCC-EGW-11</v>
          </cell>
          <cell r="H742" t="str">
            <v>BCC-EGW-10</v>
          </cell>
          <cell r="T742">
            <v>2660</v>
          </cell>
          <cell r="U742" t="str">
            <v>BCC</v>
          </cell>
          <cell r="W742" t="str">
            <v xml:space="preserve">BCC: UTILITIES G/W/E </v>
          </cell>
        </row>
        <row r="743">
          <cell r="A743" t="str">
            <v>BCC: UTILITIES FY15 - ELECTRIC</v>
          </cell>
          <cell r="B743" t="str">
            <v>BCC</v>
          </cell>
          <cell r="C743" t="str">
            <v>BCC-NELC</v>
          </cell>
          <cell r="D743" t="str">
            <v>BCC-NELC14</v>
          </cell>
          <cell r="E743" t="str">
            <v>BCC-NELC13</v>
          </cell>
          <cell r="F743" t="str">
            <v>BCC-NELC12</v>
          </cell>
          <cell r="G743" t="str">
            <v>BCC-NELC11</v>
          </cell>
          <cell r="W743" t="str">
            <v>BCC: UTILITIES  - ELECTRIC (NEW BLDG)</v>
          </cell>
        </row>
        <row r="744">
          <cell r="A744" t="str">
            <v>BCC: UTILITIES FY15 - GAS</v>
          </cell>
          <cell r="B744" t="str">
            <v>BCC</v>
          </cell>
          <cell r="C744" t="str">
            <v>BCC-NGAS</v>
          </cell>
          <cell r="D744" t="str">
            <v>BCC-NGAS14</v>
          </cell>
          <cell r="E744" t="str">
            <v>BCC-NGAS13</v>
          </cell>
          <cell r="F744" t="str">
            <v>BCC-NGAS12</v>
          </cell>
          <cell r="G744" t="str">
            <v>BCC-NGAS11</v>
          </cell>
          <cell r="W744" t="str">
            <v>BCC: UTILITIES  - GAS (NEW BLDG)</v>
          </cell>
        </row>
        <row r="745">
          <cell r="A745" t="str">
            <v>BCC: UTILITIES FY15 - WATER</v>
          </cell>
          <cell r="B745" t="str">
            <v>BCC</v>
          </cell>
          <cell r="C745" t="str">
            <v>BCC-NWTR</v>
          </cell>
          <cell r="D745" t="str">
            <v>BCC-NWTR14</v>
          </cell>
          <cell r="E745" t="str">
            <v>BCC-NWTR13</v>
          </cell>
          <cell r="F745" t="str">
            <v>BCC-NWTR12</v>
          </cell>
          <cell r="G745" t="str">
            <v>BCC-NWTR11</v>
          </cell>
          <cell r="W745" t="str">
            <v>BCC: UTILITIES  - WATER (NEW BLDG)</v>
          </cell>
        </row>
        <row r="746">
          <cell r="A746" t="str">
            <v>BCC: UTILITIES FY15 - CHILLED WATER</v>
          </cell>
          <cell r="B746" t="str">
            <v>BCC</v>
          </cell>
          <cell r="C746" t="str">
            <v>BCC-UCW</v>
          </cell>
          <cell r="D746" t="str">
            <v>BCC-UCW14</v>
          </cell>
          <cell r="E746" t="str">
            <v>BCC-UCW13</v>
          </cell>
          <cell r="F746" t="str">
            <v>BCC-UCW12</v>
          </cell>
          <cell r="G746" t="str">
            <v>BCC-UCW11</v>
          </cell>
          <cell r="W746" t="str">
            <v xml:space="preserve">BCC: UTILITIES CHILLED WATER </v>
          </cell>
        </row>
        <row r="747">
          <cell r="A747" t="str">
            <v>BCC: UTILITIES FY15 - DEBT SERVICE</v>
          </cell>
          <cell r="B747" t="str">
            <v>BCC</v>
          </cell>
          <cell r="C747" t="str">
            <v>BCC-UDS</v>
          </cell>
          <cell r="D747" t="str">
            <v>BCC-UDS14</v>
          </cell>
          <cell r="E747" t="str">
            <v>BCC-UDS13</v>
          </cell>
          <cell r="F747" t="str">
            <v>BCC-UDS12</v>
          </cell>
          <cell r="G747" t="str">
            <v>BCC-UDS11</v>
          </cell>
          <cell r="W747" t="str">
            <v xml:space="preserve">BCC: UTILITIES DEBT SERVICE </v>
          </cell>
        </row>
        <row r="748">
          <cell r="A748" t="str">
            <v>BCC: UTILITIES FY15 - MAINTENANCE</v>
          </cell>
          <cell r="B748">
            <v>0</v>
          </cell>
          <cell r="C748" t="str">
            <v>BCC-UMT</v>
          </cell>
          <cell r="D748" t="str">
            <v>BCC-UMT14</v>
          </cell>
          <cell r="E748" t="str">
            <v>BCC-UMT13</v>
          </cell>
          <cell r="F748" t="str">
            <v>BCC-UMT12</v>
          </cell>
          <cell r="G748" t="str">
            <v>BCC-UMT11</v>
          </cell>
          <cell r="W748" t="str">
            <v xml:space="preserve">BCC: UTILITIES MAINT </v>
          </cell>
        </row>
        <row r="749">
          <cell r="A749" t="str">
            <v>BCC: CHILLER/CONTRACT PM FY15 - EQUIPMENT, D3030</v>
          </cell>
          <cell r="B749">
            <v>0</v>
          </cell>
          <cell r="C749" t="e">
            <v>#N/A</v>
          </cell>
          <cell r="D749" t="str">
            <v>BCC-CMC-14</v>
          </cell>
          <cell r="E749" t="str">
            <v>BCC-CMC-13</v>
          </cell>
          <cell r="W749" t="str">
            <v>BCC: CHILLER/CONTRACT PM FY13 - EQUIPMENT, D3030</v>
          </cell>
        </row>
        <row r="750">
          <cell r="A750" t="str">
            <v>UGB: UTILITIES FY15 - ELECTRIC ONLY</v>
          </cell>
          <cell r="B750" t="str">
            <v>UGB</v>
          </cell>
          <cell r="C750" t="str">
            <v>UGB-ELC</v>
          </cell>
          <cell r="D750" t="str">
            <v>UGB-ELC-14</v>
          </cell>
          <cell r="E750" t="str">
            <v>UGB-ELC-13</v>
          </cell>
          <cell r="F750" t="str">
            <v>UGB-ELC-12</v>
          </cell>
          <cell r="G750" t="str">
            <v>UGB-ELC-11</v>
          </cell>
          <cell r="H750" t="str">
            <v>UGB-ELC-10</v>
          </cell>
          <cell r="I750" t="str">
            <v>UGB-ELC-09</v>
          </cell>
          <cell r="J750" t="str">
            <v>UGB-ELC-08</v>
          </cell>
          <cell r="K750" t="str">
            <v>UGB-ELC-07</v>
          </cell>
          <cell r="L750" t="str">
            <v>UGB-ELC-06</v>
          </cell>
          <cell r="M750" t="str">
            <v>UGB-ELC-05</v>
          </cell>
          <cell r="N750" t="str">
            <v>SWO003267</v>
          </cell>
          <cell r="O750" t="str">
            <v>SWO001461</v>
          </cell>
          <cell r="P750" t="str">
            <v>SWO001461</v>
          </cell>
          <cell r="Q750" t="str">
            <v>SWO001461</v>
          </cell>
          <cell r="T750" t="str">
            <v>2670</v>
          </cell>
          <cell r="U750" t="str">
            <v>UGB</v>
          </cell>
          <cell r="W750" t="str">
            <v>UGB: UTILITIES G/W/E  - ELECTRIC ONLY</v>
          </cell>
          <cell r="X750" t="str">
            <v>N</v>
          </cell>
        </row>
        <row r="751">
          <cell r="A751" t="str">
            <v>UGB: UTILITIES FY15 - GAS ONLY</v>
          </cell>
          <cell r="B751" t="str">
            <v>UGB</v>
          </cell>
          <cell r="C751" t="str">
            <v>UGB-GAS</v>
          </cell>
          <cell r="D751" t="str">
            <v>UGB-GAS-14</v>
          </cell>
          <cell r="E751" t="str">
            <v>UGB-GAS-13</v>
          </cell>
          <cell r="F751" t="str">
            <v>UGB-GAS-12</v>
          </cell>
          <cell r="G751" t="str">
            <v>UGB-GAS-11</v>
          </cell>
          <cell r="H751" t="str">
            <v>UGB-GAS-10</v>
          </cell>
          <cell r="I751" t="str">
            <v>UGB-GAS-09</v>
          </cell>
          <cell r="J751" t="str">
            <v>UGB-GAS-08</v>
          </cell>
          <cell r="K751" t="str">
            <v>UGB-GAS-07</v>
          </cell>
          <cell r="L751" t="str">
            <v>UGB-GAS-06</v>
          </cell>
          <cell r="M751" t="str">
            <v>UGB-GAS-05</v>
          </cell>
          <cell r="N751" t="str">
            <v>SWO003268</v>
          </cell>
          <cell r="O751" t="str">
            <v>SWO001462</v>
          </cell>
          <cell r="P751" t="str">
            <v>SWO001462</v>
          </cell>
          <cell r="Q751" t="str">
            <v>SWO001462</v>
          </cell>
          <cell r="W751" t="str">
            <v>UGB: UTILITIES G/W/E  - GAS ONLY</v>
          </cell>
          <cell r="X751" t="str">
            <v>N</v>
          </cell>
        </row>
        <row r="752">
          <cell r="A752" t="str">
            <v>UGB: UTILITIES FY15 - WATER ONLY</v>
          </cell>
          <cell r="B752" t="str">
            <v>UGB</v>
          </cell>
          <cell r="C752" t="str">
            <v>UGB-WTR</v>
          </cell>
          <cell r="D752" t="str">
            <v>UGB-WTR-14</v>
          </cell>
          <cell r="E752" t="str">
            <v>UGB-WTR-13</v>
          </cell>
          <cell r="F752" t="str">
            <v>UGB-WTR-12</v>
          </cell>
          <cell r="G752" t="str">
            <v>UGB-WTR-11</v>
          </cell>
          <cell r="H752" t="str">
            <v>UGB-WTR-10</v>
          </cell>
          <cell r="I752" t="str">
            <v>UGB-WTR-09</v>
          </cell>
          <cell r="J752" t="str">
            <v>UGB-WTR-08</v>
          </cell>
          <cell r="K752" t="str">
            <v>UGB-WTR-07</v>
          </cell>
          <cell r="L752" t="str">
            <v>UGB-WTR-06</v>
          </cell>
          <cell r="M752" t="str">
            <v>UGB-WTR-05</v>
          </cell>
          <cell r="N752" t="str">
            <v>SWO003269</v>
          </cell>
          <cell r="O752" t="str">
            <v>SWO001463</v>
          </cell>
          <cell r="P752" t="str">
            <v>SWO001463</v>
          </cell>
          <cell r="Q752" t="str">
            <v>SWO001463</v>
          </cell>
          <cell r="W752" t="str">
            <v>UGB: UTILITIES G/W/E  - WATER ONLY</v>
          </cell>
          <cell r="X752" t="str">
            <v>N</v>
          </cell>
        </row>
        <row r="753">
          <cell r="A753" t="str">
            <v>UGB: UTILITIES CHILLED WATER FY15</v>
          </cell>
          <cell r="B753" t="str">
            <v>UGB</v>
          </cell>
          <cell r="C753" t="str">
            <v>UGB-UCW</v>
          </cell>
          <cell r="D753" t="str">
            <v>UGB-UCW14</v>
          </cell>
          <cell r="E753" t="str">
            <v>UGB-UCW13</v>
          </cell>
          <cell r="F753" t="str">
            <v>UGB-UCW12</v>
          </cell>
          <cell r="G753" t="str">
            <v>UGB-UCW11</v>
          </cell>
          <cell r="H753" t="str">
            <v>UGB-UCW10</v>
          </cell>
          <cell r="I753" t="str">
            <v>UGB-UCW09</v>
          </cell>
          <cell r="J753" t="str">
            <v>UGB-UCW08</v>
          </cell>
          <cell r="K753" t="str">
            <v>UGB-UCW07</v>
          </cell>
          <cell r="L753" t="str">
            <v>UGB-UCW06</v>
          </cell>
          <cell r="M753" t="str">
            <v>UGB-UCW05</v>
          </cell>
          <cell r="W753" t="str">
            <v xml:space="preserve">UGB: UTILITIES CHILLED WATER </v>
          </cell>
        </row>
        <row r="754">
          <cell r="A754" t="str">
            <v>UGB: UTILITIES DEBT SERVICE FY15</v>
          </cell>
          <cell r="B754" t="str">
            <v>UGB</v>
          </cell>
          <cell r="C754" t="str">
            <v>UGB-UDS</v>
          </cell>
          <cell r="D754" t="str">
            <v>UGB-UDS14</v>
          </cell>
          <cell r="E754" t="str">
            <v>UGB-UDS13</v>
          </cell>
          <cell r="F754" t="str">
            <v>UGB-UDS12</v>
          </cell>
          <cell r="G754" t="str">
            <v>UGB-UDS11</v>
          </cell>
          <cell r="H754" t="str">
            <v>UGB-UDS10</v>
          </cell>
          <cell r="I754" t="str">
            <v>UGB-UDS09</v>
          </cell>
          <cell r="J754" t="str">
            <v>UGB-UDS08</v>
          </cell>
          <cell r="K754" t="str">
            <v>UGB-UDS07</v>
          </cell>
          <cell r="L754" t="str">
            <v>UGB-UDS06</v>
          </cell>
          <cell r="M754" t="str">
            <v>UGB-UDS05</v>
          </cell>
          <cell r="W754" t="str">
            <v xml:space="preserve">UGB: UTILITIES DEBT SERVICE </v>
          </cell>
        </row>
        <row r="755">
          <cell r="A755" t="str">
            <v>UGB: UTILITIES MAINT FY15</v>
          </cell>
          <cell r="B755">
            <v>0</v>
          </cell>
          <cell r="C755" t="str">
            <v>UGB-UMT</v>
          </cell>
          <cell r="D755" t="str">
            <v>UGB-UMT14</v>
          </cell>
          <cell r="E755" t="str">
            <v>UGB-UMT13</v>
          </cell>
          <cell r="F755" t="str">
            <v>UGB-UMT12</v>
          </cell>
          <cell r="G755" t="str">
            <v>UGB-UMT11</v>
          </cell>
          <cell r="H755" t="str">
            <v>UGB-UMT10</v>
          </cell>
          <cell r="I755" t="str">
            <v>UGB-UMT09</v>
          </cell>
          <cell r="J755" t="str">
            <v>UGB-UMT08</v>
          </cell>
          <cell r="K755" t="str">
            <v>UGB-UMT07</v>
          </cell>
          <cell r="L755" t="str">
            <v>UGB-UMT06</v>
          </cell>
          <cell r="M755" t="str">
            <v>UGB-UMT05</v>
          </cell>
          <cell r="W755" t="str">
            <v xml:space="preserve">UGB: UTILITIES MAINT </v>
          </cell>
        </row>
        <row r="756">
          <cell r="B756" t="str">
            <v>UBG1</v>
          </cell>
          <cell r="F756">
            <v>0</v>
          </cell>
          <cell r="I756" t="e">
            <v>#N/A</v>
          </cell>
          <cell r="J756" t="str">
            <v>UGB1-EL-08</v>
          </cell>
          <cell r="K756" t="str">
            <v>UGB1-EL-07</v>
          </cell>
          <cell r="L756" t="str">
            <v>UGB1-EL-06</v>
          </cell>
          <cell r="M756" t="str">
            <v>UGB1-EL-05</v>
          </cell>
          <cell r="T756">
            <v>2671</v>
          </cell>
          <cell r="U756" t="str">
            <v>UBG1</v>
          </cell>
          <cell r="W756" t="str">
            <v>GAP Galen Athletic Pavilion Construction - Electric (CLOSED 7/07)</v>
          </cell>
          <cell r="X756" t="str">
            <v>N</v>
          </cell>
        </row>
        <row r="757">
          <cell r="A757" t="str">
            <v>UVI: UTILITIES FY15 - GAS/WATER/ELECTRIC</v>
          </cell>
          <cell r="B757" t="str">
            <v>UVI</v>
          </cell>
          <cell r="C757" t="str">
            <v>UVI-EGW</v>
          </cell>
          <cell r="D757" t="str">
            <v>UVI-EGW-14</v>
          </cell>
          <cell r="E757" t="str">
            <v>UVI-EGW-13</v>
          </cell>
          <cell r="F757" t="str">
            <v>UVI-EGW-12</v>
          </cell>
          <cell r="G757" t="str">
            <v>UVI-EGW-11</v>
          </cell>
          <cell r="H757" t="str">
            <v>UVI-EGW-10</v>
          </cell>
          <cell r="I757" t="str">
            <v>UVI-EGW-09</v>
          </cell>
          <cell r="J757" t="str">
            <v>UVI-EGW-08</v>
          </cell>
          <cell r="K757" t="str">
            <v>UVI-EGW-07</v>
          </cell>
          <cell r="L757" t="str">
            <v>UVI-EGW-06</v>
          </cell>
          <cell r="M757" t="str">
            <v>UVI-EGW-05</v>
          </cell>
          <cell r="N757" t="e">
            <v>#N/A</v>
          </cell>
          <cell r="O757" t="str">
            <v>CANCELLED</v>
          </cell>
          <cell r="P757" t="str">
            <v>CANCELLED</v>
          </cell>
          <cell r="Q757" t="str">
            <v>SWO001465</v>
          </cell>
          <cell r="T757" t="str">
            <v>2680</v>
          </cell>
          <cell r="U757" t="str">
            <v>UVI</v>
          </cell>
          <cell r="W757" t="str">
            <v xml:space="preserve">UVI: UTILITIES G/W/E </v>
          </cell>
          <cell r="X757" t="str">
            <v>N</v>
          </cell>
          <cell r="Y757" t="str">
            <v>UVI-B DEMOLISHED 6/30/2014; UVI_A,C,D,E,F,G,H DEMOLISHED 8/2014</v>
          </cell>
        </row>
        <row r="758">
          <cell r="A758" t="str">
            <v>UVI: UTILITIES CHILLED WATER FY15</v>
          </cell>
          <cell r="B758" t="str">
            <v>UVI</v>
          </cell>
          <cell r="C758" t="str">
            <v>UVI-UCW</v>
          </cell>
          <cell r="D758" t="str">
            <v>UVI-UCW14</v>
          </cell>
          <cell r="E758" t="str">
            <v>UVI-UCW13</v>
          </cell>
          <cell r="F758" t="str">
            <v>UVI-UCW12</v>
          </cell>
          <cell r="G758" t="str">
            <v>UVI-UCW11</v>
          </cell>
          <cell r="H758" t="str">
            <v>UVI-UCW10</v>
          </cell>
          <cell r="I758" t="str">
            <v>UVI-UCW09</v>
          </cell>
          <cell r="J758" t="str">
            <v>UVI-UCW08</v>
          </cell>
          <cell r="K758" t="str">
            <v>UVI-UCW07</v>
          </cell>
          <cell r="L758" t="str">
            <v>UVI-UCW06</v>
          </cell>
          <cell r="M758" t="str">
            <v>UVI-UCW05</v>
          </cell>
          <cell r="W758" t="str">
            <v xml:space="preserve">UVI: UTILITIES CHILLED WATER </v>
          </cell>
        </row>
        <row r="759">
          <cell r="A759" t="str">
            <v>UVI: UTILITIES DEBT SERVICE FY15</v>
          </cell>
          <cell r="B759" t="str">
            <v>UVI</v>
          </cell>
          <cell r="C759" t="str">
            <v>UVI-UDS</v>
          </cell>
          <cell r="D759" t="str">
            <v>UVI-UDS14</v>
          </cell>
          <cell r="E759" t="str">
            <v>UVI-UDS13</v>
          </cell>
          <cell r="F759" t="str">
            <v>UVI-UDS12</v>
          </cell>
          <cell r="G759" t="str">
            <v>UVI-UDS11</v>
          </cell>
          <cell r="H759" t="str">
            <v>UVI-UDS10</v>
          </cell>
          <cell r="I759" t="str">
            <v>UVI-UDS09</v>
          </cell>
          <cell r="J759" t="str">
            <v>UVI-UDS08</v>
          </cell>
          <cell r="K759" t="str">
            <v>UVI-UDS07</v>
          </cell>
          <cell r="L759" t="str">
            <v>UVI-UDS06</v>
          </cell>
          <cell r="M759" t="str">
            <v>UVI-UDS05</v>
          </cell>
          <cell r="W759" t="str">
            <v xml:space="preserve">UVI: UTILITIES DEBT SERVICE </v>
          </cell>
        </row>
        <row r="760">
          <cell r="A760" t="str">
            <v>UVI: UTILITIES MAINT FY15</v>
          </cell>
          <cell r="B760">
            <v>0</v>
          </cell>
          <cell r="C760" t="str">
            <v>UVI-UMT</v>
          </cell>
          <cell r="D760" t="str">
            <v>UVI-UMT14</v>
          </cell>
          <cell r="E760" t="str">
            <v>UVI-UMT13</v>
          </cell>
          <cell r="F760" t="str">
            <v>UVI-UMT12</v>
          </cell>
          <cell r="G760" t="str">
            <v>UVI-UMT11</v>
          </cell>
          <cell r="H760" t="str">
            <v>UVI-UMT10</v>
          </cell>
          <cell r="I760" t="str">
            <v>UVI-UMT09</v>
          </cell>
          <cell r="J760" t="str">
            <v>UVI-UMT08</v>
          </cell>
          <cell r="K760" t="str">
            <v>UVI-UMT07</v>
          </cell>
          <cell r="L760" t="str">
            <v>UVI-UMT06</v>
          </cell>
          <cell r="M760" t="str">
            <v>UVI-UMT05</v>
          </cell>
          <cell r="W760" t="str">
            <v xml:space="preserve">UVI: UTILITIES MAINT </v>
          </cell>
        </row>
        <row r="761">
          <cell r="A761" t="str">
            <v>HCC: UTILITIES FY15 - GAS/WATER/ELECTRIC</v>
          </cell>
          <cell r="B761" t="str">
            <v>HCC</v>
          </cell>
          <cell r="C761" t="str">
            <v>HCC-EGW</v>
          </cell>
          <cell r="D761" t="str">
            <v>HCC-EGW-14</v>
          </cell>
          <cell r="E761" t="str">
            <v>HCC-EGW-13</v>
          </cell>
          <cell r="F761" t="str">
            <v>HCC-EGW-12</v>
          </cell>
          <cell r="G761" t="str">
            <v>HCC-EGW-11</v>
          </cell>
          <cell r="H761" t="str">
            <v>HCC-EGW-10</v>
          </cell>
          <cell r="I761" t="str">
            <v>HCC-EGW-09</v>
          </cell>
          <cell r="J761" t="str">
            <v>HCC-EGW-08</v>
          </cell>
          <cell r="K761" t="str">
            <v>HCC-EGW-07</v>
          </cell>
          <cell r="L761" t="str">
            <v>HCC-EGW-06</v>
          </cell>
          <cell r="M761" t="str">
            <v>HCC-EGW-05</v>
          </cell>
          <cell r="N761" t="str">
            <v>SWO003692</v>
          </cell>
          <cell r="T761">
            <v>2690</v>
          </cell>
          <cell r="U761" t="str">
            <v>HCC</v>
          </cell>
          <cell r="W761" t="str">
            <v xml:space="preserve">HCC: UTILITIES G/W/E </v>
          </cell>
          <cell r="X761" t="str">
            <v>N</v>
          </cell>
        </row>
        <row r="762">
          <cell r="A762" t="str">
            <v>HCC: UTILITIES MAINT FY15</v>
          </cell>
          <cell r="B762">
            <v>0</v>
          </cell>
          <cell r="C762" t="str">
            <v>HCC-UMT</v>
          </cell>
          <cell r="D762" t="str">
            <v>HCC-UMT-14</v>
          </cell>
          <cell r="E762" t="str">
            <v>HCC-UMT-13</v>
          </cell>
          <cell r="F762" t="str">
            <v>HCC-UMT-12</v>
          </cell>
          <cell r="G762" t="str">
            <v>HCC-UMT-11</v>
          </cell>
          <cell r="H762" t="str">
            <v>HCC-UMT-10</v>
          </cell>
          <cell r="I762" t="str">
            <v>HCC-UMT-09</v>
          </cell>
          <cell r="J762" t="str">
            <v>HCC-UMT-08</v>
          </cell>
          <cell r="K762" t="str">
            <v>HCC-UMT-07</v>
          </cell>
          <cell r="L762" t="str">
            <v>HCC-UMT-06</v>
          </cell>
          <cell r="M762" t="str">
            <v>HCC-UMT-05</v>
          </cell>
          <cell r="W762" t="str">
            <v xml:space="preserve">HCC: UTILITIES MAINT </v>
          </cell>
        </row>
        <row r="763">
          <cell r="A763" t="str">
            <v>LTS: UTILITIES FY15 - GAS/WATER/ELECTRIC</v>
          </cell>
          <cell r="B763" t="str">
            <v>LTS</v>
          </cell>
          <cell r="C763" t="str">
            <v>LTS-EGW</v>
          </cell>
          <cell r="D763" t="str">
            <v>LTS-EGW-14</v>
          </cell>
          <cell r="E763" t="str">
            <v>LTS-EGW-13</v>
          </cell>
          <cell r="F763" t="str">
            <v>LTS-EGW-12</v>
          </cell>
          <cell r="G763" t="str">
            <v>LTS-EGW-11</v>
          </cell>
          <cell r="H763" t="str">
            <v>LTS-EGW-10</v>
          </cell>
          <cell r="I763" t="str">
            <v>LTS-EGW-09</v>
          </cell>
          <cell r="J763" t="str">
            <v>LTS-EGW-08</v>
          </cell>
          <cell r="K763" t="str">
            <v>LTS-EGW-07</v>
          </cell>
          <cell r="L763" t="str">
            <v>LTS-EGW-06</v>
          </cell>
          <cell r="M763" t="str">
            <v>LTS-EGW-05</v>
          </cell>
          <cell r="N763" t="str">
            <v>SWO003190</v>
          </cell>
          <cell r="O763" t="str">
            <v>SWO001831</v>
          </cell>
          <cell r="P763" t="str">
            <v>SWO001831</v>
          </cell>
          <cell r="T763" t="str">
            <v>2760</v>
          </cell>
          <cell r="U763" t="str">
            <v>LTS</v>
          </cell>
          <cell r="W763" t="str">
            <v xml:space="preserve">LTS: UTILITIES G/W/E </v>
          </cell>
          <cell r="X763" t="str">
            <v>N</v>
          </cell>
        </row>
        <row r="764">
          <cell r="A764" t="str">
            <v>LTS: UTILITIES CHILLED WATER FY15</v>
          </cell>
          <cell r="B764" t="str">
            <v>LTS</v>
          </cell>
          <cell r="C764" t="str">
            <v>LTS-UCW</v>
          </cell>
          <cell r="D764" t="str">
            <v>LTS-UCW14</v>
          </cell>
          <cell r="E764" t="str">
            <v>LTS-UCW13</v>
          </cell>
          <cell r="F764" t="str">
            <v>LTS-UCW12</v>
          </cell>
          <cell r="G764" t="str">
            <v>LTS-UCW11</v>
          </cell>
          <cell r="H764" t="str">
            <v>LTS-UCW10</v>
          </cell>
          <cell r="I764" t="str">
            <v>LTS-UCW09</v>
          </cell>
          <cell r="J764" t="str">
            <v>LTS-UCW08</v>
          </cell>
          <cell r="K764" t="str">
            <v>LTS-UCW07</v>
          </cell>
          <cell r="L764" t="str">
            <v>LTS-UCW06</v>
          </cell>
          <cell r="M764" t="str">
            <v>LTS-UCW05</v>
          </cell>
          <cell r="W764" t="str">
            <v xml:space="preserve">LTS: UTILITIES CHILLED WATER </v>
          </cell>
        </row>
        <row r="765">
          <cell r="A765" t="str">
            <v>LTS: UTILITIES DEBT SERVICE FY15</v>
          </cell>
          <cell r="B765" t="str">
            <v>LTS</v>
          </cell>
          <cell r="C765" t="str">
            <v>LTS-UDS</v>
          </cell>
          <cell r="D765" t="str">
            <v>LTS-UDS14</v>
          </cell>
          <cell r="E765" t="str">
            <v>LTS-UDS13</v>
          </cell>
          <cell r="F765" t="str">
            <v>LTS-UDS12</v>
          </cell>
          <cell r="G765" t="str">
            <v>LTS-UDS11</v>
          </cell>
          <cell r="H765" t="str">
            <v>LTS-UDS10</v>
          </cell>
          <cell r="I765" t="str">
            <v>LTS-UDS09</v>
          </cell>
          <cell r="J765" t="str">
            <v>LTS-UDS08</v>
          </cell>
          <cell r="K765" t="str">
            <v>LTS-UDS07</v>
          </cell>
          <cell r="L765" t="str">
            <v>LTS-UDS06</v>
          </cell>
          <cell r="M765" t="str">
            <v>LTS-UDS05</v>
          </cell>
          <cell r="W765" t="str">
            <v xml:space="preserve">LTS: UTILITIES DEBT SERVICE </v>
          </cell>
        </row>
        <row r="766">
          <cell r="A766" t="str">
            <v>LTS: UTILITIES FY15 - GAS/WATER/ELECTRIC</v>
          </cell>
          <cell r="B766" t="str">
            <v>LTS</v>
          </cell>
          <cell r="C766" t="str">
            <v>LTS-EGW</v>
          </cell>
          <cell r="D766" t="str">
            <v>LTS-EGW-14</v>
          </cell>
          <cell r="E766" t="str">
            <v>LTS-EGW-13</v>
          </cell>
          <cell r="F766" t="str">
            <v>LTS-EGW-12</v>
          </cell>
          <cell r="G766" t="str">
            <v>LTS-EGW-11</v>
          </cell>
          <cell r="H766" t="str">
            <v>LTS-EGW-10</v>
          </cell>
          <cell r="I766" t="str">
            <v>LTS-EGW-09</v>
          </cell>
          <cell r="J766" t="str">
            <v>LTS-EGW-08</v>
          </cell>
          <cell r="K766" t="str">
            <v>LTS-EGW-07</v>
          </cell>
          <cell r="L766" t="str">
            <v>LTS-EGW-06</v>
          </cell>
          <cell r="M766" t="str">
            <v>LTS-EGW-05</v>
          </cell>
          <cell r="W766" t="str">
            <v xml:space="preserve">LTS: UTILITIES G/W/E </v>
          </cell>
        </row>
        <row r="767">
          <cell r="A767" t="str">
            <v>IRC: UTILITIES FY15 - ELECTRIC</v>
          </cell>
          <cell r="B767" t="str">
            <v>IRC</v>
          </cell>
          <cell r="C767" t="str">
            <v>IRC-ELC</v>
          </cell>
          <cell r="D767" t="str">
            <v>IRC-ELC-14</v>
          </cell>
          <cell r="E767" t="str">
            <v>IRC-ELC-13</v>
          </cell>
          <cell r="F767" t="str">
            <v>IRC-ELC-12</v>
          </cell>
          <cell r="G767" t="str">
            <v>IRC-ELC-11</v>
          </cell>
          <cell r="H767" t="str">
            <v>IRC-ELC-10</v>
          </cell>
          <cell r="I767" t="str">
            <v>IRC-ELC-09</v>
          </cell>
          <cell r="J767" t="str">
            <v>IRC-ELC-08</v>
          </cell>
          <cell r="K767" t="str">
            <v>IRC-ELC-07</v>
          </cell>
          <cell r="L767" t="str">
            <v>SWO008972</v>
          </cell>
          <cell r="M767" t="str">
            <v>SWO006051</v>
          </cell>
          <cell r="N767" t="str">
            <v>SWO003419</v>
          </cell>
          <cell r="O767" t="str">
            <v>SWO002545</v>
          </cell>
          <cell r="P767" t="str">
            <v>SWO001806</v>
          </cell>
          <cell r="T767" t="str">
            <v>2770</v>
          </cell>
          <cell r="U767" t="str">
            <v>IRC</v>
          </cell>
          <cell r="W767" t="str">
            <v>International Residence Center - Electric</v>
          </cell>
          <cell r="X767" t="str">
            <v>Y</v>
          </cell>
          <cell r="Y767" t="str">
            <v>17-8701-0329</v>
          </cell>
          <cell r="Z767">
            <v>20215</v>
          </cell>
        </row>
        <row r="768">
          <cell r="A768" t="str">
            <v>IRC: UTILITIES FY15 - GAS</v>
          </cell>
          <cell r="B768" t="str">
            <v>IRC</v>
          </cell>
          <cell r="C768" t="str">
            <v>IRC-GAS</v>
          </cell>
          <cell r="D768" t="str">
            <v>IRC-GAS-14</v>
          </cell>
          <cell r="E768" t="str">
            <v>IRC-GAS-13</v>
          </cell>
          <cell r="F768" t="str">
            <v>IRC-GAS-12</v>
          </cell>
          <cell r="G768" t="str">
            <v>IRC-GAS-11</v>
          </cell>
          <cell r="H768" t="str">
            <v>IRC-GAS-10</v>
          </cell>
          <cell r="I768" t="str">
            <v>IRC-GAS-09</v>
          </cell>
          <cell r="J768" t="str">
            <v>IRC-GAS-08</v>
          </cell>
          <cell r="W768" t="str">
            <v>International Residence Center - Gas</v>
          </cell>
        </row>
        <row r="769">
          <cell r="A769" t="str">
            <v>IRC: UTILITIES FY15 - WATER</v>
          </cell>
          <cell r="B769" t="str">
            <v>IRC</v>
          </cell>
          <cell r="C769" t="str">
            <v>IRC-WTR</v>
          </cell>
          <cell r="D769" t="str">
            <v>IRC-WTR-14</v>
          </cell>
          <cell r="E769" t="str">
            <v>IRC-WTR-13</v>
          </cell>
          <cell r="F769" t="str">
            <v>IRC-WTR-12</v>
          </cell>
          <cell r="G769" t="str">
            <v>IRC-WTR-11</v>
          </cell>
          <cell r="H769" t="str">
            <v>IRC-WTR-10</v>
          </cell>
          <cell r="I769" t="str">
            <v>IRC-WTR-09</v>
          </cell>
          <cell r="J769" t="str">
            <v>IRC-WTR-08</v>
          </cell>
          <cell r="K769" t="str">
            <v>IRC-WTR-07</v>
          </cell>
          <cell r="L769" t="str">
            <v>SWO008971</v>
          </cell>
          <cell r="M769" t="str">
            <v>SWO005994</v>
          </cell>
          <cell r="N769" t="str">
            <v>SWO003420</v>
          </cell>
          <cell r="O769" t="str">
            <v>SWO002543</v>
          </cell>
          <cell r="P769" t="str">
            <v>SWO001804</v>
          </cell>
          <cell r="W769" t="str">
            <v>International Residence Center (IRC) - Water</v>
          </cell>
          <cell r="X769" t="str">
            <v>Y</v>
          </cell>
          <cell r="Y769" t="str">
            <v>17-8701-0329</v>
          </cell>
          <cell r="Z769">
            <v>20212</v>
          </cell>
        </row>
        <row r="770">
          <cell r="A770" t="str">
            <v>IRC: UTILITIES CHILLED WATER FY15</v>
          </cell>
          <cell r="B770" t="str">
            <v>IRC</v>
          </cell>
          <cell r="C770" t="str">
            <v>IRC-UCW</v>
          </cell>
          <cell r="D770" t="str">
            <v>IRC-UCW14</v>
          </cell>
          <cell r="E770" t="str">
            <v>IRC-UCW13</v>
          </cell>
          <cell r="F770" t="str">
            <v>IRC-UCW12</v>
          </cell>
          <cell r="G770" t="str">
            <v>IRC-UCW11</v>
          </cell>
          <cell r="H770" t="str">
            <v>IRC-UCW10</v>
          </cell>
          <cell r="I770" t="str">
            <v>IRC-UCW09</v>
          </cell>
          <cell r="J770" t="str">
            <v>IRC-UCW08</v>
          </cell>
          <cell r="K770" t="str">
            <v>IRC-UCW07</v>
          </cell>
          <cell r="L770" t="str">
            <v>IRC-UCW06</v>
          </cell>
          <cell r="M770" t="str">
            <v>IRC-UCW05</v>
          </cell>
          <cell r="W770" t="str">
            <v xml:space="preserve">IRC: UTILITIES CHILLED WATER </v>
          </cell>
        </row>
        <row r="771">
          <cell r="A771" t="str">
            <v>IRC: UTILITIES DEBT SERVICE FY15</v>
          </cell>
          <cell r="B771" t="str">
            <v>IRC</v>
          </cell>
          <cell r="C771" t="str">
            <v>IRC-UDS</v>
          </cell>
          <cell r="D771" t="str">
            <v>IRC-UDS14</v>
          </cell>
          <cell r="E771" t="str">
            <v>IRC-UDS13</v>
          </cell>
          <cell r="F771" t="str">
            <v>IRC-UDS12</v>
          </cell>
          <cell r="G771" t="str">
            <v>IRC-UDS11</v>
          </cell>
          <cell r="H771" t="str">
            <v>IRC-UDS10</v>
          </cell>
          <cell r="I771" t="str">
            <v>IRC-UDS09</v>
          </cell>
          <cell r="J771" t="str">
            <v>IRC-UDS08</v>
          </cell>
          <cell r="K771" t="str">
            <v>IRC-UDS07</v>
          </cell>
          <cell r="L771" t="str">
            <v>IRC-UDS06</v>
          </cell>
          <cell r="M771" t="str">
            <v>IRC-UDS05</v>
          </cell>
          <cell r="W771" t="str">
            <v xml:space="preserve">IRC: UTILITIES DEBT SERVICE </v>
          </cell>
        </row>
        <row r="772">
          <cell r="A772" t="str">
            <v>IRC: UTILITIES MAINT FY15</v>
          </cell>
          <cell r="B772">
            <v>0</v>
          </cell>
          <cell r="C772" t="str">
            <v>IRC-UMT</v>
          </cell>
          <cell r="D772" t="str">
            <v>IRC-UMT14</v>
          </cell>
          <cell r="E772" t="str">
            <v>IRC-UMT13</v>
          </cell>
          <cell r="F772" t="str">
            <v>IRC-UMT12</v>
          </cell>
          <cell r="G772" t="str">
            <v>IRC-UMT11</v>
          </cell>
          <cell r="H772" t="str">
            <v>IRC-UMT10</v>
          </cell>
          <cell r="I772" t="str">
            <v>IRC-UMT09</v>
          </cell>
          <cell r="J772" t="str">
            <v>IRC-UMT08</v>
          </cell>
          <cell r="K772" t="str">
            <v>IRC-UMT07</v>
          </cell>
          <cell r="L772" t="str">
            <v>IRC-UMT06</v>
          </cell>
          <cell r="M772" t="str">
            <v>IRC-UMT05</v>
          </cell>
          <cell r="W772" t="str">
            <v xml:space="preserve">IRC: UTILITIES MAINT </v>
          </cell>
        </row>
        <row r="773">
          <cell r="A773" t="str">
            <v>IRC1: UTILITIES FY15 - ELECTRIC</v>
          </cell>
          <cell r="B773" t="str">
            <v>IRC1</v>
          </cell>
          <cell r="C773" t="str">
            <v>IRC1-ELC</v>
          </cell>
          <cell r="D773" t="str">
            <v>IRC1-ELC14</v>
          </cell>
          <cell r="E773" t="str">
            <v>IRC1-ELC13</v>
          </cell>
          <cell r="F773" t="str">
            <v>IRC1-ELC12</v>
          </cell>
          <cell r="G773" t="str">
            <v>IRC1-ELC11</v>
          </cell>
          <cell r="H773" t="str">
            <v>IRC1-ELC10</v>
          </cell>
          <cell r="I773" t="str">
            <v>IRC1-ELC09</v>
          </cell>
          <cell r="J773" t="str">
            <v>IRC1-ELC08</v>
          </cell>
          <cell r="K773" t="str">
            <v>IRC1-ELC07</v>
          </cell>
          <cell r="L773" t="str">
            <v>SWO008964</v>
          </cell>
          <cell r="M773" t="str">
            <v>SWO005996</v>
          </cell>
          <cell r="N773" t="str">
            <v>SWO003457</v>
          </cell>
          <cell r="O773" t="str">
            <v>SWO002564</v>
          </cell>
          <cell r="T773" t="str">
            <v>2771</v>
          </cell>
          <cell r="U773" t="str">
            <v>IRC1</v>
          </cell>
          <cell r="W773" t="str">
            <v>Internationally Themed Resid College Dining - Electric</v>
          </cell>
          <cell r="X773" t="str">
            <v>Y</v>
          </cell>
          <cell r="Y773" t="str">
            <v>17-8200-0300</v>
          </cell>
          <cell r="Z773">
            <v>20215</v>
          </cell>
        </row>
        <row r="774">
          <cell r="A774" t="str">
            <v>IRC1: UTILITIES FY15 - GAS</v>
          </cell>
          <cell r="B774" t="str">
            <v>IRC2</v>
          </cell>
          <cell r="C774" t="str">
            <v>IRC1-GAS</v>
          </cell>
          <cell r="D774" t="str">
            <v>IRC1-GAS14</v>
          </cell>
          <cell r="E774" t="str">
            <v>IRC1-GAS13</v>
          </cell>
          <cell r="F774" t="str">
            <v>IRC1-GAS12</v>
          </cell>
          <cell r="G774" t="str">
            <v>IRC1-GAS11</v>
          </cell>
          <cell r="H774" t="str">
            <v>IRC1-GAS10</v>
          </cell>
          <cell r="I774" t="str">
            <v>IRC1-GAS09</v>
          </cell>
          <cell r="J774" t="str">
            <v>IRC1-GAS08</v>
          </cell>
          <cell r="K774" t="str">
            <v>IRC1-GAS07</v>
          </cell>
          <cell r="L774" t="str">
            <v>SWO008963</v>
          </cell>
          <cell r="M774" t="str">
            <v>SWO005997</v>
          </cell>
          <cell r="N774" t="str">
            <v>SWO003458</v>
          </cell>
          <cell r="O774" t="str">
            <v>SWO002565</v>
          </cell>
          <cell r="W774" t="str">
            <v>Internationally Themed Resid College Dining  - Gas</v>
          </cell>
          <cell r="X774" t="str">
            <v>Y</v>
          </cell>
          <cell r="Y774" t="str">
            <v>17-8200-0300</v>
          </cell>
          <cell r="Z774">
            <v>20211</v>
          </cell>
        </row>
        <row r="775">
          <cell r="A775" t="str">
            <v>IRC1: UTILITIES FY15 - WATER</v>
          </cell>
          <cell r="B775" t="str">
            <v>IRC3</v>
          </cell>
          <cell r="C775" t="str">
            <v>IRC1-WTR</v>
          </cell>
          <cell r="D775" t="str">
            <v>IRC1-WTR14</v>
          </cell>
          <cell r="E775" t="str">
            <v>IRC1-WTR13</v>
          </cell>
          <cell r="F775" t="str">
            <v>IRC1-WTR12</v>
          </cell>
          <cell r="G775" t="str">
            <v>IRC1-WTR11</v>
          </cell>
          <cell r="H775" t="str">
            <v>IRC1-WTR10</v>
          </cell>
          <cell r="I775" t="str">
            <v>IRC1-WTR09</v>
          </cell>
          <cell r="J775" t="str">
            <v>IRC1-WTR08</v>
          </cell>
          <cell r="K775" t="str">
            <v>IRC1-WTR07</v>
          </cell>
          <cell r="L775" t="str">
            <v>SWO008962</v>
          </cell>
          <cell r="M775" t="str">
            <v>SWO005995</v>
          </cell>
          <cell r="N775" t="str">
            <v>SWO003459</v>
          </cell>
          <cell r="O775" t="str">
            <v>SWO002566</v>
          </cell>
          <cell r="W775" t="str">
            <v>Internationally Themed Resid College Dining  - Water</v>
          </cell>
          <cell r="X775" t="str">
            <v>Y</v>
          </cell>
          <cell r="Y775" t="str">
            <v>17-8200-0300</v>
          </cell>
          <cell r="Z775">
            <v>20212</v>
          </cell>
        </row>
        <row r="776">
          <cell r="A776" t="str">
            <v>IRC2: UTILITIES FY15 - GAS/WATER/ELECTRIC</v>
          </cell>
          <cell r="B776" t="str">
            <v>IRC2</v>
          </cell>
          <cell r="C776" t="str">
            <v>IRC2-EGW</v>
          </cell>
          <cell r="D776" t="str">
            <v>IRC2-EGW14</v>
          </cell>
          <cell r="E776" t="str">
            <v>IRC2-EGW13</v>
          </cell>
          <cell r="F776" t="str">
            <v>IRC2-EGW12</v>
          </cell>
          <cell r="G776" t="str">
            <v>IRC2-EGW11</v>
          </cell>
          <cell r="H776" t="str">
            <v>IRC2-EGW10</v>
          </cell>
          <cell r="I776" t="str">
            <v>IRC2-EGW09</v>
          </cell>
          <cell r="T776" t="str">
            <v>2772</v>
          </cell>
          <cell r="U776" t="str">
            <v>IRC2</v>
          </cell>
          <cell r="W776" t="str">
            <v>IRC - TEMPORARY CHILLER PLANT</v>
          </cell>
        </row>
        <row r="777">
          <cell r="B777" t="str">
            <v>CTP</v>
          </cell>
          <cell r="F777">
            <v>0</v>
          </cell>
          <cell r="J777" t="str">
            <v>CTP-EGW-08</v>
          </cell>
          <cell r="K777" t="str">
            <v>CTP-EGW-07</v>
          </cell>
          <cell r="L777" t="str">
            <v>CTP-EGW-06</v>
          </cell>
          <cell r="M777" t="str">
            <v>CTP-EGW-05</v>
          </cell>
          <cell r="N777" t="str">
            <v>SWO003124</v>
          </cell>
          <cell r="O777" t="str">
            <v>SWO002569</v>
          </cell>
          <cell r="T777" t="str">
            <v>2790</v>
          </cell>
          <cell r="U777" t="str">
            <v>CTP</v>
          </cell>
          <cell r="W777" t="str">
            <v>CTP: UTILITIES G/W/E  - CANCELLED 7/2/07 KW</v>
          </cell>
          <cell r="X777" t="str">
            <v>N</v>
          </cell>
        </row>
        <row r="778">
          <cell r="A778" t="str">
            <v>CAL: UTILITIES FY15 - GAS/WATER/ELECTRIC</v>
          </cell>
          <cell r="B778" t="str">
            <v>CAL</v>
          </cell>
          <cell r="C778" t="str">
            <v>CAL-EGW</v>
          </cell>
          <cell r="D778" t="str">
            <v>CAL-EGW-14</v>
          </cell>
          <cell r="E778" t="str">
            <v>CAL-EGW-13</v>
          </cell>
          <cell r="F778" t="str">
            <v>CAL-EGW-12</v>
          </cell>
          <cell r="G778" t="str">
            <v>CAL-EGW-11</v>
          </cell>
          <cell r="H778" t="str">
            <v>CAL-EGW-10</v>
          </cell>
          <cell r="I778" t="str">
            <v>CAL-EGW-09</v>
          </cell>
          <cell r="J778" t="str">
            <v>CAL-EGW-08</v>
          </cell>
          <cell r="K778" t="str">
            <v>CAL-EGW-07</v>
          </cell>
          <cell r="L778" t="str">
            <v>CAL-EGW-06</v>
          </cell>
          <cell r="M778" t="str">
            <v>CAL-EGW-05</v>
          </cell>
          <cell r="N778" t="str">
            <v>SWO003108</v>
          </cell>
          <cell r="T778" t="str">
            <v>2810</v>
          </cell>
          <cell r="U778" t="str">
            <v>CAL</v>
          </cell>
          <cell r="W778" t="str">
            <v xml:space="preserve">CAL: UTILITIES G/W/E </v>
          </cell>
        </row>
        <row r="779">
          <cell r="A779" t="str">
            <v>CAL: UTILITIES CHILLED WATER FY15</v>
          </cell>
          <cell r="B779" t="str">
            <v>CAL</v>
          </cell>
          <cell r="C779" t="str">
            <v>CAL-UCW</v>
          </cell>
          <cell r="D779" t="str">
            <v>CAL-UCW14</v>
          </cell>
          <cell r="E779" t="str">
            <v>CAL-UCW13</v>
          </cell>
          <cell r="F779" t="str">
            <v>CAL-UCW12</v>
          </cell>
          <cell r="G779" t="str">
            <v>CAL-UCW11</v>
          </cell>
          <cell r="H779" t="str">
            <v>CAL-UCW10</v>
          </cell>
          <cell r="I779" t="str">
            <v>CAL-UCW09</v>
          </cell>
          <cell r="J779" t="str">
            <v>CAL-UCW08</v>
          </cell>
          <cell r="K779" t="str">
            <v>CAL-UCW07</v>
          </cell>
          <cell r="L779" t="str">
            <v>CAL-UCW06</v>
          </cell>
          <cell r="M779" t="str">
            <v>CAL-UCW05</v>
          </cell>
          <cell r="W779" t="str">
            <v xml:space="preserve">CAL: UTILITIES CHILLED WATER </v>
          </cell>
        </row>
        <row r="780">
          <cell r="A780" t="str">
            <v>CAL: UTILITIES DEBT SERVICE FY15</v>
          </cell>
          <cell r="B780" t="str">
            <v>CAL</v>
          </cell>
          <cell r="C780" t="str">
            <v>CAL-UDS</v>
          </cell>
          <cell r="D780" t="str">
            <v>CAL-UDS14</v>
          </cell>
          <cell r="E780" t="str">
            <v>CAL-UDS13</v>
          </cell>
          <cell r="F780" t="str">
            <v>CAL-UDS12</v>
          </cell>
          <cell r="G780" t="str">
            <v>CAL-UDS11</v>
          </cell>
          <cell r="H780" t="str">
            <v>CAL-UDS10</v>
          </cell>
          <cell r="I780" t="str">
            <v>CAL-UDS09</v>
          </cell>
          <cell r="J780" t="str">
            <v>CAL-UDS08</v>
          </cell>
          <cell r="K780" t="str">
            <v>CAL-UDS07</v>
          </cell>
          <cell r="L780" t="str">
            <v>CAL-UDS06</v>
          </cell>
          <cell r="M780" t="str">
            <v>CAL-UDS05</v>
          </cell>
          <cell r="W780" t="str">
            <v xml:space="preserve">CAL: UTILITIES DEBT SERVICE </v>
          </cell>
        </row>
        <row r="781">
          <cell r="A781" t="str">
            <v>CAL: UTILITIES FY15 - GAS/WATER/ELECTRIC</v>
          </cell>
          <cell r="B781" t="str">
            <v>CAL</v>
          </cell>
          <cell r="C781" t="str">
            <v>CAL-EGW</v>
          </cell>
          <cell r="D781" t="str">
            <v>CAL-EGW-14</v>
          </cell>
          <cell r="E781" t="str">
            <v>CAL-EGW-13</v>
          </cell>
          <cell r="F781" t="str">
            <v>CAL-EGW-12</v>
          </cell>
          <cell r="G781" t="str">
            <v>CAL-EGW-11</v>
          </cell>
          <cell r="H781" t="str">
            <v>CAL-EGW-10</v>
          </cell>
          <cell r="I781" t="str">
            <v>CAL-EGW-09</v>
          </cell>
          <cell r="J781" t="str">
            <v>CAL-EGW-08</v>
          </cell>
          <cell r="K781" t="str">
            <v>CAL-EGW-07</v>
          </cell>
          <cell r="L781" t="str">
            <v>CAL-EGW-06</v>
          </cell>
          <cell r="M781" t="str">
            <v>CAL-EGW-05</v>
          </cell>
          <cell r="W781" t="str">
            <v xml:space="preserve">CAL: UTILITIES G/W/E </v>
          </cell>
        </row>
        <row r="782">
          <cell r="A782" t="str">
            <v>CAL1: UTILITIES FY15 - ELECTRIC</v>
          </cell>
          <cell r="B782" t="str">
            <v>CAL</v>
          </cell>
          <cell r="C782" t="str">
            <v>CAL1NELC</v>
          </cell>
          <cell r="D782" t="str">
            <v>CAL1NELC14</v>
          </cell>
          <cell r="E782" t="str">
            <v>CAL1NELC13</v>
          </cell>
          <cell r="F782" t="str">
            <v>CAL1NELC12</v>
          </cell>
          <cell r="G782" t="str">
            <v>CAL1NELC11</v>
          </cell>
          <cell r="H782" t="str">
            <v>CAL1NELC10</v>
          </cell>
          <cell r="T782">
            <v>2811</v>
          </cell>
          <cell r="W782" t="str">
            <v>CAL1: UTILITIES - ELECTRIC</v>
          </cell>
        </row>
        <row r="783">
          <cell r="A783" t="str">
            <v>CAL1: UTILITIES FY15 - WATER</v>
          </cell>
          <cell r="B783" t="str">
            <v>CAL1</v>
          </cell>
          <cell r="C783" t="str">
            <v>CAL1NWTR</v>
          </cell>
          <cell r="D783" t="str">
            <v>CAL1NWTR14</v>
          </cell>
          <cell r="E783" t="str">
            <v>CAL1NWTR13</v>
          </cell>
          <cell r="F783" t="str">
            <v>CAL1NWTR12</v>
          </cell>
          <cell r="G783" t="str">
            <v>CAL1NWTR11</v>
          </cell>
          <cell r="H783" t="str">
            <v>CAL1NWTR10</v>
          </cell>
          <cell r="W783" t="str">
            <v>CAL1: UTILITIES  - WATER</v>
          </cell>
        </row>
        <row r="784">
          <cell r="A784" t="str">
            <v>ZNI: UTILITIES FY15 - ELECTRIC ONLY</v>
          </cell>
          <cell r="B784" t="str">
            <v>ZNI</v>
          </cell>
          <cell r="C784" t="str">
            <v>ZNI-ELC</v>
          </cell>
          <cell r="D784" t="str">
            <v>ZNI-ELC-14</v>
          </cell>
          <cell r="E784" t="str">
            <v>ZNI-ELC-13</v>
          </cell>
          <cell r="F784" t="str">
            <v>ZNI-ELC-12</v>
          </cell>
          <cell r="G784" t="str">
            <v>ZNI-ELC-11</v>
          </cell>
          <cell r="H784" t="str">
            <v>ZNI-ELC-10</v>
          </cell>
          <cell r="I784" t="str">
            <v>ZNI-ELC-09</v>
          </cell>
          <cell r="J784" t="str">
            <v>ZNI-ELC-08</v>
          </cell>
          <cell r="K784" t="str">
            <v>ZNI-ELC-07</v>
          </cell>
          <cell r="L784" t="str">
            <v>ZNI-ELC-06</v>
          </cell>
          <cell r="M784" t="str">
            <v>ZNI-ELC-05</v>
          </cell>
          <cell r="N784" t="str">
            <v>SWO003281</v>
          </cell>
          <cell r="O784" t="str">
            <v>SWO002774</v>
          </cell>
          <cell r="T784" t="str">
            <v>2820</v>
          </cell>
          <cell r="U784" t="str">
            <v>ZNI</v>
          </cell>
          <cell r="V784" t="str">
            <v>HSC</v>
          </cell>
          <cell r="W784" t="str">
            <v>ZNI: UTILITIES G/W/E  - ELECTRIC ONLY</v>
          </cell>
          <cell r="X784" t="str">
            <v>N</v>
          </cell>
        </row>
        <row r="785">
          <cell r="A785" t="str">
            <v>ZNI: UTILITIES FY15 - GAS ONLY</v>
          </cell>
          <cell r="B785" t="str">
            <v>ZNI</v>
          </cell>
          <cell r="C785" t="str">
            <v>ZNI-GAS</v>
          </cell>
          <cell r="D785" t="str">
            <v>ZNI-GAS-14</v>
          </cell>
          <cell r="E785" t="str">
            <v>ZNI-GAS-13</v>
          </cell>
          <cell r="F785" t="str">
            <v>ZNI-GAS-12</v>
          </cell>
          <cell r="G785" t="str">
            <v>ZNI-GAS-11</v>
          </cell>
          <cell r="H785" t="str">
            <v>ZNI-GAS-10</v>
          </cell>
          <cell r="I785" t="str">
            <v>ZNI-GAS-09</v>
          </cell>
          <cell r="J785" t="str">
            <v>ZNI-GAS-08</v>
          </cell>
          <cell r="K785" t="str">
            <v>ZNI-GAS-07</v>
          </cell>
          <cell r="L785" t="str">
            <v>ZNI-GAS-06</v>
          </cell>
          <cell r="M785" t="str">
            <v>ZNI-GAS-05</v>
          </cell>
          <cell r="N785" t="str">
            <v>SWO003282</v>
          </cell>
          <cell r="O785" t="str">
            <v>SWO002772</v>
          </cell>
          <cell r="V785" t="str">
            <v>HSC</v>
          </cell>
          <cell r="W785" t="str">
            <v>ZNI: UTILITIES G/W/E  - GAS ONLY</v>
          </cell>
          <cell r="X785" t="str">
            <v>N</v>
          </cell>
        </row>
        <row r="786">
          <cell r="A786" t="str">
            <v>ZNI: UTILITIES FY15 - WATER ONLY</v>
          </cell>
          <cell r="B786" t="str">
            <v>ZNI</v>
          </cell>
          <cell r="C786" t="str">
            <v>ZNI-WTR</v>
          </cell>
          <cell r="D786" t="str">
            <v>ZNI-WTR-14</v>
          </cell>
          <cell r="E786" t="str">
            <v>ZNI-WTR-13</v>
          </cell>
          <cell r="F786" t="str">
            <v>ZNI-WTR-12</v>
          </cell>
          <cell r="G786" t="str">
            <v>ZNI-WTR-11</v>
          </cell>
          <cell r="H786" t="str">
            <v>ZNI-WTR-10</v>
          </cell>
          <cell r="I786" t="str">
            <v>ZNI-WTR-09</v>
          </cell>
          <cell r="J786" t="str">
            <v>ZNI-WTR-08</v>
          </cell>
          <cell r="K786" t="str">
            <v>ZNI-WTR-07</v>
          </cell>
          <cell r="L786" t="str">
            <v>ZNI-WTR-06</v>
          </cell>
          <cell r="M786" t="str">
            <v>ZNI-WTR-05</v>
          </cell>
          <cell r="N786" t="str">
            <v>SWO003283</v>
          </cell>
          <cell r="O786" t="str">
            <v>SWO002773</v>
          </cell>
          <cell r="V786" t="str">
            <v>HSC</v>
          </cell>
          <cell r="W786" t="str">
            <v>ZNI: UTILITIES G/W/E  - WATER ONLY</v>
          </cell>
          <cell r="X786" t="str">
            <v>N</v>
          </cell>
        </row>
        <row r="787">
          <cell r="A787" t="str">
            <v>ZNI: UTILITIES CHILLED WATER FY15</v>
          </cell>
          <cell r="B787" t="str">
            <v>ZNI</v>
          </cell>
          <cell r="C787" t="str">
            <v>ZNI-UCW</v>
          </cell>
          <cell r="D787" t="str">
            <v>ZNI-UCW14</v>
          </cell>
          <cell r="E787" t="str">
            <v>ZNI-UCW13</v>
          </cell>
          <cell r="F787" t="str">
            <v>ZNI-UCW12</v>
          </cell>
          <cell r="G787" t="str">
            <v>ZNI-UCW11</v>
          </cell>
          <cell r="H787" t="str">
            <v>ZNI-UCW10</v>
          </cell>
          <cell r="I787" t="str">
            <v>ZNI-UCW09</v>
          </cell>
          <cell r="J787" t="str">
            <v>ZNI-UCW08</v>
          </cell>
          <cell r="K787" t="str">
            <v>ZNI-UCW07</v>
          </cell>
          <cell r="L787" t="str">
            <v>ZNI-UCW06</v>
          </cell>
          <cell r="M787" t="str">
            <v>ZNI-UCW05</v>
          </cell>
          <cell r="W787" t="str">
            <v xml:space="preserve">ZNI: UTILITIES CHILLED WATER </v>
          </cell>
        </row>
        <row r="788">
          <cell r="A788" t="str">
            <v>ZNI: UTILITIES DEBT SERVICE FY15</v>
          </cell>
          <cell r="B788" t="str">
            <v>ZNI</v>
          </cell>
          <cell r="C788" t="str">
            <v>ZNI-UDS</v>
          </cell>
          <cell r="D788" t="str">
            <v>ZNI-UDS14</v>
          </cell>
          <cell r="E788" t="str">
            <v>ZNI-UDS13</v>
          </cell>
          <cell r="F788" t="str">
            <v>ZNI-UDS12</v>
          </cell>
          <cell r="G788" t="str">
            <v>ZNI-UDS11</v>
          </cell>
          <cell r="H788" t="str">
            <v>ZNI-UDS10</v>
          </cell>
          <cell r="I788" t="str">
            <v>ZNI-UDS09</v>
          </cell>
          <cell r="J788" t="str">
            <v>ZNI-UDS08</v>
          </cell>
          <cell r="K788" t="str">
            <v>ZNI-UDS07</v>
          </cell>
          <cell r="L788" t="str">
            <v>ZNI-UDS06</v>
          </cell>
          <cell r="M788" t="str">
            <v>ZNI-UDS05</v>
          </cell>
          <cell r="W788" t="str">
            <v xml:space="preserve">ZNI: UTILITIES DEBT SERVICE </v>
          </cell>
        </row>
        <row r="789">
          <cell r="A789" t="str">
            <v>ZNI: UTILITIES FY15 - WATER ONLY</v>
          </cell>
          <cell r="B789" t="str">
            <v>ZNI</v>
          </cell>
          <cell r="C789" t="str">
            <v>ZNI-WTR</v>
          </cell>
          <cell r="D789" t="str">
            <v>ZNI-WTR-14</v>
          </cell>
          <cell r="E789" t="str">
            <v>ZNI-WTR-13</v>
          </cell>
          <cell r="F789" t="str">
            <v>ZNI-WTR-12</v>
          </cell>
          <cell r="G789" t="str">
            <v>ZNI-WTR-11</v>
          </cell>
          <cell r="H789" t="str">
            <v>ZNI-WTR-10</v>
          </cell>
          <cell r="I789" t="str">
            <v>ZNI-WTR-09</v>
          </cell>
          <cell r="J789" t="str">
            <v>ZNI-WTR-08</v>
          </cell>
          <cell r="K789" t="str">
            <v>ZNI-WTR-07</v>
          </cell>
          <cell r="L789" t="str">
            <v>ZNI-WTR-06</v>
          </cell>
          <cell r="M789" t="str">
            <v>ZNI-ELC-05</v>
          </cell>
          <cell r="W789" t="str">
            <v>ZNI: UTILITIES G/W/E  - ELECTRIC ONLY</v>
          </cell>
        </row>
        <row r="790">
          <cell r="A790" t="str">
            <v>ZNI: CHILLER/CONTRACT PM FY15 - EQUIPMENT, D3030</v>
          </cell>
          <cell r="B790" t="str">
            <v>ZNI</v>
          </cell>
          <cell r="D790" t="str">
            <v>ZNI-CMC-14</v>
          </cell>
          <cell r="E790" t="str">
            <v>ZNI-CMC-13</v>
          </cell>
          <cell r="W790" t="str">
            <v>ZNI: CHILLER/CONTRACT PM FY13 - EQUIPMENT, D3030</v>
          </cell>
        </row>
        <row r="791">
          <cell r="A791" t="str">
            <v>ZNI: FUMEHOOD PM FY15 - EQUIPMENT, D3040</v>
          </cell>
          <cell r="B791" t="str">
            <v>ZNI</v>
          </cell>
          <cell r="D791" t="str">
            <v>ZNI-FMC-14</v>
          </cell>
          <cell r="E791" t="str">
            <v>ZNI-FMC-13</v>
          </cell>
          <cell r="W791" t="str">
            <v>ZNI: FUMEHOOD PM FY13 - EQUIPMENT, D3040</v>
          </cell>
        </row>
        <row r="792">
          <cell r="A792" t="str">
            <v>ZNI1: UTILITIES FY15 - GAS/WATER/ELECTRIC</v>
          </cell>
          <cell r="B792" t="str">
            <v>ZNI CAFÉ</v>
          </cell>
          <cell r="C792" t="str">
            <v>ZNI1-EG</v>
          </cell>
          <cell r="D792" t="str">
            <v>ZNI1-EG-14</v>
          </cell>
          <cell r="E792" t="str">
            <v>ZNI1-EG-13</v>
          </cell>
          <cell r="F792" t="str">
            <v>ZNI1-EG-12</v>
          </cell>
          <cell r="G792" t="str">
            <v>ZNI1-EG-11</v>
          </cell>
          <cell r="H792" t="str">
            <v>ZNI1-EG-10</v>
          </cell>
          <cell r="I792" t="str">
            <v>ZNI1-EG-09</v>
          </cell>
          <cell r="J792" t="str">
            <v>ZNI1-EG-08</v>
          </cell>
          <cell r="K792" t="str">
            <v>ZNI1-EG-07</v>
          </cell>
          <cell r="L792" t="str">
            <v>ZNI1-EG-06</v>
          </cell>
          <cell r="M792" t="str">
            <v>ZNI1-EG-05</v>
          </cell>
          <cell r="N792" t="str">
            <v>SWO003691</v>
          </cell>
          <cell r="T792">
            <v>2821</v>
          </cell>
          <cell r="U792" t="str">
            <v>ZNI CAFÉ</v>
          </cell>
          <cell r="V792" t="str">
            <v>HSC</v>
          </cell>
          <cell r="W792" t="str">
            <v xml:space="preserve">ZNI1: UTILITIES G/W/E </v>
          </cell>
          <cell r="X792" t="str">
            <v>N</v>
          </cell>
        </row>
        <row r="793">
          <cell r="A793" t="str">
            <v>SWC: UTILITIES FY15 - GAS/WATER/ELECTRIC</v>
          </cell>
          <cell r="B793" t="str">
            <v>SWC</v>
          </cell>
          <cell r="C793" t="str">
            <v>SWC-EGW</v>
          </cell>
          <cell r="D793" t="str">
            <v>SWC-EGW-14</v>
          </cell>
          <cell r="E793" t="str">
            <v>SWC-EGW-13</v>
          </cell>
          <cell r="F793" t="str">
            <v>SWC-EGW-12</v>
          </cell>
          <cell r="G793" t="str">
            <v>SWC-EGW-11</v>
          </cell>
          <cell r="H793" t="str">
            <v>SWC-EGW-10</v>
          </cell>
          <cell r="I793" t="str">
            <v>SWC-EGW-09</v>
          </cell>
          <cell r="J793" t="str">
            <v>SWC-EGW-08</v>
          </cell>
          <cell r="K793" t="str">
            <v>SWC-EGW-07</v>
          </cell>
          <cell r="L793" t="str">
            <v>SWC-EGW-06</v>
          </cell>
          <cell r="M793" t="str">
            <v>SWC-EGWA05</v>
          </cell>
          <cell r="N793" t="str">
            <v>SWO003680</v>
          </cell>
          <cell r="T793">
            <v>2830</v>
          </cell>
          <cell r="U793" t="str">
            <v>SWC</v>
          </cell>
          <cell r="W793" t="str">
            <v>SWC: UTILITIES G/W/E (SWC-EGW05 CLOSED 8/13)</v>
          </cell>
          <cell r="X793" t="str">
            <v>N</v>
          </cell>
        </row>
        <row r="794">
          <cell r="A794" t="str">
            <v>HCT: UTILITIES FY15 - GAS/WATER/ELECTRIC</v>
          </cell>
          <cell r="B794" t="str">
            <v>HCT</v>
          </cell>
          <cell r="C794" t="str">
            <v>HCT-EGW</v>
          </cell>
          <cell r="D794" t="str">
            <v>HCT-EGW-14</v>
          </cell>
          <cell r="E794" t="str">
            <v>HCT-EGW-13</v>
          </cell>
          <cell r="F794" t="str">
            <v>HCT-EGW-12</v>
          </cell>
          <cell r="G794" t="str">
            <v>HCT-EGW-11</v>
          </cell>
          <cell r="H794" t="str">
            <v>HCT-EGW-10</v>
          </cell>
          <cell r="I794" t="str">
            <v>HCT-EGW-09</v>
          </cell>
          <cell r="J794" t="str">
            <v>HCT-EGW-08</v>
          </cell>
          <cell r="K794" t="str">
            <v>HCT-EGW-07</v>
          </cell>
          <cell r="L794" t="str">
            <v>HCT-EGW-06</v>
          </cell>
          <cell r="M794" t="str">
            <v>HCT-EGWA05</v>
          </cell>
          <cell r="N794" t="str">
            <v>SWO003686</v>
          </cell>
          <cell r="T794">
            <v>2870</v>
          </cell>
          <cell r="U794" t="str">
            <v>HCT</v>
          </cell>
          <cell r="W794" t="str">
            <v>HCT: UTILITIES G/W/E (HCT-EGW-05 CLOSED 8/13)</v>
          </cell>
          <cell r="X794" t="str">
            <v>N</v>
          </cell>
        </row>
        <row r="795">
          <cell r="B795">
            <v>0</v>
          </cell>
          <cell r="D795" t="str">
            <v>HCT-CMC-14</v>
          </cell>
          <cell r="E795" t="str">
            <v>HCT-CMC-13</v>
          </cell>
          <cell r="W795" t="str">
            <v>HCT: CHILLER/CONTRACT PM FY13 - EQUIPMENT, D3030</v>
          </cell>
        </row>
        <row r="796">
          <cell r="A796" t="str">
            <v>NRT: UTILITIES FY15 - ELECTRIC ONLY</v>
          </cell>
          <cell r="B796" t="str">
            <v>NRT</v>
          </cell>
          <cell r="C796" t="str">
            <v>NRT-ELC</v>
          </cell>
          <cell r="D796" t="str">
            <v>NRT-ELC-14</v>
          </cell>
          <cell r="E796" t="str">
            <v>NRT-ELC-13</v>
          </cell>
          <cell r="F796" t="str">
            <v>NRT-ELC-12</v>
          </cell>
          <cell r="G796" t="str">
            <v>NRT-ELC-11</v>
          </cell>
          <cell r="H796" t="str">
            <v>NRT-ELC-10</v>
          </cell>
          <cell r="I796" t="str">
            <v>NRT-ELC-09</v>
          </cell>
          <cell r="J796" t="str">
            <v>NRT-ELC-08</v>
          </cell>
          <cell r="K796" t="str">
            <v>NRT-ELC-07</v>
          </cell>
          <cell r="L796" t="str">
            <v>NRT-ELC-06</v>
          </cell>
          <cell r="M796" t="str">
            <v>NRT-ELC-05</v>
          </cell>
          <cell r="N796" t="str">
            <v>SWO003694</v>
          </cell>
          <cell r="T796">
            <v>2880</v>
          </cell>
          <cell r="U796" t="str">
            <v>NRT</v>
          </cell>
          <cell r="W796" t="str">
            <v>NRT: UTILITIES G/W/E  - ELECTRIC ONLY</v>
          </cell>
          <cell r="X796" t="str">
            <v>N</v>
          </cell>
        </row>
        <row r="797">
          <cell r="A797" t="str">
            <v>NRT: UTILITIES FY15 - GAS</v>
          </cell>
          <cell r="B797" t="str">
            <v>NRT</v>
          </cell>
          <cell r="C797" t="str">
            <v>NRT-GAS</v>
          </cell>
          <cell r="D797" t="str">
            <v>NRT-GAS-14</v>
          </cell>
          <cell r="E797" t="str">
            <v>NRT-GAS-13</v>
          </cell>
          <cell r="F797" t="str">
            <v>NRT-GAS-12</v>
          </cell>
          <cell r="G797" t="str">
            <v>NRT-GAS-11</v>
          </cell>
          <cell r="H797" t="str">
            <v>NRT-GAS-10</v>
          </cell>
          <cell r="I797" t="str">
            <v>NRT-GAS-09</v>
          </cell>
          <cell r="J797" t="str">
            <v>NRT-GAS-08</v>
          </cell>
          <cell r="W797" t="str">
            <v>NRT: UTILITIES G/W/E  - GAS</v>
          </cell>
        </row>
        <row r="798">
          <cell r="A798" t="str">
            <v>NRT: UTILITIES FY15 - WATER</v>
          </cell>
          <cell r="B798" t="str">
            <v>NRT</v>
          </cell>
          <cell r="C798" t="str">
            <v>NRT-WTR</v>
          </cell>
          <cell r="D798" t="str">
            <v>NRT-WTR-14</v>
          </cell>
          <cell r="E798" t="str">
            <v>NRT-WTR-13</v>
          </cell>
          <cell r="F798" t="str">
            <v>NRT-WTR-12</v>
          </cell>
          <cell r="G798" t="str">
            <v>NRT-WTR-11</v>
          </cell>
          <cell r="H798" t="str">
            <v>NRT-WTR-10</v>
          </cell>
          <cell r="I798" t="str">
            <v>NRT-WTR-09</v>
          </cell>
          <cell r="J798" t="str">
            <v>NRT-WTR-08</v>
          </cell>
          <cell r="W798" t="str">
            <v>NRT: UTILITIES G/W/E  - WATER</v>
          </cell>
        </row>
        <row r="799">
          <cell r="A799" t="str">
            <v>NRT: UTILITIES FY15 - GAS/WATER ONLY</v>
          </cell>
          <cell r="B799" t="str">
            <v>NRT</v>
          </cell>
          <cell r="C799" t="str">
            <v>NRT-XGW</v>
          </cell>
          <cell r="D799" t="str">
            <v>NRT-XGW-14</v>
          </cell>
          <cell r="E799" t="str">
            <v>NRT-XGW-13</v>
          </cell>
          <cell r="F799" t="str">
            <v>NRT-XGW-12</v>
          </cell>
          <cell r="G799" t="str">
            <v>NRT-XGW-11</v>
          </cell>
          <cell r="H799" t="str">
            <v>NRT-XGW-10</v>
          </cell>
          <cell r="I799" t="str">
            <v>NRT-XGW-09</v>
          </cell>
          <cell r="J799" t="str">
            <v>NRT-XGW-08</v>
          </cell>
          <cell r="K799" t="str">
            <v>NRT-XGW-07</v>
          </cell>
          <cell r="L799" t="str">
            <v>NRT-XGW-06</v>
          </cell>
          <cell r="M799" t="str">
            <v>NRT-XGW-05</v>
          </cell>
          <cell r="W799" t="str">
            <v>NRT:  UTILITIES  - GAS/WATER ONLY</v>
          </cell>
          <cell r="X799" t="str">
            <v>N</v>
          </cell>
        </row>
        <row r="800">
          <cell r="A800" t="str">
            <v>NRT: UTILITIES FY15 - CHILLED WATER</v>
          </cell>
          <cell r="B800" t="str">
            <v>NRT</v>
          </cell>
          <cell r="W800" t="str">
            <v xml:space="preserve">NRT: UTILITIES CHILLED WATER </v>
          </cell>
        </row>
        <row r="801">
          <cell r="A801" t="str">
            <v>NRT: FUMEHOOD PM FY15 - EQUIPMENT, D3040</v>
          </cell>
          <cell r="B801">
            <v>0</v>
          </cell>
          <cell r="D801" t="str">
            <v>NRT-FMC-14</v>
          </cell>
          <cell r="E801" t="str">
            <v>NRT-FMC-13</v>
          </cell>
          <cell r="W801" t="str">
            <v>NRT: FUMEHOOD PM FY13 - EQUIPMENT, D3040</v>
          </cell>
        </row>
        <row r="802">
          <cell r="A802" t="str">
            <v>GEC: UTILITIES FY15 - ELECTRIC</v>
          </cell>
          <cell r="B802" t="str">
            <v>GEC</v>
          </cell>
          <cell r="C802" t="str">
            <v>GEC-NELC</v>
          </cell>
          <cell r="D802" t="str">
            <v>GEC-NELC14</v>
          </cell>
          <cell r="E802" t="str">
            <v>GEC-NELC13</v>
          </cell>
          <cell r="F802" t="str">
            <v>GEC-NELC12</v>
          </cell>
          <cell r="G802" t="str">
            <v>GEC-NELC11</v>
          </cell>
          <cell r="H802" t="str">
            <v>GEC-NELC10</v>
          </cell>
          <cell r="I802" t="str">
            <v>GEC-NELC09</v>
          </cell>
          <cell r="J802" t="str">
            <v>GEC-NELC08</v>
          </cell>
          <cell r="K802" t="str">
            <v>GEC-NELC07</v>
          </cell>
          <cell r="L802" t="str">
            <v>NEW FEB 07</v>
          </cell>
          <cell r="T802">
            <v>2890</v>
          </cell>
          <cell r="U802" t="str">
            <v>GEC</v>
          </cell>
          <cell r="W802" t="str">
            <v>GEC: UTILITIES FY07 - ELECTRIC ONLY</v>
          </cell>
        </row>
        <row r="803">
          <cell r="A803" t="str">
            <v>GEC: UTILITIES FY15 - GAS, NEW BUILDING</v>
          </cell>
          <cell r="B803" t="str">
            <v>GEC</v>
          </cell>
          <cell r="C803" t="str">
            <v>GEC-NGAS</v>
          </cell>
          <cell r="D803" t="str">
            <v>GEC-NGAS14</v>
          </cell>
          <cell r="E803" t="str">
            <v>GEC-NGAS13</v>
          </cell>
          <cell r="F803" t="str">
            <v>GEC-NGAS12</v>
          </cell>
          <cell r="G803" t="str">
            <v>GEC-NGAS11</v>
          </cell>
          <cell r="H803" t="str">
            <v>GEC-NGAS10</v>
          </cell>
          <cell r="I803" t="str">
            <v>GEC-NGAS09</v>
          </cell>
          <cell r="J803" t="str">
            <v>GEC-NGAS08</v>
          </cell>
          <cell r="K803" t="str">
            <v>GEC-NGAS07</v>
          </cell>
          <cell r="L803" t="str">
            <v>NEW FEB 07</v>
          </cell>
          <cell r="W803" t="str">
            <v>GEC: UTILITIES FY07 - GAS ONLY</v>
          </cell>
        </row>
        <row r="804">
          <cell r="A804" t="str">
            <v>GEC: UTILITIES FY15 - WATER, NEW BUILDING</v>
          </cell>
          <cell r="B804" t="str">
            <v>GEC</v>
          </cell>
          <cell r="C804" t="str">
            <v>GEC-NWTR</v>
          </cell>
          <cell r="D804" t="str">
            <v>GEC-NWTR14</v>
          </cell>
          <cell r="E804" t="str">
            <v>GEC-NWTR13</v>
          </cell>
          <cell r="F804" t="str">
            <v>GEC-NWTR12</v>
          </cell>
          <cell r="G804" t="str">
            <v>GEC-NWTR11</v>
          </cell>
          <cell r="H804" t="str">
            <v>GEC-NWTR10</v>
          </cell>
          <cell r="I804" t="str">
            <v>GEC-NWTR09</v>
          </cell>
          <cell r="J804" t="str">
            <v>GEC-NWTR08</v>
          </cell>
          <cell r="K804" t="str">
            <v>GEC-NWTR07</v>
          </cell>
          <cell r="L804" t="str">
            <v>NEW FEB 07</v>
          </cell>
          <cell r="W804" t="str">
            <v>GEC: UTILITIES FY07 - WATER ONLY</v>
          </cell>
        </row>
        <row r="805">
          <cell r="A805" t="str">
            <v>RTH: UTILITIES FY15 - ELECTRICITY</v>
          </cell>
          <cell r="B805" t="str">
            <v>RTH</v>
          </cell>
          <cell r="C805" t="str">
            <v>RTH-ELC</v>
          </cell>
          <cell r="D805" t="str">
            <v>RTH-ELC-14</v>
          </cell>
          <cell r="E805" t="str">
            <v>RTH-ELC-13</v>
          </cell>
          <cell r="F805" t="str">
            <v>RTH-ELC-12</v>
          </cell>
          <cell r="G805" t="str">
            <v>RTH-ELC-11</v>
          </cell>
          <cell r="H805" t="str">
            <v>RTH-ELC-10</v>
          </cell>
          <cell r="I805" t="str">
            <v>RTH-ELC-09</v>
          </cell>
          <cell r="J805" t="str">
            <v>RTH-ELC-08</v>
          </cell>
          <cell r="K805" t="str">
            <v>RTH-ELC-07</v>
          </cell>
          <cell r="L805" t="str">
            <v>RTH-ELC-06</v>
          </cell>
          <cell r="M805" t="str">
            <v>RTH-ELC-05</v>
          </cell>
          <cell r="T805">
            <v>2900</v>
          </cell>
          <cell r="W805" t="str">
            <v xml:space="preserve">RTH: UTILITIES - ELECTRIC </v>
          </cell>
        </row>
        <row r="806">
          <cell r="A806" t="str">
            <v>RTH: UTILITIES FY15 - GAS</v>
          </cell>
          <cell r="B806" t="str">
            <v>RTH</v>
          </cell>
          <cell r="C806" t="str">
            <v>RTH-GAS</v>
          </cell>
          <cell r="D806" t="str">
            <v>RTH-GAS-14</v>
          </cell>
          <cell r="E806" t="str">
            <v>RTH-GAS-13</v>
          </cell>
          <cell r="F806" t="str">
            <v>RTH-GAS-12</v>
          </cell>
          <cell r="G806" t="str">
            <v>RTH-GAS-11</v>
          </cell>
          <cell r="H806" t="str">
            <v>RTH-GAS-10</v>
          </cell>
          <cell r="I806" t="str">
            <v>RTH-GAS-09</v>
          </cell>
          <cell r="J806" t="str">
            <v>RTH-GAS-08</v>
          </cell>
          <cell r="K806" t="str">
            <v>RTH-GAS-07</v>
          </cell>
          <cell r="L806" t="str">
            <v>RTH-GAS-06</v>
          </cell>
          <cell r="M806" t="str">
            <v>RTH-GAS-05</v>
          </cell>
          <cell r="W806" t="str">
            <v xml:space="preserve">RTH: UTILITIES - GAS  </v>
          </cell>
        </row>
        <row r="807">
          <cell r="A807" t="str">
            <v>RTH: UTILITIES FY15 - WATER</v>
          </cell>
          <cell r="B807" t="str">
            <v>RTH</v>
          </cell>
          <cell r="C807" t="str">
            <v>RTH-WTR</v>
          </cell>
          <cell r="D807" t="str">
            <v>RTH-WTR-14</v>
          </cell>
          <cell r="E807" t="str">
            <v>RTH-WTR-13</v>
          </cell>
          <cell r="F807" t="str">
            <v>RTH-WTR-12</v>
          </cell>
          <cell r="G807" t="str">
            <v>RTH-WTR-11</v>
          </cell>
          <cell r="H807" t="str">
            <v>RTH-WTR-10</v>
          </cell>
          <cell r="I807" t="str">
            <v>RTH-WTR-09</v>
          </cell>
          <cell r="J807" t="str">
            <v>RTH-WTR-08</v>
          </cell>
          <cell r="K807" t="str">
            <v>RTH-WTR-07</v>
          </cell>
          <cell r="L807" t="str">
            <v>RTH-WTR-06</v>
          </cell>
          <cell r="M807" t="str">
            <v>RTH-WTR-05</v>
          </cell>
          <cell r="W807" t="str">
            <v xml:space="preserve">RTH: UTILITIES - WATER </v>
          </cell>
        </row>
        <row r="808">
          <cell r="A808" t="str">
            <v>RTH: UTILITIES CHILLED WATER FY15</v>
          </cell>
          <cell r="B808" t="str">
            <v>RTH</v>
          </cell>
          <cell r="C808" t="str">
            <v>RTH-UCW</v>
          </cell>
          <cell r="D808" t="str">
            <v>RTH-UCW14</v>
          </cell>
          <cell r="E808" t="str">
            <v>RTH-UCW13</v>
          </cell>
          <cell r="F808" t="str">
            <v>RTH-UCW12</v>
          </cell>
          <cell r="G808" t="str">
            <v>RTH-UCW11</v>
          </cell>
          <cell r="H808" t="str">
            <v>RTH-UCW10</v>
          </cell>
          <cell r="I808" t="str">
            <v>RTH-UCW09</v>
          </cell>
          <cell r="J808" t="str">
            <v>RTH-UCW08</v>
          </cell>
          <cell r="K808" t="str">
            <v>RTH-UCW07</v>
          </cell>
          <cell r="L808" t="str">
            <v>RTH-UCW06</v>
          </cell>
          <cell r="M808" t="str">
            <v>RTH-UCW05</v>
          </cell>
          <cell r="W808" t="str">
            <v xml:space="preserve">RTH: UTILITIES CHILLED WATER </v>
          </cell>
        </row>
        <row r="809">
          <cell r="A809" t="str">
            <v>RTH: UTILITIES DEBT SERVICE FY15</v>
          </cell>
          <cell r="B809" t="str">
            <v>RTH</v>
          </cell>
          <cell r="C809" t="str">
            <v>RTH-UDS</v>
          </cell>
          <cell r="D809" t="str">
            <v>RTH-UDS14</v>
          </cell>
          <cell r="E809" t="str">
            <v>RTH-UDS13</v>
          </cell>
          <cell r="F809" t="str">
            <v>RTH-UDS12</v>
          </cell>
          <cell r="G809" t="str">
            <v>RTH-UDS11</v>
          </cell>
          <cell r="H809" t="str">
            <v>RTH-UDS10</v>
          </cell>
          <cell r="I809" t="str">
            <v>RTH-UDS09</v>
          </cell>
          <cell r="J809" t="str">
            <v>RTH-UDS08</v>
          </cell>
          <cell r="K809" t="str">
            <v>RTH-UDS07</v>
          </cell>
          <cell r="L809" t="str">
            <v>RTH-UDS06</v>
          </cell>
          <cell r="M809" t="str">
            <v>RTH-UDS05</v>
          </cell>
          <cell r="W809" t="str">
            <v xml:space="preserve">RTH: UTILITIES DEBT SERVICE </v>
          </cell>
        </row>
        <row r="810">
          <cell r="A810" t="str">
            <v>RTH: UTILITIES MAINT FY15</v>
          </cell>
          <cell r="B810">
            <v>0</v>
          </cell>
          <cell r="C810" t="str">
            <v>RTH-UMT</v>
          </cell>
          <cell r="D810" t="str">
            <v>RTH-UMT14</v>
          </cell>
          <cell r="E810" t="str">
            <v>RTH-UMT13</v>
          </cell>
          <cell r="F810" t="str">
            <v>RTH-UMT12</v>
          </cell>
          <cell r="G810" t="str">
            <v>RTH-UMT11</v>
          </cell>
          <cell r="H810" t="str">
            <v>RTH-UMT10</v>
          </cell>
          <cell r="I810" t="str">
            <v>RTH-UMT09</v>
          </cell>
          <cell r="J810" t="str">
            <v>RTH-UMT08</v>
          </cell>
          <cell r="K810" t="str">
            <v>RTH-UMT07</v>
          </cell>
          <cell r="L810" t="str">
            <v>RTH-UMT06</v>
          </cell>
          <cell r="M810" t="str">
            <v>RTH-UMT05</v>
          </cell>
          <cell r="W810" t="str">
            <v xml:space="preserve">RTH: UTILITIES MAINT </v>
          </cell>
        </row>
        <row r="811">
          <cell r="A811" t="str">
            <v>RRI: UTILITIES FY15 - ELECTRIC</v>
          </cell>
          <cell r="B811" t="str">
            <v>RRI</v>
          </cell>
          <cell r="C811" t="str">
            <v>RRI-ELC</v>
          </cell>
          <cell r="D811" t="str">
            <v>RRI-ELC-14</v>
          </cell>
          <cell r="E811" t="str">
            <v>RRI-ELC-13</v>
          </cell>
          <cell r="F811" t="str">
            <v>RRI-ELC-12</v>
          </cell>
          <cell r="G811" t="str">
            <v>RRI-ELC-11</v>
          </cell>
          <cell r="H811" t="str">
            <v>RRI-ELC-10</v>
          </cell>
          <cell r="I811" t="str">
            <v>RRI-ELC-09</v>
          </cell>
          <cell r="J811" t="str">
            <v>RIH-ELC-08</v>
          </cell>
          <cell r="K811" t="str">
            <v>MCB-ELC-07</v>
          </cell>
          <cell r="L811" t="str">
            <v>MCB-ELC-06</v>
          </cell>
          <cell r="M811" t="str">
            <v>MBB-EXW-05</v>
          </cell>
          <cell r="N811" t="str">
            <v>SWO003194</v>
          </cell>
          <cell r="T811">
            <v>2910</v>
          </cell>
          <cell r="U811" t="str">
            <v>RRI</v>
          </cell>
          <cell r="W811" t="str">
            <v>RRI: UTILITIES - ELECTRIC (FY07 NAME CHG FR RIH, MCB)</v>
          </cell>
          <cell r="X811" t="str">
            <v>N</v>
          </cell>
        </row>
        <row r="812">
          <cell r="A812" t="str">
            <v>RRI: UTILITIES FY15 - GAS</v>
          </cell>
          <cell r="B812" t="str">
            <v>RRI</v>
          </cell>
          <cell r="C812" t="str">
            <v>RRI-GAS</v>
          </cell>
          <cell r="D812" t="str">
            <v>RRI-GAS-14</v>
          </cell>
          <cell r="E812" t="str">
            <v>RRI-GAS-13</v>
          </cell>
          <cell r="F812" t="str">
            <v>RRI-GAS-12</v>
          </cell>
          <cell r="G812" t="str">
            <v>RRI-GAS-11</v>
          </cell>
          <cell r="H812" t="str">
            <v>RRI-GAS-10</v>
          </cell>
          <cell r="I812" t="str">
            <v>RRI-GAS-09</v>
          </cell>
          <cell r="J812" t="str">
            <v>RIH-GAS-08</v>
          </cell>
          <cell r="K812" t="str">
            <v>MCB-GAS-07</v>
          </cell>
          <cell r="L812" t="str">
            <v>MCB-GAS-06</v>
          </cell>
          <cell r="M812" t="str">
            <v>MBB-EXW-05</v>
          </cell>
          <cell r="N812" t="str">
            <v>SWO003194</v>
          </cell>
          <cell r="W812" t="str">
            <v>RRI: UTILITIES - GAS</v>
          </cell>
          <cell r="X812" t="str">
            <v>N</v>
          </cell>
        </row>
        <row r="813">
          <cell r="A813" t="str">
            <v>RRI: UTILITIES FY15 - WATER</v>
          </cell>
          <cell r="B813" t="str">
            <v>RRI</v>
          </cell>
          <cell r="C813" t="str">
            <v>RRI-WTR</v>
          </cell>
          <cell r="D813" t="str">
            <v>RRI-WTR-14</v>
          </cell>
          <cell r="E813" t="str">
            <v>RRI-WTR-13</v>
          </cell>
          <cell r="F813" t="str">
            <v>RRI-WTR-12</v>
          </cell>
          <cell r="G813" t="str">
            <v>RRI-WTR-11</v>
          </cell>
          <cell r="H813" t="str">
            <v>RRI-WTR-10</v>
          </cell>
          <cell r="I813" t="str">
            <v>RRI-WTR-09</v>
          </cell>
          <cell r="J813" t="str">
            <v>RIH-WTR-08</v>
          </cell>
          <cell r="K813" t="str">
            <v>MCB-WTR-07</v>
          </cell>
          <cell r="L813" t="str">
            <v>MCB-WTR-06</v>
          </cell>
          <cell r="M813" t="str">
            <v>MBB-EXW-05</v>
          </cell>
          <cell r="N813" t="str">
            <v>SWO003194</v>
          </cell>
          <cell r="W813" t="str">
            <v>RRI: UTILITIES - WATER</v>
          </cell>
          <cell r="X813" t="str">
            <v>N</v>
          </cell>
        </row>
        <row r="814">
          <cell r="A814" t="str">
            <v>RRI: UTILITIES CHILLED WATER FY15</v>
          </cell>
          <cell r="B814" t="str">
            <v>RRI</v>
          </cell>
          <cell r="C814" t="str">
            <v>RRI-UCW</v>
          </cell>
          <cell r="D814" t="str">
            <v>RRI-UCW-14</v>
          </cell>
          <cell r="E814" t="str">
            <v>RRI-UCW-13</v>
          </cell>
          <cell r="F814" t="str">
            <v>RRI-UCW-12</v>
          </cell>
          <cell r="G814" t="str">
            <v>RRI-UCW-11</v>
          </cell>
          <cell r="H814" t="str">
            <v>RRI-UCW-10</v>
          </cell>
          <cell r="I814" t="str">
            <v>RRI-UCW-09</v>
          </cell>
          <cell r="J814" t="str">
            <v>RIH-UCW-08</v>
          </cell>
          <cell r="K814" t="str">
            <v>MBIO-UCW07</v>
          </cell>
          <cell r="L814" t="str">
            <v>MBIO-UCW06</v>
          </cell>
          <cell r="M814" t="str">
            <v>MBIO-UCW05</v>
          </cell>
          <cell r="W814" t="str">
            <v xml:space="preserve">RRI: UTILITIES CHILLED WATER </v>
          </cell>
        </row>
        <row r="815">
          <cell r="A815" t="str">
            <v>RRI: UTILITIES DEBT SERVICE FY15</v>
          </cell>
          <cell r="B815" t="str">
            <v>RRI</v>
          </cell>
          <cell r="C815" t="str">
            <v>RRI-UDS</v>
          </cell>
          <cell r="D815" t="str">
            <v>RRI-UDS-14</v>
          </cell>
          <cell r="E815" t="str">
            <v>RRI-UDS-13</v>
          </cell>
          <cell r="F815" t="str">
            <v>RRI-UDS-12</v>
          </cell>
          <cell r="G815" t="str">
            <v>RRI-UDS-11</v>
          </cell>
          <cell r="H815" t="str">
            <v>RRI-UDS-10</v>
          </cell>
          <cell r="I815" t="str">
            <v>RRI-UDS-09</v>
          </cell>
          <cell r="J815" t="str">
            <v>RIH-UDS-08</v>
          </cell>
          <cell r="K815" t="str">
            <v>MBIO-UDS07</v>
          </cell>
          <cell r="L815" t="str">
            <v>MBIO-UDS06</v>
          </cell>
          <cell r="M815" t="str">
            <v>MBIO-UDS05</v>
          </cell>
          <cell r="W815" t="str">
            <v xml:space="preserve">RRI: UTILITIES DEBT SERVICE </v>
          </cell>
        </row>
        <row r="816">
          <cell r="A816" t="str">
            <v>RRI: UTILITIES MAINT FY15</v>
          </cell>
          <cell r="B816">
            <v>0</v>
          </cell>
          <cell r="C816" t="str">
            <v>RRI-UMT</v>
          </cell>
          <cell r="D816" t="str">
            <v>RRI-UMT-14</v>
          </cell>
          <cell r="E816" t="str">
            <v>RRI-UMT-13</v>
          </cell>
          <cell r="F816" t="str">
            <v>RRI-UMT-12</v>
          </cell>
          <cell r="G816" t="str">
            <v>RRI-UMT-11</v>
          </cell>
          <cell r="H816" t="str">
            <v>RRI-UMT-10</v>
          </cell>
          <cell r="I816" t="str">
            <v>RRI-UMT-09</v>
          </cell>
          <cell r="J816" t="str">
            <v>RIH-UMT-08</v>
          </cell>
          <cell r="K816" t="str">
            <v>MBIO-UMT07</v>
          </cell>
          <cell r="L816" t="str">
            <v>MBIO-UMT06</v>
          </cell>
          <cell r="M816" t="str">
            <v>MBIO-UMT05</v>
          </cell>
          <cell r="W816" t="str">
            <v xml:space="preserve">RRI: UTILITIES MAINT </v>
          </cell>
        </row>
        <row r="817">
          <cell r="A817" t="str">
            <v>RRI: FUMEHOOD PM FY15 - EQUIPMENT, D3040</v>
          </cell>
          <cell r="B817">
            <v>0</v>
          </cell>
          <cell r="D817" t="str">
            <v>RRI-FMC-14</v>
          </cell>
          <cell r="E817" t="str">
            <v>RRI-FMC-13</v>
          </cell>
          <cell r="W817" t="str">
            <v>RRI: FUMEHOOD PM FY13 - EQUIPMENT, D3040</v>
          </cell>
        </row>
        <row r="818">
          <cell r="A818" t="str">
            <v>DNI: UTILITIES FY15 - ELECTRIC ONLY</v>
          </cell>
          <cell r="B818" t="str">
            <v>DNI</v>
          </cell>
          <cell r="C818" t="str">
            <v>DNI-ELC</v>
          </cell>
          <cell r="D818" t="str">
            <v>DNI-ELC-14</v>
          </cell>
          <cell r="E818" t="str">
            <v>DNI-ELC-13</v>
          </cell>
          <cell r="F818" t="str">
            <v>DNI-ELC-12</v>
          </cell>
          <cell r="G818" t="str">
            <v>DNI-ELC-11</v>
          </cell>
          <cell r="H818" t="str">
            <v>DNI-ELC-10</v>
          </cell>
          <cell r="I818" t="str">
            <v>DNI-ELC-09</v>
          </cell>
          <cell r="J818" t="str">
            <v>DNI-ELC-08</v>
          </cell>
          <cell r="K818" t="str">
            <v>DNI-ELC-07</v>
          </cell>
          <cell r="L818" t="str">
            <v>DNI-ELC-06</v>
          </cell>
          <cell r="M818" t="str">
            <v>DNI-ELC-05</v>
          </cell>
          <cell r="N818" t="str">
            <v>DNI-ELC-06</v>
          </cell>
          <cell r="O818" t="str">
            <v>DNI-ELC-07</v>
          </cell>
          <cell r="P818" t="str">
            <v>DNI-ELC-08</v>
          </cell>
          <cell r="Q818" t="str">
            <v>DNI-ELC-09</v>
          </cell>
          <cell r="R818" t="str">
            <v>DNI-ELC-10</v>
          </cell>
          <cell r="S818" t="str">
            <v>DNI-ELC-11</v>
          </cell>
          <cell r="T818" t="str">
            <v>2920</v>
          </cell>
          <cell r="U818" t="str">
            <v>DNI</v>
          </cell>
          <cell r="W818" t="str">
            <v>DNI: UTILITIES G/W/E  - ELECTRIC ONLY</v>
          </cell>
          <cell r="X818" t="str">
            <v>N</v>
          </cell>
        </row>
        <row r="819">
          <cell r="A819" t="str">
            <v>DNI: UTILITIES FY15 - GAS</v>
          </cell>
          <cell r="B819" t="str">
            <v>DNI</v>
          </cell>
          <cell r="C819" t="str">
            <v>DNI-GAS</v>
          </cell>
          <cell r="D819" t="str">
            <v>DNI-GAS-14</v>
          </cell>
          <cell r="E819" t="str">
            <v>DNI-GAS-13</v>
          </cell>
          <cell r="F819" t="str">
            <v>DNI-GAS-12</v>
          </cell>
          <cell r="G819" t="str">
            <v>DNI-GAS-11</v>
          </cell>
          <cell r="H819" t="str">
            <v>DNI-GAS-10</v>
          </cell>
          <cell r="I819" t="str">
            <v>DNI-GAS-09</v>
          </cell>
          <cell r="J819" t="str">
            <v>DNI-GAS-08</v>
          </cell>
          <cell r="K819" t="str">
            <v>DNI-GAS-07</v>
          </cell>
          <cell r="L819" t="str">
            <v>DNI-GAS-06</v>
          </cell>
          <cell r="M819" t="str">
            <v>DNI-GAS-05</v>
          </cell>
          <cell r="N819" t="str">
            <v>DNI-ELC-06</v>
          </cell>
          <cell r="O819" t="str">
            <v>DNI-ELC-07</v>
          </cell>
          <cell r="P819" t="str">
            <v>DNI-ELC-08</v>
          </cell>
          <cell r="Q819" t="str">
            <v>DNI-ELC-09</v>
          </cell>
          <cell r="R819" t="str">
            <v>DNI-ELC-10</v>
          </cell>
          <cell r="S819" t="str">
            <v>DNI-ELC-11</v>
          </cell>
          <cell r="W819" t="str">
            <v>DNI: UTILITIES  - GAS</v>
          </cell>
        </row>
        <row r="820">
          <cell r="A820" t="str">
            <v>DNI: UTILITIES FY15 - WATER</v>
          </cell>
          <cell r="B820" t="str">
            <v>DNI</v>
          </cell>
          <cell r="C820" t="str">
            <v>DNI-WTR</v>
          </cell>
          <cell r="D820" t="str">
            <v>DNI-WTR-14</v>
          </cell>
          <cell r="E820" t="str">
            <v>DNI-WTR-13</v>
          </cell>
          <cell r="F820" t="str">
            <v>DNI-WTR-12</v>
          </cell>
          <cell r="G820" t="str">
            <v>DNI-WTR-11</v>
          </cell>
          <cell r="H820" t="str">
            <v>DNI-WTR-10</v>
          </cell>
          <cell r="I820" t="str">
            <v>DNI-WTR-09</v>
          </cell>
          <cell r="J820" t="str">
            <v>DNI-WTR-08</v>
          </cell>
          <cell r="K820" t="str">
            <v>DNI-WTR-07</v>
          </cell>
          <cell r="L820" t="str">
            <v>DNI-WTR-06</v>
          </cell>
          <cell r="M820" t="str">
            <v>DNI-WTR-05</v>
          </cell>
          <cell r="N820" t="str">
            <v>DNI-ELC-06</v>
          </cell>
          <cell r="O820" t="str">
            <v>DNI-ELC-07</v>
          </cell>
          <cell r="P820" t="str">
            <v>DNI-ELC-08</v>
          </cell>
          <cell r="Q820" t="str">
            <v>DNI-ELC-09</v>
          </cell>
          <cell r="R820" t="str">
            <v>DNI-ELC-10</v>
          </cell>
          <cell r="S820" t="str">
            <v>DNI-ELC-11</v>
          </cell>
          <cell r="W820" t="str">
            <v>DNI: UTILITIES  - WATER</v>
          </cell>
        </row>
        <row r="821">
          <cell r="A821" t="str">
            <v>DNI: UTILITIES FY15 - CHILLED WATER</v>
          </cell>
          <cell r="B821" t="str">
            <v>DNI</v>
          </cell>
          <cell r="D821">
            <v>0</v>
          </cell>
          <cell r="W821" t="str">
            <v>DNI: UTILITIES  - CHILLED WATER</v>
          </cell>
        </row>
        <row r="822">
          <cell r="A822" t="str">
            <v>DNI1: UTILITIES FY15 - ELECTRIC ONLY</v>
          </cell>
          <cell r="B822" t="str">
            <v>DNI</v>
          </cell>
          <cell r="C822" t="str">
            <v>BCI-NELC</v>
          </cell>
          <cell r="T822">
            <v>2921</v>
          </cell>
          <cell r="U822" t="str">
            <v>DNI1</v>
          </cell>
          <cell r="W822" t="str">
            <v>DNI1: UTILITIES FY15 - ELECTRIC SEE#292.1</v>
          </cell>
        </row>
        <row r="823">
          <cell r="A823" t="str">
            <v>SCA: UTILITIES FY15 - ELECTRIC</v>
          </cell>
          <cell r="B823" t="str">
            <v>SCA</v>
          </cell>
          <cell r="C823" t="str">
            <v>SCA-ELC</v>
          </cell>
          <cell r="D823" t="str">
            <v>SCA-ELC-14</v>
          </cell>
          <cell r="E823" t="str">
            <v>SCA-ELC-13</v>
          </cell>
          <cell r="F823" t="str">
            <v>SCA-ELC-12</v>
          </cell>
          <cell r="G823" t="str">
            <v>SCA-ELC-11</v>
          </cell>
          <cell r="H823" t="str">
            <v>SCA-ELC-10</v>
          </cell>
          <cell r="I823" t="str">
            <v>SCA-ELC-09</v>
          </cell>
          <cell r="T823">
            <v>2940</v>
          </cell>
          <cell r="U823" t="str">
            <v>SCA</v>
          </cell>
          <cell r="W823" t="str">
            <v>SCA: UTILITIES  - ELECTRIC (NEW BLDG)</v>
          </cell>
        </row>
        <row r="824">
          <cell r="A824" t="str">
            <v>SCA: UTILITIES FY15 - GAS</v>
          </cell>
          <cell r="B824" t="str">
            <v>SCA</v>
          </cell>
          <cell r="C824" t="str">
            <v>SCA-NGAS</v>
          </cell>
          <cell r="D824" t="str">
            <v>SCA-NGAS14</v>
          </cell>
          <cell r="E824" t="str">
            <v>SCA-NGAS13</v>
          </cell>
          <cell r="F824" t="str">
            <v>SCA-NGAS12</v>
          </cell>
          <cell r="G824" t="str">
            <v>SCA-NGAS11</v>
          </cell>
          <cell r="H824" t="str">
            <v>SCA-NGAS10</v>
          </cell>
          <cell r="W824" t="str">
            <v>SCA: UTILITIES  - GAS (NEW BLDG)</v>
          </cell>
        </row>
        <row r="825">
          <cell r="A825" t="str">
            <v>SCA: UTILITIES FY15 - WATER</v>
          </cell>
          <cell r="B825" t="str">
            <v>SCA</v>
          </cell>
          <cell r="C825" t="str">
            <v>SCA-NWTR</v>
          </cell>
          <cell r="D825" t="str">
            <v>SCA-NWTR14</v>
          </cell>
          <cell r="E825" t="str">
            <v>SCA-NWTR13</v>
          </cell>
          <cell r="F825" t="str">
            <v>SCA-NWTR12</v>
          </cell>
          <cell r="G825" t="str">
            <v>SCA-NWTR11</v>
          </cell>
          <cell r="H825" t="str">
            <v>SCA-NWTR10</v>
          </cell>
          <cell r="W825" t="str">
            <v>SCA: UTILITIES  - WATER (NEW BLDG)</v>
          </cell>
        </row>
        <row r="826">
          <cell r="A826" t="str">
            <v>SCA: UTILITIES FY15 - CHILLED WATER</v>
          </cell>
          <cell r="B826" t="str">
            <v>SCA</v>
          </cell>
          <cell r="C826" t="str">
            <v>SCA-UCW</v>
          </cell>
          <cell r="D826" t="str">
            <v>SCA-UCW14</v>
          </cell>
          <cell r="E826" t="str">
            <v>SCA-UCW13</v>
          </cell>
          <cell r="F826" t="str">
            <v>SCA-UCW12</v>
          </cell>
          <cell r="G826" t="str">
            <v>SCA-UCW11</v>
          </cell>
          <cell r="H826" t="str">
            <v>SCA-UCW10</v>
          </cell>
          <cell r="W826" t="str">
            <v>SCA: UTILITIES  - CHILLED WATER</v>
          </cell>
        </row>
        <row r="827">
          <cell r="A827" t="str">
            <v>SCA: UTILITIES FY15 - DEBT SERVICE</v>
          </cell>
          <cell r="B827" t="str">
            <v>SCA</v>
          </cell>
          <cell r="C827" t="str">
            <v>SCA-UDS</v>
          </cell>
          <cell r="D827" t="str">
            <v>SCA-UDS14</v>
          </cell>
          <cell r="E827" t="str">
            <v>SCA-UDS13</v>
          </cell>
          <cell r="F827" t="str">
            <v>SCA-UDS12</v>
          </cell>
          <cell r="G827" t="str">
            <v>SCA-UDS11</v>
          </cell>
          <cell r="H827" t="str">
            <v>SCA-UDS10</v>
          </cell>
          <cell r="W827" t="str">
            <v>SCA: UTILITIES  - DEBT SERVICE</v>
          </cell>
        </row>
        <row r="828">
          <cell r="A828" t="str">
            <v>TTL: UTILITIES FY15 - ELECTRIC</v>
          </cell>
          <cell r="B828" t="str">
            <v>TTL</v>
          </cell>
          <cell r="C828" t="str">
            <v>TTL-ELC</v>
          </cell>
          <cell r="D828" t="str">
            <v>TTL-ELC-14</v>
          </cell>
          <cell r="E828" t="str">
            <v>TTL-ELC-13</v>
          </cell>
          <cell r="F828" t="str">
            <v>TTL-ELC-12</v>
          </cell>
          <cell r="G828" t="str">
            <v>TTL-ELC-11</v>
          </cell>
          <cell r="H828" t="str">
            <v>TTL-ELC-10</v>
          </cell>
          <cell r="I828" t="str">
            <v>TTL-ELC-09</v>
          </cell>
          <cell r="J828" t="str">
            <v>TTL-ELC-08</v>
          </cell>
          <cell r="T828">
            <v>2960</v>
          </cell>
          <cell r="U828" t="str">
            <v>TTL</v>
          </cell>
          <cell r="W828" t="str">
            <v>TTL: UTILITIES  - ELECTRIC</v>
          </cell>
        </row>
        <row r="829">
          <cell r="A829" t="str">
            <v>TTL: UTILITIES FY15 - GAS</v>
          </cell>
          <cell r="B829" t="str">
            <v>TTL</v>
          </cell>
          <cell r="C829" t="str">
            <v>TTL-GAS</v>
          </cell>
          <cell r="D829" t="str">
            <v>TTL-GAS-14</v>
          </cell>
          <cell r="E829" t="str">
            <v>TTL-GAS-13</v>
          </cell>
          <cell r="F829" t="str">
            <v>TTL-GAS-12</v>
          </cell>
          <cell r="G829" t="str">
            <v>TTL-GAS-11</v>
          </cell>
          <cell r="H829" t="str">
            <v>TTL-GAS-10</v>
          </cell>
          <cell r="I829" t="str">
            <v>TTL-GAS-09</v>
          </cell>
          <cell r="W829" t="str">
            <v>TTL: UTILITIES  - GAS</v>
          </cell>
        </row>
        <row r="830">
          <cell r="A830" t="str">
            <v>TTL: UTILITIES FY15 - WATER</v>
          </cell>
          <cell r="B830" t="str">
            <v>TTL</v>
          </cell>
          <cell r="C830" t="str">
            <v>TTL-WTR</v>
          </cell>
          <cell r="D830" t="str">
            <v>TTL-WTR-14</v>
          </cell>
          <cell r="E830" t="str">
            <v>TTL-WTR-13</v>
          </cell>
          <cell r="F830" t="str">
            <v>TTL-WTR-12</v>
          </cell>
          <cell r="G830" t="str">
            <v>TTL-WTR-11</v>
          </cell>
          <cell r="H830" t="str">
            <v>TTL-WTR-10</v>
          </cell>
          <cell r="I830" t="str">
            <v>TTL-WTR-09</v>
          </cell>
          <cell r="J830" t="str">
            <v>TTL-WTR-08</v>
          </cell>
          <cell r="W830" t="str">
            <v>TTL: UTILITIES  - WATER</v>
          </cell>
        </row>
        <row r="831">
          <cell r="A831" t="str">
            <v>TTL: UTILITIES FY15 - CHILLED WATER</v>
          </cell>
          <cell r="B831">
            <v>0</v>
          </cell>
          <cell r="C831">
            <v>0</v>
          </cell>
          <cell r="D831">
            <v>0</v>
          </cell>
          <cell r="W831" t="str">
            <v>TTL: UTILITIES  - CHILLED WATER</v>
          </cell>
        </row>
        <row r="832">
          <cell r="A832" t="str">
            <v>VWB: UTILITIES FY15 - ELECTRIC</v>
          </cell>
          <cell r="B832" t="str">
            <v>VWB</v>
          </cell>
          <cell r="C832" t="str">
            <v>VWB-NELC</v>
          </cell>
          <cell r="D832" t="str">
            <v>VWB-NELC14</v>
          </cell>
          <cell r="E832" t="str">
            <v>VWB-NELC13</v>
          </cell>
          <cell r="F832" t="str">
            <v>VWB-NELC12</v>
          </cell>
          <cell r="G832" t="str">
            <v>VWB-NELC11</v>
          </cell>
          <cell r="T832">
            <v>2980</v>
          </cell>
          <cell r="U832" t="str">
            <v>VWB</v>
          </cell>
          <cell r="W832" t="str">
            <v>VWB: UTILITIES  - ELECTRIC (NEW BLDG)</v>
          </cell>
        </row>
        <row r="833">
          <cell r="A833" t="str">
            <v>VWB: UTILITIES FY15 - GAS</v>
          </cell>
          <cell r="B833" t="str">
            <v>VWB</v>
          </cell>
          <cell r="C833" t="str">
            <v>VWB-NGAS</v>
          </cell>
          <cell r="D833" t="str">
            <v>VWB-NGAS14</v>
          </cell>
          <cell r="E833" t="str">
            <v>VWB-NGAS13</v>
          </cell>
          <cell r="F833" t="str">
            <v>VWB-NGAS12</v>
          </cell>
          <cell r="G833" t="str">
            <v>VWB-NGAS11</v>
          </cell>
          <cell r="W833" t="str">
            <v>VWB: UTILITIES  - GAS (NEW BLDG)</v>
          </cell>
        </row>
        <row r="834">
          <cell r="A834" t="str">
            <v>VWB: UTILITIES FY15 - WATER</v>
          </cell>
          <cell r="B834" t="str">
            <v>VWB</v>
          </cell>
          <cell r="C834" t="str">
            <v>VWB-NWTR</v>
          </cell>
          <cell r="D834" t="str">
            <v>VWB-NWTR14</v>
          </cell>
          <cell r="E834" t="str">
            <v>VWB-NWTR13</v>
          </cell>
          <cell r="F834" t="str">
            <v>VWB-NWTR12</v>
          </cell>
          <cell r="G834" t="str">
            <v>VWB-NWTR11</v>
          </cell>
          <cell r="W834" t="str">
            <v>VWB: UTILITIES  - WATER (NEW BLDG)</v>
          </cell>
        </row>
        <row r="835">
          <cell r="A835" t="str">
            <v>TCC: UTILITIES FY15 - ELECTRIC</v>
          </cell>
          <cell r="B835" t="str">
            <v>TCC</v>
          </cell>
          <cell r="C835" t="str">
            <v>TCC-NELC</v>
          </cell>
          <cell r="D835" t="str">
            <v>TCC-NELC14</v>
          </cell>
          <cell r="E835" t="str">
            <v>TCC-NELC13</v>
          </cell>
          <cell r="F835" t="str">
            <v>TCC-NELC12</v>
          </cell>
          <cell r="G835" t="str">
            <v>TCC-NELC11</v>
          </cell>
          <cell r="T835">
            <v>3100</v>
          </cell>
          <cell r="U835" t="str">
            <v>TCC</v>
          </cell>
          <cell r="W835" t="str">
            <v>TCC: UTILITIES  - ELECTRIC (NEW BLDG)</v>
          </cell>
        </row>
        <row r="836">
          <cell r="A836" t="str">
            <v>TCC: UTILITIES FY15 - GAS</v>
          </cell>
          <cell r="B836" t="str">
            <v>TCC</v>
          </cell>
          <cell r="C836" t="str">
            <v>TCC-NGAS</v>
          </cell>
          <cell r="D836" t="str">
            <v>TCC-NGAS14</v>
          </cell>
          <cell r="E836" t="str">
            <v>TCC-NGAS13</v>
          </cell>
          <cell r="F836" t="str">
            <v>TCC-NGAS12</v>
          </cell>
          <cell r="G836" t="str">
            <v>TCC-NGAS11</v>
          </cell>
          <cell r="W836" t="str">
            <v>TCC: UTILITIES  - GAS (NEW BLDG)</v>
          </cell>
        </row>
        <row r="837">
          <cell r="A837" t="str">
            <v>TCC: UTILITIES FY15 - WATER</v>
          </cell>
          <cell r="B837" t="str">
            <v>TCC</v>
          </cell>
          <cell r="C837" t="str">
            <v>TCC-NWTR</v>
          </cell>
          <cell r="D837" t="str">
            <v>TCC-NWTR14</v>
          </cell>
          <cell r="E837" t="str">
            <v>TCC-NWTR13</v>
          </cell>
          <cell r="F837" t="str">
            <v>TCC-NWTR12</v>
          </cell>
          <cell r="G837" t="str">
            <v>TCC-NWTR11</v>
          </cell>
          <cell r="W837" t="str">
            <v>TCC: UTILITIES  - WATER (NEW BLDG)</v>
          </cell>
        </row>
        <row r="838">
          <cell r="A838" t="str">
            <v>TCC: UTILITIES CHILLED WATER FY15</v>
          </cell>
          <cell r="B838" t="str">
            <v>TCC</v>
          </cell>
          <cell r="C838" t="str">
            <v>TCC-UCW</v>
          </cell>
          <cell r="D838" t="str">
            <v>TCC-UCW-14</v>
          </cell>
          <cell r="E838" t="str">
            <v>TCC-UCW-13</v>
          </cell>
          <cell r="F838" t="str">
            <v>TCC-UCW-12</v>
          </cell>
          <cell r="G838" t="str">
            <v>TCC-UCW-11</v>
          </cell>
          <cell r="H838" t="str">
            <v>TCC-UCW-10</v>
          </cell>
          <cell r="I838" t="str">
            <v>TCC-UCW-09</v>
          </cell>
          <cell r="W838" t="str">
            <v xml:space="preserve">TCC: UTILITIES CHILLED WATER </v>
          </cell>
        </row>
        <row r="839">
          <cell r="A839" t="str">
            <v>TCC: UTILITIES DEBT SERVICE FY15</v>
          </cell>
          <cell r="B839" t="str">
            <v>TCC</v>
          </cell>
          <cell r="C839" t="str">
            <v>TCC-UDS</v>
          </cell>
          <cell r="D839" t="str">
            <v>TCC-UDS-14</v>
          </cell>
          <cell r="E839" t="str">
            <v>TCC-UDS-13</v>
          </cell>
          <cell r="F839" t="str">
            <v>TCC-UDS-12</v>
          </cell>
          <cell r="G839" t="str">
            <v>TCC-UDS-11</v>
          </cell>
          <cell r="H839" t="str">
            <v>TCC-UDS-10</v>
          </cell>
          <cell r="I839" t="str">
            <v>TCC-UDS-09</v>
          </cell>
          <cell r="W839" t="str">
            <v xml:space="preserve">TCC: UTILITIES DEBT SERVICE </v>
          </cell>
        </row>
        <row r="840">
          <cell r="A840" t="str">
            <v>TCC: UTILITIES MAINT FY15</v>
          </cell>
          <cell r="B840">
            <v>0</v>
          </cell>
          <cell r="C840" t="str">
            <v>TCC-UMT</v>
          </cell>
          <cell r="D840" t="str">
            <v>TCC-UMT-14</v>
          </cell>
          <cell r="E840" t="str">
            <v>TCC-UMT-13</v>
          </cell>
          <cell r="F840" t="str">
            <v>TCC-UMT-12</v>
          </cell>
          <cell r="G840" t="str">
            <v>TCC-UMT-11</v>
          </cell>
          <cell r="H840" t="str">
            <v>TCC-UMT-10</v>
          </cell>
          <cell r="I840" t="str">
            <v>TCC-UMT-09</v>
          </cell>
          <cell r="W840" t="str">
            <v xml:space="preserve">TCC: UTILITIES MAINT </v>
          </cell>
        </row>
        <row r="841">
          <cell r="A841" t="str">
            <v>TCC1: UTILITIES FY15 - ELECTRIC, CHILLER PLANT</v>
          </cell>
          <cell r="B841" t="str">
            <v>TCC1</v>
          </cell>
          <cell r="C841" t="str">
            <v>TCC1NELC</v>
          </cell>
          <cell r="D841" t="str">
            <v>TCC1NELC14</v>
          </cell>
          <cell r="E841" t="str">
            <v>TCC1NELC13</v>
          </cell>
          <cell r="F841" t="str">
            <v>TCC1NELC12</v>
          </cell>
          <cell r="G841" t="str">
            <v>TCC1NELC11</v>
          </cell>
          <cell r="T841">
            <v>3101</v>
          </cell>
          <cell r="U841" t="str">
            <v>TCC1</v>
          </cell>
          <cell r="W841" t="str">
            <v>TCC1: UTILITIES  - ELECTRIC (NEW BLDG)</v>
          </cell>
          <cell r="X841" t="str">
            <v>CHILLER PLANT</v>
          </cell>
        </row>
        <row r="842">
          <cell r="F842" t="str">
            <v>TCC1NGAS12</v>
          </cell>
          <cell r="G842" t="str">
            <v>TCC1NGAS11</v>
          </cell>
          <cell r="W842" t="str">
            <v>TCC1: UTILITIES  - GAS (NEW BLDG)</v>
          </cell>
        </row>
        <row r="843">
          <cell r="A843" t="str">
            <v>TCC1: UTILITIES FY15 - WATER</v>
          </cell>
          <cell r="B843" t="str">
            <v>TCC1</v>
          </cell>
          <cell r="C843" t="str">
            <v>TCC1NWTR</v>
          </cell>
          <cell r="D843" t="str">
            <v>TCC1NWTR14</v>
          </cell>
          <cell r="E843" t="str">
            <v>TCC1NWTR13</v>
          </cell>
          <cell r="F843" t="str">
            <v>TCC1NWTR12</v>
          </cell>
          <cell r="G843" t="str">
            <v>TCC1NWTR11</v>
          </cell>
          <cell r="W843" t="str">
            <v>TCC1: UTILITIES  - WATER (NEW BLDG)</v>
          </cell>
        </row>
        <row r="844">
          <cell r="F844">
            <v>0</v>
          </cell>
          <cell r="G844" t="str">
            <v>TCC1-UCW11</v>
          </cell>
          <cell r="W844" t="str">
            <v xml:space="preserve">TCC1: UTILITIES CHILLED WATER </v>
          </cell>
          <cell r="X844" t="str">
            <v>(WAS AUXILIARIES IN FY 2011 IN ERROR)</v>
          </cell>
        </row>
        <row r="845">
          <cell r="A845" t="str">
            <v>TCC2: UTILITIES FY15 - ELECTRIC</v>
          </cell>
          <cell r="B845" t="str">
            <v>TCC2</v>
          </cell>
          <cell r="C845" t="str">
            <v>TCC2-ELC</v>
          </cell>
          <cell r="D845" t="str">
            <v>TCC2-ELC14</v>
          </cell>
          <cell r="E845" t="str">
            <v>TCC2-ELC13</v>
          </cell>
          <cell r="F845" t="str">
            <v>TCC2-ELC12</v>
          </cell>
          <cell r="G845" t="str">
            <v>TCC2-ELC11</v>
          </cell>
          <cell r="H845" t="str">
            <v>TCC2-ELC10</v>
          </cell>
          <cell r="W845" t="str">
            <v>TCC2: UTILITIES  - ELECTRIC</v>
          </cell>
          <cell r="X845" t="str">
            <v>MECHNICAL EQUIPMENT (WAS CHILLER PLANT IN FY 2011 IN ERROR)</v>
          </cell>
        </row>
        <row r="846">
          <cell r="A846" t="str">
            <v>TCC2: CHILLER/CONTRACT PM FY15 - EQUIPMENT, D3030</v>
          </cell>
          <cell r="B846">
            <v>0</v>
          </cell>
          <cell r="D846" t="str">
            <v>TCC2-CMC14</v>
          </cell>
          <cell r="E846" t="str">
            <v>TCC2-CMC13</v>
          </cell>
          <cell r="W846" t="str">
            <v>TCC2: CHILLER/CONTRACT PM FY13 - EQUIPMENT, D3030</v>
          </cell>
        </row>
        <row r="847">
          <cell r="A847" t="str">
            <v>SCB: UTILITIES FY15 - GAS/WATER/ELECTRIC</v>
          </cell>
          <cell r="B847" t="str">
            <v>SCB</v>
          </cell>
          <cell r="C847" t="str">
            <v>SCB-EGW</v>
          </cell>
          <cell r="D847" t="str">
            <v>SCB-EGW-14</v>
          </cell>
          <cell r="E847" t="str">
            <v>SCB-EGW-13</v>
          </cell>
          <cell r="F847" t="str">
            <v>SCB-EGW-12</v>
          </cell>
          <cell r="G847" t="str">
            <v>SCB-EGW-11</v>
          </cell>
          <cell r="H847" t="str">
            <v>SCB-EGW-10</v>
          </cell>
          <cell r="I847" t="str">
            <v>SCB-EGW-09</v>
          </cell>
          <cell r="T847">
            <v>3120</v>
          </cell>
          <cell r="U847" t="str">
            <v>SCN</v>
          </cell>
          <cell r="W847" t="str">
            <v xml:space="preserve">SCB: UTILITIES G/W/E </v>
          </cell>
          <cell r="X847" t="str">
            <v>CONSTRUCTION</v>
          </cell>
        </row>
        <row r="848">
          <cell r="A848" t="str">
            <v>SCB: UTILITIES FY15 - ELECTRIC ONLY</v>
          </cell>
          <cell r="B848" t="str">
            <v>SCB</v>
          </cell>
          <cell r="C848" t="str">
            <v>SCB-NELC</v>
          </cell>
          <cell r="D848" t="str">
            <v>SCB-NELC14</v>
          </cell>
          <cell r="E848" t="str">
            <v>SCB-NELC13</v>
          </cell>
          <cell r="W848" t="str">
            <v>SCB: UTILITIES  - ELECTRIC (NEW BLDG)</v>
          </cell>
        </row>
        <row r="849">
          <cell r="A849" t="str">
            <v>SCB: UTILITIES G/W/E FY15 - GAS</v>
          </cell>
          <cell r="B849" t="str">
            <v>SCB</v>
          </cell>
          <cell r="C849" t="str">
            <v>SCB-NGAS</v>
          </cell>
          <cell r="D849" t="str">
            <v>SCB-NGAS14</v>
          </cell>
          <cell r="E849" t="str">
            <v>SCB-NGAS13</v>
          </cell>
          <cell r="W849" t="str">
            <v>SCB: UTILITIES  - GAS (NEW BLDG)</v>
          </cell>
        </row>
        <row r="850">
          <cell r="A850" t="str">
            <v>SCB: UTILITIES FY15 - WATER</v>
          </cell>
          <cell r="B850" t="str">
            <v>SCB</v>
          </cell>
          <cell r="C850" t="str">
            <v>SCB-NWTR</v>
          </cell>
          <cell r="D850" t="str">
            <v>SCB-NWTR14</v>
          </cell>
          <cell r="E850" t="str">
            <v>SCB-NWTR13</v>
          </cell>
          <cell r="W850" t="str">
            <v>SCB: UTILITIES  - WATER (NEW BLDG)</v>
          </cell>
        </row>
        <row r="851">
          <cell r="A851" t="str">
            <v>SCB: UTILITIES FY15 - DEBT SERVICE</v>
          </cell>
          <cell r="B851" t="str">
            <v>SCB</v>
          </cell>
          <cell r="W851" t="str">
            <v>SCB: UTILITIES  CHILLED WATER</v>
          </cell>
        </row>
        <row r="852">
          <cell r="A852" t="str">
            <v>SCB: UTILITIES FY15 - MAINTENANCE</v>
          </cell>
          <cell r="B852">
            <v>0</v>
          </cell>
          <cell r="C852" t="str">
            <v>SCB-UMT</v>
          </cell>
          <cell r="D852" t="str">
            <v>SCB-UMT14</v>
          </cell>
          <cell r="E852" t="str">
            <v>SCB-UMT13</v>
          </cell>
          <cell r="F852" t="str">
            <v>SCB-UMT12</v>
          </cell>
          <cell r="G852" t="str">
            <v>SCB-UMT11</v>
          </cell>
          <cell r="H852" t="str">
            <v>SCB-UMT10</v>
          </cell>
          <cell r="W852" t="str">
            <v xml:space="preserve">SCB: UTILITIES MAINT </v>
          </cell>
        </row>
        <row r="853">
          <cell r="A853" t="str">
            <v>SCC: UTILITIES FY15 - ELECTRIC</v>
          </cell>
          <cell r="B853" t="str">
            <v>SCC</v>
          </cell>
          <cell r="C853" t="str">
            <v>SCC-NELC</v>
          </cell>
          <cell r="D853" t="str">
            <v>SCC-NELC14</v>
          </cell>
          <cell r="E853" t="str">
            <v>SCC-NELC13</v>
          </cell>
          <cell r="F853" t="str">
            <v>SCC-NELC12</v>
          </cell>
          <cell r="G853" t="str">
            <v>SCC-NELC11</v>
          </cell>
          <cell r="H853" t="str">
            <v>SCC-NELC10</v>
          </cell>
          <cell r="T853">
            <v>3130</v>
          </cell>
          <cell r="U853" t="str">
            <v>SCC</v>
          </cell>
          <cell r="W853" t="str">
            <v>SCC: UTILITIES  - ELECTRIC (NEW BLDG)</v>
          </cell>
        </row>
        <row r="854">
          <cell r="A854" t="str">
            <v>SCC: UTILITIES FY15 - GAS</v>
          </cell>
          <cell r="B854" t="str">
            <v>SCC</v>
          </cell>
          <cell r="C854" t="str">
            <v>SCC-NGAS</v>
          </cell>
          <cell r="D854" t="str">
            <v>SCC-NGAS14</v>
          </cell>
          <cell r="E854" t="str">
            <v>SCC-NGAS13</v>
          </cell>
          <cell r="F854" t="str">
            <v>SCC-NGAS12</v>
          </cell>
          <cell r="G854" t="str">
            <v>SCC-NGAS11</v>
          </cell>
          <cell r="H854" t="str">
            <v>SCC-NGAS10</v>
          </cell>
          <cell r="W854" t="str">
            <v>SCC: UTILITIES  - GAS (NEW BLDG)</v>
          </cell>
        </row>
        <row r="855">
          <cell r="A855" t="str">
            <v>SCC: UTILITIES FY15 - WATER</v>
          </cell>
          <cell r="B855" t="str">
            <v>SCC</v>
          </cell>
          <cell r="C855" t="str">
            <v>SCC-NWTR</v>
          </cell>
          <cell r="D855" t="str">
            <v>SCC-NWTR14</v>
          </cell>
          <cell r="E855" t="str">
            <v>SCC-NWTR13</v>
          </cell>
          <cell r="F855" t="str">
            <v>SCC-NWTR12</v>
          </cell>
          <cell r="G855" t="str">
            <v>SCC-NWTR11</v>
          </cell>
          <cell r="H855" t="str">
            <v>SCC-NWTR10</v>
          </cell>
          <cell r="W855" t="str">
            <v>SCC: UTILITIES  - WATER (NEW BLDG)</v>
          </cell>
        </row>
        <row r="856">
          <cell r="A856" t="str">
            <v>SCC: UTILITIES FY15 - CHILLED WATER</v>
          </cell>
          <cell r="B856" t="str">
            <v>SCC</v>
          </cell>
          <cell r="C856" t="str">
            <v>SCC-UCW</v>
          </cell>
          <cell r="D856" t="str">
            <v>SCC-UCW14</v>
          </cell>
          <cell r="E856" t="str">
            <v>SCC-UCW13</v>
          </cell>
          <cell r="F856" t="str">
            <v>SCC-UCW12</v>
          </cell>
          <cell r="G856" t="str">
            <v>SCC-UCW11</v>
          </cell>
          <cell r="H856" t="str">
            <v>SCC-UCW10</v>
          </cell>
          <cell r="W856" t="str">
            <v>SCC: UTILITIES  - CHILLED WATER</v>
          </cell>
        </row>
        <row r="857">
          <cell r="A857" t="str">
            <v>SCC: UTILITIES FY15 - DEBT SERVICE</v>
          </cell>
          <cell r="B857" t="str">
            <v>SCC</v>
          </cell>
          <cell r="C857" t="str">
            <v>SCC-UDS</v>
          </cell>
          <cell r="D857" t="str">
            <v>SCC-UDS14</v>
          </cell>
          <cell r="E857" t="str">
            <v>SCC-UDS13</v>
          </cell>
          <cell r="F857" t="str">
            <v>SCC-UDS12</v>
          </cell>
          <cell r="G857" t="str">
            <v>SCC-UDS11</v>
          </cell>
          <cell r="H857" t="str">
            <v>SCC-UDS10</v>
          </cell>
          <cell r="W857" t="str">
            <v>SCC: UTILITIES  - DEBT SERVICE</v>
          </cell>
        </row>
        <row r="858">
          <cell r="A858" t="str">
            <v>SCC: UTILITIES FY15 - MAINTENANCE</v>
          </cell>
          <cell r="B858">
            <v>0</v>
          </cell>
          <cell r="C858" t="str">
            <v>SCC-UMT</v>
          </cell>
          <cell r="D858" t="str">
            <v>SCC-UMT14</v>
          </cell>
          <cell r="E858" t="str">
            <v>SCC-UMT13</v>
          </cell>
          <cell r="F858" t="str">
            <v>SCC-UMT12</v>
          </cell>
          <cell r="G858" t="str">
            <v>SCC-UMT11</v>
          </cell>
          <cell r="H858" t="str">
            <v>SCC-UMT10</v>
          </cell>
          <cell r="W858" t="str">
            <v xml:space="preserve">SCC: UTILITIES MAINT </v>
          </cell>
        </row>
        <row r="859">
          <cell r="A859" t="str">
            <v>SCX: UTILITIES FY15 - ELECTRIC</v>
          </cell>
          <cell r="B859" t="str">
            <v>SCX</v>
          </cell>
          <cell r="C859" t="str">
            <v>SCX-NELC</v>
          </cell>
          <cell r="D859" t="str">
            <v>SCX-NELC14</v>
          </cell>
          <cell r="E859" t="str">
            <v>SCX-NELC13</v>
          </cell>
          <cell r="F859" t="str">
            <v>SCX-NELC12</v>
          </cell>
          <cell r="G859" t="str">
            <v>SCX-NELC11</v>
          </cell>
          <cell r="H859" t="str">
            <v>SCX-NELC10</v>
          </cell>
          <cell r="T859">
            <v>3140</v>
          </cell>
          <cell r="U859" t="str">
            <v>SCX</v>
          </cell>
          <cell r="W859" t="str">
            <v>SCX: UTILITIES  - ELECTRIC (NEW BLDG)</v>
          </cell>
        </row>
        <row r="860">
          <cell r="A860" t="str">
            <v>SCX: UTILITIES FY15 - GAS</v>
          </cell>
          <cell r="B860" t="str">
            <v>SCX</v>
          </cell>
          <cell r="C860" t="str">
            <v>SCX-NGAS</v>
          </cell>
          <cell r="D860" t="str">
            <v>SCX-NGAS14</v>
          </cell>
          <cell r="E860" t="str">
            <v>SCX-NGAS13</v>
          </cell>
          <cell r="F860" t="str">
            <v>SCX-NGAS12</v>
          </cell>
          <cell r="G860" t="str">
            <v>SCX-NGAS11</v>
          </cell>
          <cell r="H860" t="str">
            <v>SCX-NGAS10</v>
          </cell>
          <cell r="W860" t="str">
            <v>SCX: UTILITIES  - GAS (NEW BLDG)</v>
          </cell>
        </row>
        <row r="861">
          <cell r="A861" t="str">
            <v>SCX: UTILITIES FY15 - WATER</v>
          </cell>
          <cell r="B861" t="str">
            <v>SCX</v>
          </cell>
          <cell r="C861" t="str">
            <v>SCX-NWTR</v>
          </cell>
          <cell r="D861" t="str">
            <v>SCX-NWTR14</v>
          </cell>
          <cell r="E861" t="str">
            <v>SCX-NWTR13</v>
          </cell>
          <cell r="F861" t="str">
            <v>SCX-NWTR12</v>
          </cell>
          <cell r="G861" t="str">
            <v>SCX-NWTR11</v>
          </cell>
          <cell r="H861" t="str">
            <v>SCX-NWTR10</v>
          </cell>
          <cell r="W861" t="str">
            <v>SCX: UTILITIES  - WATER (NEW BLDG)</v>
          </cell>
        </row>
        <row r="862">
          <cell r="A862" t="str">
            <v>SCX: UTILITIES CHILLED WATER FY15</v>
          </cell>
          <cell r="B862" t="str">
            <v>SCX</v>
          </cell>
          <cell r="C862" t="str">
            <v>SCX-UCW</v>
          </cell>
          <cell r="D862" t="str">
            <v>SCX-UCW14</v>
          </cell>
          <cell r="E862" t="str">
            <v>SCX-UCW13</v>
          </cell>
          <cell r="F862" t="str">
            <v>SCX-UCW12</v>
          </cell>
          <cell r="G862" t="str">
            <v>SCX-UCW11</v>
          </cell>
          <cell r="H862" t="str">
            <v>SCX-UCW10</v>
          </cell>
          <cell r="W862" t="str">
            <v>SCX: UTILITIES  - CHILLED WATER</v>
          </cell>
        </row>
        <row r="863">
          <cell r="A863" t="str">
            <v>SCX: UTILITIES DEBT SERVICE FY15</v>
          </cell>
          <cell r="B863" t="str">
            <v>SCX</v>
          </cell>
          <cell r="C863" t="str">
            <v>SCX-UDS</v>
          </cell>
          <cell r="D863" t="str">
            <v>SCX-UDS14</v>
          </cell>
          <cell r="E863" t="str">
            <v>SCX-UDS13</v>
          </cell>
          <cell r="F863" t="str">
            <v>SCX-UDS12</v>
          </cell>
          <cell r="G863" t="str">
            <v>SCX-UDS11</v>
          </cell>
          <cell r="H863" t="str">
            <v>SCX-UDS10</v>
          </cell>
          <cell r="W863" t="str">
            <v>SCX: UTILITIES  - DEBT SERVICE</v>
          </cell>
        </row>
        <row r="864">
          <cell r="A864" t="str">
            <v>SCE: UTILITIES FY15 - ELECTRIC</v>
          </cell>
          <cell r="B864" t="str">
            <v>SCE</v>
          </cell>
          <cell r="C864" t="str">
            <v>SCE-NELC</v>
          </cell>
          <cell r="D864" t="str">
            <v>SCE-NELC14</v>
          </cell>
          <cell r="E864" t="str">
            <v>SCE-NELC13</v>
          </cell>
          <cell r="F864" t="str">
            <v>SCE-NELC12</v>
          </cell>
          <cell r="G864" t="str">
            <v>SCE-NELC11</v>
          </cell>
          <cell r="H864" t="str">
            <v>SCE-NELC10</v>
          </cell>
          <cell r="T864">
            <v>3150</v>
          </cell>
          <cell r="U864" t="str">
            <v>SCE</v>
          </cell>
          <cell r="W864" t="str">
            <v>SCE: UTILITIES  - ELECTRIC (NEW BLDG)</v>
          </cell>
        </row>
        <row r="865">
          <cell r="A865" t="str">
            <v>SCE: UTILITIES FY15 - GAS</v>
          </cell>
          <cell r="B865" t="str">
            <v>SCE</v>
          </cell>
          <cell r="C865" t="str">
            <v>SCE-NGAS</v>
          </cell>
          <cell r="D865" t="str">
            <v>SCE-NGAS14</v>
          </cell>
          <cell r="E865" t="str">
            <v>SCE-NGAS13</v>
          </cell>
          <cell r="F865" t="str">
            <v>SCE-NGAS12</v>
          </cell>
          <cell r="G865" t="str">
            <v>SCE-NGAS11</v>
          </cell>
          <cell r="H865" t="str">
            <v>SCE-NGAS10</v>
          </cell>
          <cell r="W865" t="str">
            <v>SCE: UTILITIES  - GAS (NEW BLDG)</v>
          </cell>
        </row>
        <row r="866">
          <cell r="A866" t="str">
            <v>SCE: UTILITIES FY15 - WATER</v>
          </cell>
          <cell r="B866" t="str">
            <v>SCE</v>
          </cell>
          <cell r="C866" t="str">
            <v>SCE-NWTR</v>
          </cell>
          <cell r="D866" t="str">
            <v>SCE-NWTR14</v>
          </cell>
          <cell r="E866" t="str">
            <v>SCE-NWTR13</v>
          </cell>
          <cell r="F866" t="str">
            <v>SCE-NWTR12</v>
          </cell>
          <cell r="G866" t="str">
            <v>SCE-NWTR11</v>
          </cell>
          <cell r="H866" t="str">
            <v>SCE-NWTR10</v>
          </cell>
          <cell r="W866" t="str">
            <v>SCE: UTILITIES  - WATER (NEW BLDG)</v>
          </cell>
        </row>
        <row r="867">
          <cell r="A867" t="str">
            <v>SCE: UTILITIES CHILLED WATER FY15</v>
          </cell>
          <cell r="B867" t="str">
            <v>SCE</v>
          </cell>
          <cell r="C867" t="str">
            <v>SCE-UCW</v>
          </cell>
          <cell r="D867" t="str">
            <v>SCE-UCW14</v>
          </cell>
          <cell r="E867" t="str">
            <v>SCE-UCW13</v>
          </cell>
          <cell r="F867" t="str">
            <v>SCE-UCW12</v>
          </cell>
          <cell r="G867" t="str">
            <v>SCE-UCW11</v>
          </cell>
          <cell r="H867" t="str">
            <v>SCE-UCW10</v>
          </cell>
          <cell r="W867" t="str">
            <v>SCE: UTILITIES  - CHILLED WATER</v>
          </cell>
        </row>
        <row r="868">
          <cell r="A868" t="str">
            <v>SCE: UTILITIES DEBT SERVICE FY15</v>
          </cell>
          <cell r="B868" t="str">
            <v>SCE</v>
          </cell>
          <cell r="C868" t="str">
            <v>SCE-UDS</v>
          </cell>
          <cell r="D868" t="str">
            <v>SCE-UDS14</v>
          </cell>
          <cell r="E868" t="str">
            <v>SCE-UDS13</v>
          </cell>
          <cell r="F868" t="str">
            <v>SCE-UDS12</v>
          </cell>
          <cell r="G868" t="str">
            <v>SCE-UDS11</v>
          </cell>
          <cell r="H868" t="str">
            <v>SCE-UDS10</v>
          </cell>
          <cell r="W868" t="str">
            <v>SCE: UTILITIES  - DEBT SERVICE</v>
          </cell>
        </row>
        <row r="869">
          <cell r="A869" t="str">
            <v>CDF: UTILITIES FY15 - ELECTRIC</v>
          </cell>
          <cell r="B869" t="str">
            <v>CDF</v>
          </cell>
          <cell r="C869" t="str">
            <v>CDF-ELC</v>
          </cell>
          <cell r="D869" t="str">
            <v>CDF-ELC-14</v>
          </cell>
          <cell r="E869" t="str">
            <v>CDF-ELC-13</v>
          </cell>
          <cell r="F869" t="str">
            <v>CDF-ELC-12</v>
          </cell>
          <cell r="G869" t="str">
            <v>CDF-ELC-11</v>
          </cell>
          <cell r="H869" t="str">
            <v>CDF-ELC-10</v>
          </cell>
          <cell r="I869" t="str">
            <v>CDF-ELC-09</v>
          </cell>
          <cell r="T869">
            <v>3160</v>
          </cell>
          <cell r="U869" t="str">
            <v>CDF</v>
          </cell>
          <cell r="W869" t="str">
            <v>CDF: UTILITIES  - ELECTRIC</v>
          </cell>
        </row>
        <row r="870">
          <cell r="A870" t="str">
            <v>CDF: UTILITIES FY15 - GAS</v>
          </cell>
          <cell r="B870" t="str">
            <v>CDF</v>
          </cell>
          <cell r="C870" t="str">
            <v>CDF-GAS</v>
          </cell>
          <cell r="D870" t="str">
            <v>CDF-GAS-14</v>
          </cell>
          <cell r="E870" t="str">
            <v>CDF-GAS-13</v>
          </cell>
          <cell r="F870" t="str">
            <v>CDF-GAS-12</v>
          </cell>
          <cell r="G870" t="str">
            <v>CDF-GAS-11</v>
          </cell>
          <cell r="H870" t="str">
            <v>CDF-GAS-10</v>
          </cell>
          <cell r="I870" t="str">
            <v>CDF-GAS-09</v>
          </cell>
          <cell r="W870" t="str">
            <v>CDF: UTILITIES  - GAS</v>
          </cell>
        </row>
        <row r="871">
          <cell r="A871" t="str">
            <v>CDF: UTILITIES FY15 - WATER</v>
          </cell>
          <cell r="B871" t="str">
            <v>CDF</v>
          </cell>
          <cell r="C871" t="str">
            <v>CDF-WTR</v>
          </cell>
          <cell r="D871" t="str">
            <v>CDF-WTR-14</v>
          </cell>
          <cell r="E871" t="str">
            <v>CDF-WTR-13</v>
          </cell>
          <cell r="F871" t="str">
            <v>CDF-WTR-12</v>
          </cell>
          <cell r="G871" t="str">
            <v>CDF-WTR-11</v>
          </cell>
          <cell r="H871" t="str">
            <v>CDF-WTR-10</v>
          </cell>
          <cell r="I871" t="str">
            <v>CDF-WTR-09</v>
          </cell>
          <cell r="W871" t="str">
            <v>CDF: UTILITIES  - WATER</v>
          </cell>
        </row>
        <row r="872">
          <cell r="A872" t="str">
            <v>JMC: UTILITIES FY15 - WATER/ELECTRIC</v>
          </cell>
          <cell r="B872" t="str">
            <v>JMC</v>
          </cell>
          <cell r="C872" t="str">
            <v>JMC-EGW</v>
          </cell>
          <cell r="D872" t="str">
            <v>JMC-EGW-14</v>
          </cell>
          <cell r="E872" t="str">
            <v>JMC-EGW-13</v>
          </cell>
          <cell r="F872" t="str">
            <v>ASB-EGW-12</v>
          </cell>
          <cell r="G872" t="str">
            <v>ASB-EGW-11</v>
          </cell>
          <cell r="T872">
            <v>3210</v>
          </cell>
          <cell r="U872" t="str">
            <v>JMC</v>
          </cell>
          <cell r="W872" t="str">
            <v xml:space="preserve">JMC: UTILITIES G/W/E </v>
          </cell>
        </row>
        <row r="873">
          <cell r="A873" t="str">
            <v>JMC: UTILITIES  - ELECTRIC</v>
          </cell>
          <cell r="B873">
            <v>0</v>
          </cell>
          <cell r="C873">
            <v>0</v>
          </cell>
          <cell r="D873">
            <v>0</v>
          </cell>
          <cell r="W873" t="str">
            <v>JMC: UTILITIES  - ELECTRIC   (NEW BLDG)  FAMIS Xi</v>
          </cell>
        </row>
        <row r="874">
          <cell r="A874" t="str">
            <v>JMC: UTILITIES  - GAS</v>
          </cell>
          <cell r="B874">
            <v>0</v>
          </cell>
          <cell r="C874">
            <v>0</v>
          </cell>
          <cell r="D874">
            <v>0</v>
          </cell>
          <cell r="W874" t="str">
            <v>JMC: UTILITIES  - GAS    (NEW BLDG)  FAMIS Xi</v>
          </cell>
        </row>
        <row r="875">
          <cell r="A875" t="str">
            <v>JMC: UTILITIES  - WATER</v>
          </cell>
          <cell r="B875">
            <v>0</v>
          </cell>
          <cell r="C875">
            <v>0</v>
          </cell>
          <cell r="D875">
            <v>0</v>
          </cell>
          <cell r="W875" t="str">
            <v>JMC: UTILITIES  - WATER   (NEW BLDG)  FAMIS Xi</v>
          </cell>
        </row>
        <row r="876">
          <cell r="A876" t="str">
            <v>JMC: UTILITIES CHILLED WATER FY15</v>
          </cell>
          <cell r="B876" t="str">
            <v>JMC</v>
          </cell>
          <cell r="D876">
            <v>0</v>
          </cell>
          <cell r="F876" t="str">
            <v>SCE-UCW12</v>
          </cell>
          <cell r="G876" t="str">
            <v>SCE-UCW11</v>
          </cell>
          <cell r="H876" t="str">
            <v>SCE-UCW10</v>
          </cell>
          <cell r="W876" t="str">
            <v>JMC: UTILITIES  - CHILLED WATER</v>
          </cell>
        </row>
        <row r="877">
          <cell r="A877" t="str">
            <v>JMC: UTILITIES DEBT SERVICE FY15</v>
          </cell>
          <cell r="B877" t="str">
            <v>JMC</v>
          </cell>
          <cell r="D877">
            <v>0</v>
          </cell>
          <cell r="F877" t="str">
            <v>SCE-UDS12</v>
          </cell>
          <cell r="G877" t="str">
            <v>SCE-UDS11</v>
          </cell>
          <cell r="H877" t="str">
            <v>SCE-UDS10</v>
          </cell>
          <cell r="W877" t="str">
            <v>JMC: UTILITIES  - DEBT SERVICE</v>
          </cell>
        </row>
        <row r="878">
          <cell r="A878" t="str">
            <v>ESH: UTILITIES FY15 - ELECTRIC</v>
          </cell>
          <cell r="B878" t="str">
            <v>ESH</v>
          </cell>
          <cell r="C878" t="str">
            <v>ESH-ELC</v>
          </cell>
          <cell r="D878" t="str">
            <v>ESH-ELC-14</v>
          </cell>
          <cell r="E878" t="str">
            <v>ESH-ELC-13</v>
          </cell>
          <cell r="F878" t="str">
            <v>ESH-ELC-12</v>
          </cell>
          <cell r="T878">
            <v>3260</v>
          </cell>
          <cell r="U878" t="str">
            <v>ESH</v>
          </cell>
          <cell r="W878" t="str">
            <v>ESH: UTILITIES FY15 - ELECTRIC</v>
          </cell>
        </row>
        <row r="879">
          <cell r="A879" t="str">
            <v>ESH: UTILITIES FY15 - GAS</v>
          </cell>
          <cell r="B879" t="str">
            <v>ESH</v>
          </cell>
          <cell r="C879" t="str">
            <v>ESH-GAS</v>
          </cell>
          <cell r="D879" t="str">
            <v>ESH-GAS-14</v>
          </cell>
          <cell r="E879" t="str">
            <v>ESH-GAS-13</v>
          </cell>
          <cell r="W879" t="str">
            <v>ESH: UTILITIES FY15 - GAS</v>
          </cell>
        </row>
        <row r="880">
          <cell r="A880" t="str">
            <v>ESH: UTILITIES FY15 - WATER</v>
          </cell>
          <cell r="B880" t="str">
            <v>ESH</v>
          </cell>
          <cell r="C880" t="str">
            <v>ESH-WTR</v>
          </cell>
          <cell r="D880" t="str">
            <v>ESH-WTR-14</v>
          </cell>
          <cell r="E880" t="str">
            <v>ESH-WTR-13</v>
          </cell>
          <cell r="W880" t="str">
            <v>ESH: UTILITIES FY15 - WATER</v>
          </cell>
        </row>
        <row r="881">
          <cell r="A881" t="str">
            <v>ESH: UTILITIES - ELECTRIC</v>
          </cell>
          <cell r="B881">
            <v>0</v>
          </cell>
          <cell r="C881">
            <v>0</v>
          </cell>
          <cell r="D881">
            <v>0</v>
          </cell>
          <cell r="W881" t="str">
            <v>ESH: UTILITIES FY15 - ELECTRIC   (NEW BLDG)  FAMIS Xi</v>
          </cell>
        </row>
        <row r="882">
          <cell r="A882" t="str">
            <v>ESH: UTILITIES  - GAS</v>
          </cell>
          <cell r="B882">
            <v>0</v>
          </cell>
          <cell r="C882">
            <v>0</v>
          </cell>
          <cell r="D882">
            <v>0</v>
          </cell>
          <cell r="W882" t="str">
            <v>ESH: UTILITIES FY15 - GAS    (NEW BLDG)  FAMIS Xi</v>
          </cell>
        </row>
        <row r="883">
          <cell r="A883" t="str">
            <v>ESH: UTILITIES  - WATER</v>
          </cell>
          <cell r="B883">
            <v>0</v>
          </cell>
          <cell r="C883">
            <v>0</v>
          </cell>
          <cell r="D883">
            <v>0</v>
          </cell>
          <cell r="W883" t="str">
            <v>ESH: UTILITIES FY15 - WATER   (NEW BLDG)  FAMIS Xi</v>
          </cell>
        </row>
        <row r="884">
          <cell r="A884" t="str">
            <v>ESH: UTILITIES FY15 - CHILLED WATER</v>
          </cell>
          <cell r="C884" t="str">
            <v>ESH-UCW</v>
          </cell>
          <cell r="D884" t="str">
            <v>ESH-UCW-14</v>
          </cell>
          <cell r="E884" t="str">
            <v>ESH-UCW-13</v>
          </cell>
          <cell r="W884" t="str">
            <v>ESH: UTILITIES FY15 - CHILLED WATER</v>
          </cell>
        </row>
        <row r="885">
          <cell r="A885" t="str">
            <v>ANN: UTILITIES FY15 - ELECTRIC</v>
          </cell>
          <cell r="B885" t="str">
            <v>ANN</v>
          </cell>
          <cell r="C885" t="str">
            <v>ANN-NELC</v>
          </cell>
          <cell r="F885" t="str">
            <v>SCE-UDS12</v>
          </cell>
          <cell r="G885" t="str">
            <v>SCE-UDS11</v>
          </cell>
          <cell r="H885" t="str">
            <v>SCE-UDS10</v>
          </cell>
          <cell r="T885">
            <v>3270</v>
          </cell>
          <cell r="U885" t="str">
            <v>ANN</v>
          </cell>
          <cell r="W885" t="str">
            <v>ANN: UTILITIES FY15 - ELECTRIC</v>
          </cell>
        </row>
        <row r="886">
          <cell r="A886" t="str">
            <v>ANN: UTILITIES FY15 - GAS</v>
          </cell>
          <cell r="B886" t="str">
            <v>ANN</v>
          </cell>
          <cell r="C886" t="str">
            <v>ANN-NGAS</v>
          </cell>
          <cell r="W886" t="str">
            <v>ANN: UTILITIES FY15 - GAS</v>
          </cell>
        </row>
        <row r="887">
          <cell r="A887" t="str">
            <v>ANN: UTILITIES FY15 - WATER</v>
          </cell>
          <cell r="B887" t="str">
            <v>ANN</v>
          </cell>
          <cell r="C887" t="str">
            <v>ANN-NWTR</v>
          </cell>
          <cell r="W887" t="str">
            <v>ANN: UTILITIES FY15 - WATER</v>
          </cell>
        </row>
        <row r="888">
          <cell r="A888" t="str">
            <v>ANN: UTILITIES CHILLED WATER FY15</v>
          </cell>
          <cell r="B888" t="str">
            <v>ANN</v>
          </cell>
          <cell r="W888" t="str">
            <v>ANN: UTILITIES FY15 - CHILLED WATER</v>
          </cell>
        </row>
        <row r="889">
          <cell r="A889" t="str">
            <v>ANN: UTILITIES DEBT SERVICE FY15</v>
          </cell>
          <cell r="B889" t="str">
            <v>ANN</v>
          </cell>
          <cell r="W889" t="str">
            <v>ANN: UTILITIES  - DEBT SERVICE</v>
          </cell>
        </row>
        <row r="890">
          <cell r="A890" t="str">
            <v>ANN: UTILITIES FY15 - MAINTENANCE</v>
          </cell>
          <cell r="B890" t="str">
            <v>ANN</v>
          </cell>
          <cell r="C890" t="str">
            <v>ANN-UMT</v>
          </cell>
          <cell r="W890" t="str">
            <v xml:space="preserve">ANN: UTILITIES MAINT </v>
          </cell>
        </row>
        <row r="891">
          <cell r="A891" t="str">
            <v>SCI: UTILITIES FY15 - ELECTRIC</v>
          </cell>
          <cell r="B891" t="str">
            <v>SCI</v>
          </cell>
          <cell r="C891" t="str">
            <v>SCI-NELC</v>
          </cell>
          <cell r="D891" t="str">
            <v>SCI-NELC14</v>
          </cell>
          <cell r="E891" t="str">
            <v>SCI-NELC13</v>
          </cell>
          <cell r="T891">
            <v>3280</v>
          </cell>
          <cell r="W891" t="str">
            <v>SCI: UTILITIES  - ELECTRIC  (NEW BLDG)  FAMIS Xi</v>
          </cell>
        </row>
        <row r="892">
          <cell r="A892" t="str">
            <v>SCI: UTILITIES FY15 - GAS</v>
          </cell>
          <cell r="B892" t="str">
            <v>SCI</v>
          </cell>
          <cell r="C892" t="str">
            <v>SCI-NGAS</v>
          </cell>
          <cell r="D892" t="str">
            <v>SCI-NGAS14</v>
          </cell>
          <cell r="E892" t="str">
            <v>SCI-NGAS13</v>
          </cell>
          <cell r="W892" t="str">
            <v>SCI: UTILITIES  - GAS   (NEW BLDG)  FAMIS Xi</v>
          </cell>
        </row>
        <row r="893">
          <cell r="A893" t="str">
            <v>SCI: UTILITIES FY15 - WATER</v>
          </cell>
          <cell r="B893" t="str">
            <v>SCI</v>
          </cell>
          <cell r="C893" t="str">
            <v>SCI-NWTR</v>
          </cell>
          <cell r="D893" t="str">
            <v>SCI-NWTR14</v>
          </cell>
          <cell r="E893" t="str">
            <v>SCI-NWTR13</v>
          </cell>
          <cell r="W893" t="str">
            <v>SCI: UTILITIES  - WATER   (NEW BLDG)  FAMIS Xi</v>
          </cell>
        </row>
        <row r="894">
          <cell r="A894" t="str">
            <v>SCI: UTILITIES FY15 - CHILLED WATER</v>
          </cell>
          <cell r="B894" t="str">
            <v>SCI</v>
          </cell>
          <cell r="C894" t="str">
            <v>SCI-NCW</v>
          </cell>
          <cell r="D894" t="str">
            <v>SCI-NCW14</v>
          </cell>
          <cell r="E894" t="str">
            <v>SCI-NCW13</v>
          </cell>
          <cell r="W894" t="str">
            <v>SCI: UTILITIES  - CHILLED WATER</v>
          </cell>
        </row>
        <row r="895">
          <cell r="A895" t="str">
            <v>SCI: UTILITIES DEBT SERVICE FY15</v>
          </cell>
          <cell r="B895" t="str">
            <v>SCI</v>
          </cell>
          <cell r="F895" t="str">
            <v>SCE-UDS12</v>
          </cell>
          <cell r="G895" t="str">
            <v>SCE-UDS11</v>
          </cell>
          <cell r="H895" t="str">
            <v>SCE-UDS10</v>
          </cell>
          <cell r="W895" t="str">
            <v>SCI: UTILITIES  - DEBT SERVICE</v>
          </cell>
        </row>
        <row r="896">
          <cell r="A896" t="str">
            <v>TRF: UTILITIES FY15 - ELECTRIC</v>
          </cell>
          <cell r="B896" t="str">
            <v>TRF</v>
          </cell>
          <cell r="C896" t="str">
            <v>TRF-NELC</v>
          </cell>
          <cell r="D896" t="str">
            <v>TRF-NELC14</v>
          </cell>
          <cell r="T896">
            <v>3300</v>
          </cell>
          <cell r="U896" t="str">
            <v>TRF</v>
          </cell>
          <cell r="W896" t="str">
            <v>TRF: UTILITIES FY15- ELECTRIC</v>
          </cell>
        </row>
        <row r="897">
          <cell r="A897" t="str">
            <v>TRF: UTILITIES FY15 - GAS</v>
          </cell>
          <cell r="B897" t="str">
            <v>TRF</v>
          </cell>
          <cell r="C897" t="str">
            <v>TRF-NGAS</v>
          </cell>
          <cell r="D897" t="str">
            <v>TRF-NGAS14</v>
          </cell>
          <cell r="W897" t="str">
            <v>TRF: UTILITIES FY15 - GAS</v>
          </cell>
        </row>
        <row r="898">
          <cell r="A898" t="str">
            <v>TRF: UTILITIES FY15 - WATER</v>
          </cell>
          <cell r="B898" t="str">
            <v>TRF</v>
          </cell>
          <cell r="C898" t="str">
            <v>TRF-NWTR</v>
          </cell>
          <cell r="D898" t="str">
            <v>TRF-NWTR14</v>
          </cell>
          <cell r="W898" t="str">
            <v>TRF: UTILITIES FY15 - WATER</v>
          </cell>
        </row>
        <row r="899">
          <cell r="A899" t="str">
            <v>TRF: UTILITIES FY15 - CHILLED WATER</v>
          </cell>
          <cell r="B899" t="str">
            <v>TRF</v>
          </cell>
          <cell r="C899" t="str">
            <v>TRF-UCW</v>
          </cell>
          <cell r="D899" t="str">
            <v>TRF-UCW14</v>
          </cell>
          <cell r="W899" t="str">
            <v>TRF: UTILITIES FY15 - CHILLED WATER</v>
          </cell>
        </row>
        <row r="900">
          <cell r="A900" t="str">
            <v>TRF: UTILITIES FY15 - MAINTENANCE</v>
          </cell>
          <cell r="B900">
            <v>0</v>
          </cell>
          <cell r="C900" t="str">
            <v>TRF-UMT</v>
          </cell>
          <cell r="D900" t="str">
            <v>TRF-UMT14</v>
          </cell>
          <cell r="W900" t="str">
            <v xml:space="preserve">TRF: UTILITIES MAINT </v>
          </cell>
        </row>
        <row r="901">
          <cell r="A901" t="str">
            <v>VPD: UTILITIES FY15 - ELECTRIC</v>
          </cell>
          <cell r="B901" t="str">
            <v>VPD</v>
          </cell>
          <cell r="C901" t="str">
            <v>VPD-NELC</v>
          </cell>
          <cell r="T901">
            <v>3310</v>
          </cell>
          <cell r="U901" t="str">
            <v>VPD</v>
          </cell>
          <cell r="W901" t="str">
            <v>VPD: UTILITIES - ELECTRIC</v>
          </cell>
        </row>
        <row r="902">
          <cell r="A902" t="str">
            <v>VPD: UTILITIES FY15 - GAS</v>
          </cell>
          <cell r="B902" t="str">
            <v>VPD</v>
          </cell>
          <cell r="C902" t="str">
            <v>VPD-NGAS</v>
          </cell>
          <cell r="W902" t="str">
            <v>VPD: UTILITIES - GAS</v>
          </cell>
        </row>
        <row r="903">
          <cell r="A903" t="str">
            <v>VPD: UTILITIES FY15 - WATER</v>
          </cell>
          <cell r="B903" t="str">
            <v>VPD</v>
          </cell>
          <cell r="C903" t="str">
            <v>VPD-NWTR</v>
          </cell>
          <cell r="W903" t="str">
            <v>VPD: UTILITIES - WATER</v>
          </cell>
        </row>
        <row r="904">
          <cell r="A904" t="str">
            <v>VPD: UTILITIES FY15 - CHILLED WATER</v>
          </cell>
          <cell r="B904" t="str">
            <v>VPD</v>
          </cell>
          <cell r="C904" t="str">
            <v>VPD-UCW</v>
          </cell>
          <cell r="W904" t="str">
            <v>VPD: UTILITIES - CHILLED WATER</v>
          </cell>
        </row>
        <row r="905">
          <cell r="A905" t="str">
            <v>VPD: UTILITIES FY15 - DEBT SERVICE</v>
          </cell>
          <cell r="B905" t="str">
            <v>VPD</v>
          </cell>
          <cell r="C905" t="str">
            <v>VPD-UDS</v>
          </cell>
          <cell r="W905" t="str">
            <v>VPD: UTILITIES - DEBT SERVICE</v>
          </cell>
        </row>
        <row r="906">
          <cell r="A906" t="str">
            <v>VPD: UTILITIES FY15 - MAINTENANCE</v>
          </cell>
          <cell r="B906" t="str">
            <v>VPD</v>
          </cell>
          <cell r="C906" t="str">
            <v>VPD-UMT</v>
          </cell>
          <cell r="W906" t="str">
            <v xml:space="preserve">VPD UTILITIES MAINT </v>
          </cell>
        </row>
        <row r="907">
          <cell r="A907" t="str">
            <v>UAC: UTILITIES FY15 - ELECTRIC</v>
          </cell>
          <cell r="B907" t="str">
            <v>UAC</v>
          </cell>
          <cell r="C907" t="str">
            <v>UAC-NELC</v>
          </cell>
          <cell r="T907">
            <v>3320</v>
          </cell>
          <cell r="U907" t="str">
            <v>UAC</v>
          </cell>
          <cell r="W907" t="str">
            <v>UAC: UTILITIES - ELECTRIC</v>
          </cell>
        </row>
        <row r="908">
          <cell r="A908" t="str">
            <v>UAC: UTILITIES FY15 - GAS</v>
          </cell>
          <cell r="B908" t="str">
            <v>UAC</v>
          </cell>
          <cell r="C908" t="str">
            <v>UAC-NGAS</v>
          </cell>
          <cell r="W908" t="str">
            <v>UAC: UTILITIES  - GAS</v>
          </cell>
        </row>
        <row r="909">
          <cell r="A909" t="str">
            <v>UAC: UTILITIES FY15 - WATER</v>
          </cell>
          <cell r="B909" t="str">
            <v>UAC</v>
          </cell>
          <cell r="C909" t="str">
            <v>UAC-NWTR</v>
          </cell>
          <cell r="W909" t="str">
            <v>UAC: UTILITIES - WATER</v>
          </cell>
        </row>
        <row r="910">
          <cell r="A910" t="str">
            <v>UAC: UTILITIES FY15 - CHILLED WATER</v>
          </cell>
          <cell r="B910" t="str">
            <v>UAC</v>
          </cell>
          <cell r="C910" t="str">
            <v>UAC-UCW</v>
          </cell>
          <cell r="W910" t="str">
            <v>UAC: UTILITIES - CHILLED WATER</v>
          </cell>
        </row>
        <row r="911">
          <cell r="A911" t="str">
            <v>UAC: UTILITIES FY15 - DEBT SERVICE</v>
          </cell>
          <cell r="B911" t="str">
            <v>UAC</v>
          </cell>
          <cell r="C911" t="str">
            <v>UAC-UDS</v>
          </cell>
          <cell r="W911" t="str">
            <v>UAC: UTILITIES - DEBT SERVICE</v>
          </cell>
        </row>
        <row r="912">
          <cell r="A912" t="str">
            <v>UAC: UTILITIES FY15 - MAINTENANCE</v>
          </cell>
          <cell r="B912" t="str">
            <v>UAC</v>
          </cell>
          <cell r="C912" t="str">
            <v>UAC-UMT</v>
          </cell>
          <cell r="W912" t="str">
            <v xml:space="preserve">UAC: UTILITIES MAINT </v>
          </cell>
        </row>
        <row r="913">
          <cell r="A913" t="str">
            <v>SST: UTILITIES FY15 - ELECTRIC</v>
          </cell>
          <cell r="B913" t="str">
            <v>SST</v>
          </cell>
          <cell r="C913" t="str">
            <v>SST-NELC</v>
          </cell>
          <cell r="D913" t="str">
            <v>SST-NELC14</v>
          </cell>
          <cell r="T913">
            <v>3330</v>
          </cell>
          <cell r="U913" t="str">
            <v>SST</v>
          </cell>
          <cell r="W913" t="str">
            <v>SST: UTILITIES FY15 - ELECTRIC</v>
          </cell>
        </row>
        <row r="914">
          <cell r="A914" t="str">
            <v>SST: UTILITIES FY15 - GAS</v>
          </cell>
          <cell r="B914" t="str">
            <v>SST</v>
          </cell>
          <cell r="C914" t="str">
            <v>SST-NGAS</v>
          </cell>
          <cell r="D914" t="str">
            <v>SST-NGAS14</v>
          </cell>
          <cell r="W914" t="str">
            <v>SST: UTILITIES FY15 - GAS</v>
          </cell>
        </row>
        <row r="915">
          <cell r="A915" t="str">
            <v>SST: UTILITIES FY15 - WATER</v>
          </cell>
          <cell r="B915" t="str">
            <v>SST</v>
          </cell>
          <cell r="C915" t="str">
            <v>SST-NWTR</v>
          </cell>
          <cell r="D915" t="str">
            <v>SST-NWTR14</v>
          </cell>
          <cell r="W915" t="str">
            <v>SST: UTILITIES FY15 - WATER</v>
          </cell>
        </row>
        <row r="916">
          <cell r="A916" t="str">
            <v>MNS: UTILITIES FY15 - ELECTRIC</v>
          </cell>
          <cell r="B916" t="str">
            <v>MNS</v>
          </cell>
          <cell r="C916" t="str">
            <v>MNS-NELC</v>
          </cell>
          <cell r="T916">
            <v>3340</v>
          </cell>
          <cell r="U916" t="str">
            <v>MNS</v>
          </cell>
          <cell r="W916" t="str">
            <v>MNS: UTILITIES FY15 - ELECTRIC</v>
          </cell>
        </row>
        <row r="917">
          <cell r="A917" t="str">
            <v>MNS: UTILITIES FY15 - GAS</v>
          </cell>
          <cell r="B917" t="str">
            <v>MNS</v>
          </cell>
          <cell r="C917" t="str">
            <v>MNS-NGAS</v>
          </cell>
          <cell r="W917" t="str">
            <v>MNS: UTILITIES FY15 - GAS</v>
          </cell>
        </row>
        <row r="918">
          <cell r="A918" t="str">
            <v>MNS: UTILITIES FY15 - WATER</v>
          </cell>
          <cell r="B918" t="str">
            <v>MNS</v>
          </cell>
          <cell r="C918" t="str">
            <v>MNS-NWTR</v>
          </cell>
          <cell r="W918" t="str">
            <v>MNS: UTILITIES FY15 - WATER</v>
          </cell>
        </row>
        <row r="919">
          <cell r="A919" t="str">
            <v>MNS: UTILITIES FY15 - CHILLED WATER</v>
          </cell>
          <cell r="B919" t="str">
            <v>MNS</v>
          </cell>
          <cell r="C919" t="str">
            <v>MNS-UCW</v>
          </cell>
          <cell r="W919" t="str">
            <v>MNS: UTILITIES FY15 - CHILLED WATER</v>
          </cell>
        </row>
        <row r="920">
          <cell r="A920" t="str">
            <v>MNS: UTILITIES FY15 - DEBT SERVICE</v>
          </cell>
          <cell r="B920" t="str">
            <v>MNS</v>
          </cell>
          <cell r="C920" t="str">
            <v>MNS-UDS</v>
          </cell>
          <cell r="W920" t="str">
            <v>MNS: UTILITIES FY15 - DEBT SERVICE</v>
          </cell>
        </row>
        <row r="921">
          <cell r="A921" t="str">
            <v>MNS: UTILITIES FY15 - MAINTENANCE</v>
          </cell>
          <cell r="B921" t="str">
            <v>MNS</v>
          </cell>
          <cell r="C921" t="str">
            <v>MNS-UMT</v>
          </cell>
          <cell r="W921" t="str">
            <v>MNS: UTILITIES FY15 - MAINTENANCE</v>
          </cell>
        </row>
        <row r="922">
          <cell r="A922" t="str">
            <v>PGH: UTILITIES FY15 - ELECTRIC</v>
          </cell>
          <cell r="B922" t="str">
            <v>PGH</v>
          </cell>
          <cell r="C922" t="str">
            <v>PGH-NELC</v>
          </cell>
          <cell r="D922" t="str">
            <v>PGH-NELC14</v>
          </cell>
          <cell r="T922">
            <v>3380</v>
          </cell>
          <cell r="W922" t="str">
            <v>PGH: UTILITIES FY15 - ELECTRIC</v>
          </cell>
        </row>
        <row r="923">
          <cell r="A923" t="str">
            <v>PGH: UTILITIES FY15 - GAS</v>
          </cell>
          <cell r="B923" t="str">
            <v>PGH</v>
          </cell>
          <cell r="C923" t="str">
            <v>PGH-NGAS</v>
          </cell>
          <cell r="D923" t="str">
            <v>PGH-NGAS14</v>
          </cell>
          <cell r="W923" t="str">
            <v>PGH: UTILITIES FY15 - GAS</v>
          </cell>
        </row>
        <row r="924">
          <cell r="A924" t="str">
            <v>PGH: UTILITIES FY15 - WATER</v>
          </cell>
          <cell r="B924" t="str">
            <v>PGH</v>
          </cell>
          <cell r="C924" t="str">
            <v>PGH-NWTR</v>
          </cell>
          <cell r="D924" t="str">
            <v>PGH-NWTR14</v>
          </cell>
          <cell r="W924" t="str">
            <v>PGH: UTILITIES FY15 - WATER</v>
          </cell>
        </row>
        <row r="925">
          <cell r="A925" t="str">
            <v>UPV: UTILITIES FY15 - GAS/WATER/ELECTRIC</v>
          </cell>
          <cell r="B925" t="str">
            <v>UPV</v>
          </cell>
          <cell r="C925" t="str">
            <v>UPV-EGW</v>
          </cell>
          <cell r="D925" t="str">
            <v>UPV-EGW-14</v>
          </cell>
          <cell r="E925" t="str">
            <v>UPV-EGW-13</v>
          </cell>
          <cell r="F925" t="str">
            <v>UPV-EGW-12</v>
          </cell>
          <cell r="G925" t="str">
            <v>UPV-EGW-11</v>
          </cell>
          <cell r="H925" t="str">
            <v>UPV-EGW-10</v>
          </cell>
          <cell r="I925" t="str">
            <v>UPV-EGW-09</v>
          </cell>
          <cell r="J925" t="str">
            <v>UPV-EGW-08</v>
          </cell>
          <cell r="K925" t="str">
            <v>UPV-EGW-07</v>
          </cell>
          <cell r="L925" t="str">
            <v>UPV-EGW-06</v>
          </cell>
          <cell r="M925" t="str">
            <v>UPV-EGW-05</v>
          </cell>
          <cell r="N925" t="str">
            <v>SWO003270</v>
          </cell>
          <cell r="O925" t="str">
            <v>SWO000913</v>
          </cell>
          <cell r="P925" t="str">
            <v>SWO000913</v>
          </cell>
          <cell r="Q925" t="str">
            <v>SWO000913</v>
          </cell>
          <cell r="R925" t="str">
            <v>SWO000913</v>
          </cell>
          <cell r="S925">
            <v>22688</v>
          </cell>
          <cell r="T925" t="str">
            <v>4010</v>
          </cell>
          <cell r="U925" t="str">
            <v>UPV</v>
          </cell>
          <cell r="W925" t="str">
            <v xml:space="preserve">UPV: UTILITIES G/W/E </v>
          </cell>
          <cell r="X925" t="str">
            <v>N</v>
          </cell>
        </row>
        <row r="926">
          <cell r="A926" t="str">
            <v>UPV: UTILITIES CHILLED WATER FY15</v>
          </cell>
          <cell r="B926" t="str">
            <v>UPV</v>
          </cell>
          <cell r="C926" t="str">
            <v>UPV-UCW</v>
          </cell>
          <cell r="D926" t="str">
            <v>UPV-UCW14</v>
          </cell>
          <cell r="E926" t="str">
            <v>UPV-UCW13</v>
          </cell>
          <cell r="F926" t="str">
            <v>UPV-UCW12</v>
          </cell>
          <cell r="G926" t="str">
            <v>UPV-UCW11</v>
          </cell>
          <cell r="H926" t="str">
            <v>UPV-UCW10</v>
          </cell>
          <cell r="I926" t="str">
            <v>UPV-UCW09</v>
          </cell>
          <cell r="J926" t="str">
            <v>UPV-UCW08</v>
          </cell>
          <cell r="K926" t="str">
            <v>UPV-UCW07</v>
          </cell>
          <cell r="L926" t="str">
            <v>UPV-UCW06</v>
          </cell>
          <cell r="M926" t="str">
            <v>UPV-UCW05</v>
          </cell>
          <cell r="W926" t="str">
            <v xml:space="preserve">UPV: UTILITIES CHILLED WATER </v>
          </cell>
        </row>
        <row r="927">
          <cell r="A927" t="str">
            <v>UPV: UTILITIES DEBT SERVICE FY15</v>
          </cell>
          <cell r="B927" t="str">
            <v>UPV</v>
          </cell>
          <cell r="C927" t="str">
            <v>UPV-UDS</v>
          </cell>
          <cell r="D927" t="str">
            <v>UPV-UDS14</v>
          </cell>
          <cell r="E927" t="str">
            <v>UPV-UDS13</v>
          </cell>
          <cell r="F927" t="str">
            <v>UPV-UDS12</v>
          </cell>
          <cell r="G927" t="str">
            <v>UPV-UDS11</v>
          </cell>
          <cell r="H927" t="str">
            <v>UPV-UDS10</v>
          </cell>
          <cell r="I927" t="str">
            <v>UPV-UDS09</v>
          </cell>
          <cell r="J927" t="str">
            <v>UPV-UDS08</v>
          </cell>
          <cell r="K927" t="str">
            <v>UPV-UDS07</v>
          </cell>
          <cell r="L927" t="str">
            <v>UPV-UDS06</v>
          </cell>
          <cell r="M927" t="str">
            <v>UPV-UDS05</v>
          </cell>
          <cell r="W927" t="str">
            <v xml:space="preserve">UPV: UTILITIES DEBT SERVICE </v>
          </cell>
        </row>
        <row r="928">
          <cell r="A928" t="str">
            <v>UPV: UTILITIES MAINT FY15</v>
          </cell>
          <cell r="B928">
            <v>0</v>
          </cell>
          <cell r="C928" t="str">
            <v>UPV-UMT</v>
          </cell>
          <cell r="D928" t="str">
            <v>UPV-UMT14</v>
          </cell>
          <cell r="E928" t="str">
            <v>UPV-UMT13</v>
          </cell>
          <cell r="F928" t="str">
            <v>UPV-UMT12</v>
          </cell>
          <cell r="G928" t="str">
            <v>UPV-UMT11</v>
          </cell>
          <cell r="H928" t="str">
            <v>UPV-UMT10</v>
          </cell>
          <cell r="I928" t="str">
            <v>UPV-UMT09</v>
          </cell>
          <cell r="J928" t="str">
            <v>UPV-UMT08</v>
          </cell>
          <cell r="K928" t="str">
            <v>UPV-UMT07</v>
          </cell>
          <cell r="L928" t="str">
            <v>UPV-UMT06</v>
          </cell>
          <cell r="M928" t="str">
            <v>UPV-UMT05</v>
          </cell>
          <cell r="W928" t="str">
            <v xml:space="preserve">UPV: UTILITIES MAINT </v>
          </cell>
        </row>
        <row r="929">
          <cell r="A929" t="str">
            <v>HSV: UTILITIES FY15 - ELECTRIC ONLY</v>
          </cell>
          <cell r="B929" t="str">
            <v>HSV</v>
          </cell>
          <cell r="C929" t="str">
            <v>HSV-ELC</v>
          </cell>
          <cell r="D929" t="str">
            <v>HSV-ELC-14</v>
          </cell>
          <cell r="E929" t="str">
            <v>HSV-ELC-13</v>
          </cell>
          <cell r="F929" t="str">
            <v>HSV-ELC-12</v>
          </cell>
          <cell r="G929" t="str">
            <v>HSV-ELC-11</v>
          </cell>
          <cell r="H929" t="str">
            <v>HSV-ELC-10</v>
          </cell>
          <cell r="I929" t="str">
            <v>HSV-ELC-09</v>
          </cell>
          <cell r="J929" t="str">
            <v>HSV-ELC-08</v>
          </cell>
          <cell r="K929" t="str">
            <v>HSV-ELC-07</v>
          </cell>
          <cell r="L929" t="str">
            <v>HSV-ELC-06</v>
          </cell>
          <cell r="M929" t="str">
            <v>HSV-ELC-05</v>
          </cell>
          <cell r="N929" t="str">
            <v>SWO003170</v>
          </cell>
          <cell r="O929" t="str">
            <v>SWO001021</v>
          </cell>
          <cell r="P929" t="str">
            <v>SWO001021</v>
          </cell>
          <cell r="Q929" t="str">
            <v>SWO001021</v>
          </cell>
          <cell r="R929" t="str">
            <v>SWO001021</v>
          </cell>
          <cell r="S929">
            <v>22689</v>
          </cell>
          <cell r="T929" t="str">
            <v>4030</v>
          </cell>
          <cell r="U929" t="str">
            <v>HSV</v>
          </cell>
          <cell r="V929" t="str">
            <v>HSC</v>
          </cell>
          <cell r="W929" t="str">
            <v>HSV: UTILITIES G/W/E  - ELECTRIC ONLY</v>
          </cell>
          <cell r="X929" t="str">
            <v>N</v>
          </cell>
        </row>
        <row r="930">
          <cell r="A930" t="str">
            <v>HSV: UTILITIES CHILLED WATER FY15</v>
          </cell>
          <cell r="B930" t="str">
            <v>HSV</v>
          </cell>
          <cell r="C930" t="str">
            <v>HSV-UCW</v>
          </cell>
          <cell r="D930" t="str">
            <v>HSV-UCW14</v>
          </cell>
          <cell r="E930" t="str">
            <v>HSV-UCW13</v>
          </cell>
          <cell r="F930" t="str">
            <v>HSV-UCW12</v>
          </cell>
          <cell r="G930" t="str">
            <v>HSV-UCW11</v>
          </cell>
          <cell r="H930" t="str">
            <v>HSV-UCW10</v>
          </cell>
          <cell r="I930" t="str">
            <v>HSV-UCW09</v>
          </cell>
          <cell r="J930" t="str">
            <v>HSV-UCW08</v>
          </cell>
          <cell r="K930" t="str">
            <v>HSV-UCW07</v>
          </cell>
          <cell r="L930" t="str">
            <v>HSV-UCW06</v>
          </cell>
          <cell r="M930" t="str">
            <v>HSV-UCW05</v>
          </cell>
          <cell r="W930" t="str">
            <v xml:space="preserve">HSV: UTILITIES CHILLED WATER </v>
          </cell>
        </row>
        <row r="931">
          <cell r="A931" t="str">
            <v>HSV: UTILITIES DEBT SERVICE FY15</v>
          </cell>
          <cell r="B931" t="str">
            <v>HSV</v>
          </cell>
          <cell r="C931" t="str">
            <v>HSV-UDS</v>
          </cell>
          <cell r="D931" t="str">
            <v>HSV-UDS14</v>
          </cell>
          <cell r="E931" t="str">
            <v>HSV-UDS13</v>
          </cell>
          <cell r="F931" t="str">
            <v>HSV-UDS12</v>
          </cell>
          <cell r="G931" t="str">
            <v>HSV-UDS11</v>
          </cell>
          <cell r="H931" t="str">
            <v>HSV-UDS10</v>
          </cell>
          <cell r="I931" t="str">
            <v>HSV-UDS09</v>
          </cell>
          <cell r="J931" t="str">
            <v>HSV-UDS08</v>
          </cell>
          <cell r="K931" t="str">
            <v>HSV-UDS07</v>
          </cell>
          <cell r="L931" t="str">
            <v>HSV-UDS06</v>
          </cell>
          <cell r="M931" t="str">
            <v>HSV-UDS05</v>
          </cell>
          <cell r="W931" t="str">
            <v xml:space="preserve">HSV: UTILITIES DEBT SERVICE </v>
          </cell>
        </row>
        <row r="932">
          <cell r="A932" t="str">
            <v>HSV: UTILITIES MAINT FY15</v>
          </cell>
          <cell r="B932">
            <v>0</v>
          </cell>
          <cell r="C932" t="str">
            <v>HSV-UMT</v>
          </cell>
          <cell r="D932" t="str">
            <v>HSV-UMT14</v>
          </cell>
          <cell r="E932" t="str">
            <v>HSV-UMT13</v>
          </cell>
          <cell r="F932" t="str">
            <v>HSV-UMT12</v>
          </cell>
          <cell r="G932" t="str">
            <v>HSV-UMT11</v>
          </cell>
          <cell r="H932" t="str">
            <v>HSV-UMT10</v>
          </cell>
          <cell r="I932" t="str">
            <v>HSV-UMT09</v>
          </cell>
          <cell r="J932" t="str">
            <v>HSV-UMT08</v>
          </cell>
          <cell r="K932" t="str">
            <v>HSV-UMT07</v>
          </cell>
          <cell r="L932" t="str">
            <v>HSV-UMT06</v>
          </cell>
          <cell r="M932" t="str">
            <v>HSV-UMT05</v>
          </cell>
          <cell r="W932" t="str">
            <v xml:space="preserve">HSV: UTILITIES MAINT </v>
          </cell>
        </row>
        <row r="933">
          <cell r="A933" t="str">
            <v>EVH: UTILITIES FY15 - ELECTRIC ONLY</v>
          </cell>
          <cell r="B933" t="str">
            <v>EVH</v>
          </cell>
          <cell r="C933" t="str">
            <v>EVH-ELC</v>
          </cell>
          <cell r="D933" t="str">
            <v>EVH-ELC-14</v>
          </cell>
          <cell r="E933" t="str">
            <v>EVH-ELC-13</v>
          </cell>
          <cell r="F933" t="str">
            <v>EVH-ELC-12</v>
          </cell>
          <cell r="G933" t="str">
            <v>EVH-ELC-11</v>
          </cell>
          <cell r="H933" t="str">
            <v>EVH-ELC-10</v>
          </cell>
          <cell r="I933" t="str">
            <v>EVH-ELC-09</v>
          </cell>
          <cell r="J933" t="str">
            <v>EVH-ELC-08</v>
          </cell>
          <cell r="K933" t="str">
            <v>EVH-ELC-07</v>
          </cell>
          <cell r="L933" t="str">
            <v>EVH-ELC-06</v>
          </cell>
          <cell r="M933" t="str">
            <v>EVH-ELC-05</v>
          </cell>
          <cell r="N933" t="str">
            <v>SWO003144</v>
          </cell>
          <cell r="O933" t="str">
            <v>SWO001022</v>
          </cell>
          <cell r="P933" t="str">
            <v>SWO001022</v>
          </cell>
          <cell r="Q933" t="str">
            <v>SWO001022</v>
          </cell>
          <cell r="R933" t="str">
            <v>SWO001022</v>
          </cell>
          <cell r="S933">
            <v>22690</v>
          </cell>
          <cell r="T933" t="str">
            <v>4060</v>
          </cell>
          <cell r="U933" t="str">
            <v>EVH</v>
          </cell>
          <cell r="V933" t="str">
            <v>HSC</v>
          </cell>
          <cell r="W933" t="str">
            <v>EVH: UTILITIES G/W/E  - ELECTRIC ONLY</v>
          </cell>
          <cell r="X933" t="str">
            <v>N</v>
          </cell>
        </row>
        <row r="934">
          <cell r="A934" t="str">
            <v>EVH: UTILITIES CHILLED WATER FY15</v>
          </cell>
          <cell r="B934" t="str">
            <v>EVH</v>
          </cell>
          <cell r="C934" t="str">
            <v>EVH-UCW</v>
          </cell>
          <cell r="D934" t="str">
            <v>EVH-UCW14</v>
          </cell>
          <cell r="E934" t="str">
            <v>EVH-UCW13</v>
          </cell>
          <cell r="F934" t="str">
            <v>EVH-UCW12</v>
          </cell>
          <cell r="G934" t="str">
            <v>EVH-UCW11</v>
          </cell>
          <cell r="H934" t="str">
            <v>EVH-UCW10</v>
          </cell>
          <cell r="I934" t="str">
            <v>EVH-UCW09</v>
          </cell>
          <cell r="J934" t="str">
            <v>EVH-UCW08</v>
          </cell>
          <cell r="K934" t="str">
            <v>EVH-UCW07</v>
          </cell>
          <cell r="L934" t="str">
            <v>EVH-UCW06</v>
          </cell>
          <cell r="M934" t="str">
            <v>EVH-UCW05</v>
          </cell>
          <cell r="W934" t="str">
            <v xml:space="preserve">EVH: UTILITIES CHILLED WATER </v>
          </cell>
        </row>
        <row r="935">
          <cell r="A935" t="str">
            <v>EVH: UTILITIES DEBT SERVICE FY15</v>
          </cell>
          <cell r="B935" t="str">
            <v>EVH</v>
          </cell>
          <cell r="C935" t="str">
            <v>EVH-UDS</v>
          </cell>
          <cell r="D935" t="str">
            <v>EVH-UDS14</v>
          </cell>
          <cell r="E935" t="str">
            <v>EVH-UDS13</v>
          </cell>
          <cell r="F935" t="str">
            <v>EVH-UDS12</v>
          </cell>
          <cell r="G935" t="str">
            <v>EVH-UDS11</v>
          </cell>
          <cell r="H935" t="str">
            <v>EVH-UDS10</v>
          </cell>
          <cell r="I935" t="str">
            <v>EVH-UDS09</v>
          </cell>
          <cell r="J935" t="str">
            <v>EVH-UDS08</v>
          </cell>
          <cell r="K935" t="str">
            <v>EVH-UDS07</v>
          </cell>
          <cell r="L935" t="str">
            <v>EVH-UDS06</v>
          </cell>
          <cell r="M935" t="str">
            <v>EVH-UDS05</v>
          </cell>
          <cell r="W935" t="str">
            <v xml:space="preserve">EVH: UTILITIES DEBT SERVICE </v>
          </cell>
        </row>
        <row r="936">
          <cell r="A936" t="str">
            <v>EVH: UTILITIES MAINT FY15</v>
          </cell>
          <cell r="B936">
            <v>0</v>
          </cell>
          <cell r="C936" t="str">
            <v>EVH-UMT</v>
          </cell>
          <cell r="D936" t="str">
            <v>EVH-UMT14</v>
          </cell>
          <cell r="E936" t="str">
            <v>EVH-UMT13</v>
          </cell>
          <cell r="F936" t="str">
            <v>EVH-UMT12</v>
          </cell>
          <cell r="G936" t="str">
            <v>EVH-UMT11</v>
          </cell>
          <cell r="H936" t="str">
            <v>EVH-UMT10</v>
          </cell>
          <cell r="I936" t="str">
            <v>EVH-UMT09</v>
          </cell>
          <cell r="J936" t="str">
            <v>EVH-UMT08</v>
          </cell>
          <cell r="K936" t="str">
            <v>EVH-UMT07</v>
          </cell>
          <cell r="L936" t="str">
            <v>EVH-UMT06</v>
          </cell>
          <cell r="M936" t="str">
            <v>EVH-UMT05</v>
          </cell>
          <cell r="W936" t="str">
            <v xml:space="preserve">EVH: UTILITIES MAINT </v>
          </cell>
        </row>
        <row r="937">
          <cell r="A937" t="str">
            <v>TES: UTILITIES FY15 - ELECTRIC ONLY</v>
          </cell>
          <cell r="B937" t="str">
            <v>TES</v>
          </cell>
          <cell r="C937" t="str">
            <v>TES-ELC</v>
          </cell>
          <cell r="D937" t="str">
            <v>TES-ELC-14</v>
          </cell>
          <cell r="E937" t="str">
            <v>TES-ELC-13</v>
          </cell>
          <cell r="F937" t="str">
            <v>TES-ELC-12</v>
          </cell>
          <cell r="G937" t="str">
            <v>TES-ELC-11</v>
          </cell>
          <cell r="H937" t="str">
            <v>TES-ELC-10</v>
          </cell>
          <cell r="I937" t="str">
            <v>TES-ELC-09</v>
          </cell>
          <cell r="J937" t="str">
            <v>TES-ELC-08</v>
          </cell>
          <cell r="K937" t="str">
            <v>TES-ELC-07</v>
          </cell>
          <cell r="L937" t="str">
            <v>TES-ELC-06</v>
          </cell>
          <cell r="M937" t="str">
            <v>TES-ELC-05</v>
          </cell>
          <cell r="T937">
            <v>4070</v>
          </cell>
          <cell r="U937" t="str">
            <v>TES</v>
          </cell>
          <cell r="W937" t="str">
            <v>TES: UTILITIES  - ELECTRIC ONLY</v>
          </cell>
        </row>
        <row r="938">
          <cell r="A938" t="str">
            <v>TES: CONTRACT PM FY15 - MAINTENANCE AND REPAIR</v>
          </cell>
          <cell r="B938">
            <v>0</v>
          </cell>
          <cell r="C938" t="e">
            <v>#N/A</v>
          </cell>
          <cell r="D938" t="str">
            <v>TES-PM-14</v>
          </cell>
          <cell r="E938" t="str">
            <v>TES-PM-13</v>
          </cell>
          <cell r="W938" t="str">
            <v>TES: CONTRACT PM FY15 - MAINTENANCE AND REPAIR</v>
          </cell>
        </row>
        <row r="939">
          <cell r="A939" t="str">
            <v>BKF: UTILITIES FY15 - WATER/ELECTRIC ONLY</v>
          </cell>
          <cell r="B939" t="str">
            <v>BKF</v>
          </cell>
          <cell r="C939" t="str">
            <v>BKF-EXW</v>
          </cell>
          <cell r="D939" t="str">
            <v>BKF-EXW-14</v>
          </cell>
          <cell r="E939" t="str">
            <v>BKF-EXW-13</v>
          </cell>
          <cell r="F939" t="str">
            <v>BKF-EXW-12</v>
          </cell>
          <cell r="G939" t="str">
            <v>BKF-EXW-11</v>
          </cell>
          <cell r="H939" t="str">
            <v>BKF-EXW-10</v>
          </cell>
          <cell r="I939" t="str">
            <v>BKF-EXW-09</v>
          </cell>
          <cell r="J939" t="str">
            <v>BKF-EXW-08</v>
          </cell>
          <cell r="K939" t="str">
            <v>BKF-EXW-07</v>
          </cell>
          <cell r="L939" t="str">
            <v>BKF-EXW-06</v>
          </cell>
          <cell r="M939" t="str">
            <v>BKF-EXW-05</v>
          </cell>
          <cell r="N939" t="str">
            <v>SWO003102</v>
          </cell>
          <cell r="O939" t="str">
            <v>SWO002571</v>
          </cell>
          <cell r="T939" t="str">
            <v>5010</v>
          </cell>
          <cell r="U939" t="str">
            <v>BKF</v>
          </cell>
          <cell r="W939" t="str">
            <v>BKF: UTILITIES G/W/E  - WATER/ELECTRIC ONLY</v>
          </cell>
          <cell r="X939" t="str">
            <v>N</v>
          </cell>
        </row>
        <row r="940">
          <cell r="A940" t="str">
            <v>BKF: UTILITIES CHILLED WATER FY15</v>
          </cell>
          <cell r="B940" t="str">
            <v>BKF</v>
          </cell>
          <cell r="C940" t="str">
            <v>BKF-UCW</v>
          </cell>
          <cell r="D940" t="str">
            <v>BKF-UCW14</v>
          </cell>
          <cell r="E940" t="str">
            <v>BKF-UCW13</v>
          </cell>
          <cell r="F940" t="str">
            <v>BKF-UCW12</v>
          </cell>
          <cell r="G940" t="str">
            <v>BKF-UCW11</v>
          </cell>
          <cell r="H940" t="str">
            <v>BKF-UCW10</v>
          </cell>
          <cell r="I940" t="str">
            <v>BKF-UCW09</v>
          </cell>
          <cell r="J940" t="str">
            <v>BKF-UCW08</v>
          </cell>
          <cell r="K940" t="str">
            <v>BKF-UCW07</v>
          </cell>
          <cell r="L940" t="str">
            <v>BKF-UCW06</v>
          </cell>
          <cell r="M940" t="str">
            <v>BKF-UCW05</v>
          </cell>
          <cell r="W940" t="str">
            <v xml:space="preserve">BKF: UTILITIES CHILLED WATER </v>
          </cell>
        </row>
        <row r="941">
          <cell r="A941" t="str">
            <v>BKF: UTILITIES DEBT SERVICE FY15</v>
          </cell>
          <cell r="B941" t="str">
            <v>BKF</v>
          </cell>
          <cell r="C941" t="str">
            <v>BKF-UDS</v>
          </cell>
          <cell r="D941" t="str">
            <v>BKF-UDS14</v>
          </cell>
          <cell r="E941" t="str">
            <v>BKF-UDS13</v>
          </cell>
          <cell r="F941" t="str">
            <v>BKF-UDS12</v>
          </cell>
          <cell r="G941" t="str">
            <v>BKF-UDS11</v>
          </cell>
          <cell r="H941" t="str">
            <v>BKF-UDS10</v>
          </cell>
          <cell r="I941" t="str">
            <v>BKF-UDS09</v>
          </cell>
          <cell r="J941" t="str">
            <v>BKF-UDS08</v>
          </cell>
          <cell r="K941" t="str">
            <v>BKF-UDS07</v>
          </cell>
          <cell r="L941" t="str">
            <v>BKF-UDS06</v>
          </cell>
          <cell r="M941" t="str">
            <v>BKF-UDS05</v>
          </cell>
          <cell r="W941" t="str">
            <v xml:space="preserve">BKF: UTILITIES DEBT SERVICE </v>
          </cell>
        </row>
        <row r="942">
          <cell r="A942" t="str">
            <v>BKF: UTILITIES MAINT FY15</v>
          </cell>
          <cell r="B942">
            <v>0</v>
          </cell>
          <cell r="C942" t="str">
            <v>BKF-UMT</v>
          </cell>
          <cell r="D942" t="str">
            <v>BKF-UMT14</v>
          </cell>
          <cell r="E942" t="str">
            <v>BKF-UMT13</v>
          </cell>
          <cell r="F942" t="str">
            <v>BKF-UMT12</v>
          </cell>
          <cell r="G942" t="str">
            <v>BKF-UMT11</v>
          </cell>
          <cell r="H942" t="str">
            <v>BKF-UMT10</v>
          </cell>
          <cell r="I942" t="str">
            <v>BKF-UMT09</v>
          </cell>
          <cell r="J942" t="str">
            <v>BKF-UMT08</v>
          </cell>
          <cell r="K942" t="str">
            <v>BKF-UMT07</v>
          </cell>
          <cell r="L942" t="str">
            <v>BKF-UMT06</v>
          </cell>
          <cell r="M942" t="str">
            <v>BKF-UMT05</v>
          </cell>
          <cell r="W942" t="str">
            <v xml:space="preserve">BKF: UTILITIES MAINT </v>
          </cell>
        </row>
        <row r="943">
          <cell r="A943" t="str">
            <v>BDX: UTILITIES FY15 - WATER/ELECTRIC ONLY</v>
          </cell>
          <cell r="B943" t="str">
            <v>BDX</v>
          </cell>
          <cell r="C943" t="str">
            <v>BDX-EXW</v>
          </cell>
          <cell r="D943" t="str">
            <v>BDX-EXW-14</v>
          </cell>
          <cell r="E943" t="str">
            <v>BDX-EXW-13</v>
          </cell>
          <cell r="F943" t="str">
            <v>BDX-EXW-12</v>
          </cell>
          <cell r="G943" t="str">
            <v>BDX-EXW-11</v>
          </cell>
          <cell r="H943" t="str">
            <v>BDX-EXW-10</v>
          </cell>
          <cell r="I943" t="str">
            <v>BDX-EXW-09</v>
          </cell>
          <cell r="J943" t="str">
            <v>BDX-EXW-08</v>
          </cell>
          <cell r="K943" t="str">
            <v>BDX-EXW-07</v>
          </cell>
          <cell r="L943" t="str">
            <v>BDX-EXW-06</v>
          </cell>
          <cell r="M943" t="str">
            <v>BDX-EXW-05</v>
          </cell>
          <cell r="N943" t="str">
            <v>SWO003099</v>
          </cell>
          <cell r="O943" t="str">
            <v>SWO001023</v>
          </cell>
          <cell r="P943" t="str">
            <v>SWO001023</v>
          </cell>
          <cell r="Q943" t="str">
            <v>SWO001023</v>
          </cell>
          <cell r="R943" t="str">
            <v>SWO001023</v>
          </cell>
          <cell r="S943">
            <v>22691</v>
          </cell>
          <cell r="T943" t="str">
            <v>5020</v>
          </cell>
          <cell r="U943" t="str">
            <v>BDX</v>
          </cell>
          <cell r="W943" t="str">
            <v>BDX: UTILITIES G/W/E  - WATER/ELECTRIC ONLY</v>
          </cell>
          <cell r="X943" t="str">
            <v>N</v>
          </cell>
        </row>
        <row r="944">
          <cell r="A944" t="str">
            <v>BDX: UTILITIES CHILLED WATER FY15</v>
          </cell>
          <cell r="B944" t="str">
            <v>BDX</v>
          </cell>
          <cell r="C944" t="str">
            <v>BDX-UCW</v>
          </cell>
          <cell r="D944" t="str">
            <v>BDX-UCW14</v>
          </cell>
          <cell r="E944" t="str">
            <v>BDX-UCW13</v>
          </cell>
          <cell r="F944" t="str">
            <v>BDX-UCW12</v>
          </cell>
          <cell r="G944" t="str">
            <v>BDX-UCW11</v>
          </cell>
          <cell r="H944" t="str">
            <v>BDX-UCW10</v>
          </cell>
          <cell r="I944" t="str">
            <v>BDX-UCW09</v>
          </cell>
          <cell r="J944" t="str">
            <v>BDX-UCW08</v>
          </cell>
          <cell r="K944" t="str">
            <v>BDX-UCW07</v>
          </cell>
          <cell r="L944" t="str">
            <v>BDX-UCW06</v>
          </cell>
          <cell r="M944" t="str">
            <v>BDX-UCW05</v>
          </cell>
          <cell r="W944" t="str">
            <v xml:space="preserve">BDX: UTILITIES CHILLED WATER </v>
          </cell>
        </row>
        <row r="945">
          <cell r="A945" t="str">
            <v>BDX: UTILITIES DEBT SERVICE FY15</v>
          </cell>
          <cell r="B945" t="str">
            <v>BDX</v>
          </cell>
          <cell r="C945" t="str">
            <v>BDX-UDS</v>
          </cell>
          <cell r="D945" t="str">
            <v>BDX-UDS14</v>
          </cell>
          <cell r="E945" t="str">
            <v>BDX-UDS13</v>
          </cell>
          <cell r="F945" t="str">
            <v>BDX-UDS12</v>
          </cell>
          <cell r="G945" t="str">
            <v>BDX-UDS11</v>
          </cell>
          <cell r="H945" t="str">
            <v>BDX-UDS10</v>
          </cell>
          <cell r="I945" t="str">
            <v>BDX-UDS09</v>
          </cell>
          <cell r="J945" t="str">
            <v>BDX-UDS08</v>
          </cell>
          <cell r="K945" t="str">
            <v>BDX-UDS07</v>
          </cell>
          <cell r="L945" t="str">
            <v>BDX-UDS06</v>
          </cell>
          <cell r="M945" t="str">
            <v>BDX-UDS05</v>
          </cell>
          <cell r="W945" t="str">
            <v xml:space="preserve">BDX: UTILITIES DEBT SERVICE </v>
          </cell>
        </row>
        <row r="946">
          <cell r="A946" t="str">
            <v>BDX: UTILITIES MAINT FY15</v>
          </cell>
          <cell r="B946">
            <v>0</v>
          </cell>
          <cell r="C946" t="str">
            <v>BDX-UMT</v>
          </cell>
          <cell r="D946" t="str">
            <v>BDX-UMT14</v>
          </cell>
          <cell r="E946" t="str">
            <v>BDX-UMT13</v>
          </cell>
          <cell r="F946" t="str">
            <v>BDX-UMT12</v>
          </cell>
          <cell r="G946" t="str">
            <v>BDX-UMT11</v>
          </cell>
          <cell r="H946" t="str">
            <v>BDX-UMT10</v>
          </cell>
          <cell r="I946" t="str">
            <v>BDX-UMT09</v>
          </cell>
          <cell r="J946" t="str">
            <v>BDX-UMT08</v>
          </cell>
          <cell r="K946" t="str">
            <v>BDX-UMT07</v>
          </cell>
          <cell r="L946" t="str">
            <v>BDX-UMT06</v>
          </cell>
          <cell r="M946" t="str">
            <v>BDX-UMT05</v>
          </cell>
          <cell r="W946" t="str">
            <v xml:space="preserve">BDX: UTILITIES MAINT </v>
          </cell>
        </row>
        <row r="947">
          <cell r="A947" t="str">
            <v>BIM: UTILITIES FY15 - WATER/ELECTRIC ONLY</v>
          </cell>
          <cell r="B947" t="str">
            <v>IMF</v>
          </cell>
          <cell r="C947" t="str">
            <v>IMF-EXW</v>
          </cell>
          <cell r="D947" t="str">
            <v>IMF-EXW-14</v>
          </cell>
          <cell r="E947" t="str">
            <v>IMF-EXW-13</v>
          </cell>
          <cell r="F947" t="str">
            <v>IMF-EXW-12</v>
          </cell>
          <cell r="G947" t="str">
            <v>IMF-EXW-11</v>
          </cell>
          <cell r="H947" t="str">
            <v>IMF-EXW-10</v>
          </cell>
          <cell r="I947" t="str">
            <v>IMF-EXW-09</v>
          </cell>
          <cell r="J947" t="str">
            <v>IMF-EXW-08</v>
          </cell>
          <cell r="K947" t="str">
            <v>IMF-EXW-07</v>
          </cell>
          <cell r="L947" t="str">
            <v>IMF-EXW-06</v>
          </cell>
          <cell r="M947" t="str">
            <v>IMF-EXW-05</v>
          </cell>
          <cell r="N947" t="str">
            <v>SWO003171</v>
          </cell>
          <cell r="O947" t="str">
            <v>SWO001464</v>
          </cell>
          <cell r="P947" t="str">
            <v>SWO001464</v>
          </cell>
          <cell r="Q947" t="str">
            <v>SWO001464</v>
          </cell>
          <cell r="T947" t="str">
            <v>5060</v>
          </cell>
          <cell r="U947" t="str">
            <v>IMF</v>
          </cell>
          <cell r="W947" t="str">
            <v>IMF: UTILITIES G/W/E  - WATER/ELECTRIC ONLY</v>
          </cell>
          <cell r="X947" t="str">
            <v>N</v>
          </cell>
        </row>
        <row r="948">
          <cell r="A948" t="str">
            <v>BIM: UTILITIES CHILLED WATER FY15</v>
          </cell>
          <cell r="B948" t="str">
            <v>IMF</v>
          </cell>
          <cell r="C948" t="str">
            <v>IMF-UCW</v>
          </cell>
          <cell r="D948" t="str">
            <v>IMF-UCW14</v>
          </cell>
          <cell r="E948" t="str">
            <v>IMF-UCW13</v>
          </cell>
          <cell r="F948" t="str">
            <v>IMF-UCW12</v>
          </cell>
          <cell r="G948" t="str">
            <v>IMF-UCW11</v>
          </cell>
          <cell r="H948" t="str">
            <v>IMF-UCW10</v>
          </cell>
          <cell r="I948" t="str">
            <v>IMF-UCW09</v>
          </cell>
          <cell r="J948" t="str">
            <v>IMF-UCW08</v>
          </cell>
          <cell r="K948" t="str">
            <v>IMF-UCW07</v>
          </cell>
          <cell r="L948" t="str">
            <v>IMF-UCW06</v>
          </cell>
          <cell r="M948" t="str">
            <v>IMF-UCW05</v>
          </cell>
          <cell r="W948" t="str">
            <v xml:space="preserve">IMF: UTILITIES CHILLED WATER </v>
          </cell>
        </row>
        <row r="949">
          <cell r="A949" t="str">
            <v>BIM: UTILITIES DEBT SERVICE FY15</v>
          </cell>
          <cell r="B949" t="str">
            <v>IMF</v>
          </cell>
          <cell r="C949" t="str">
            <v>IMF-UDS</v>
          </cell>
          <cell r="D949" t="str">
            <v>IMF-UDS14</v>
          </cell>
          <cell r="E949" t="str">
            <v>IMF-UDS13</v>
          </cell>
          <cell r="F949" t="str">
            <v>IMF-UDS12</v>
          </cell>
          <cell r="G949" t="str">
            <v>IMF-UDS11</v>
          </cell>
          <cell r="H949" t="str">
            <v>IMF-UDS10</v>
          </cell>
          <cell r="I949" t="str">
            <v>IMF-UDS09</v>
          </cell>
          <cell r="J949" t="str">
            <v>IMF-UDS08</v>
          </cell>
          <cell r="K949" t="str">
            <v>IMF-UDS07</v>
          </cell>
          <cell r="L949" t="str">
            <v>IMF-UDS06</v>
          </cell>
          <cell r="M949" t="str">
            <v>IMF-UDS05</v>
          </cell>
          <cell r="W949" t="str">
            <v xml:space="preserve">IMF: UTILITIES DEBT SERVICE </v>
          </cell>
        </row>
        <row r="950">
          <cell r="A950" t="str">
            <v>BIM: UTILITIES MAINT FY15</v>
          </cell>
          <cell r="B950">
            <v>0</v>
          </cell>
          <cell r="C950" t="str">
            <v>IMF-UMT</v>
          </cell>
          <cell r="D950" t="str">
            <v>IMF-UMT14</v>
          </cell>
          <cell r="E950" t="str">
            <v>IMF-UMT13</v>
          </cell>
          <cell r="F950" t="str">
            <v>IMF-UMT12</v>
          </cell>
          <cell r="G950" t="str">
            <v>IMF-UMT11</v>
          </cell>
          <cell r="H950" t="str">
            <v>IMF-UMT10</v>
          </cell>
          <cell r="I950" t="str">
            <v>IMF-UMT09</v>
          </cell>
          <cell r="J950" t="str">
            <v>IMF-UMT08</v>
          </cell>
          <cell r="K950" t="str">
            <v>IMF-UMT07</v>
          </cell>
          <cell r="L950" t="str">
            <v>IMF-UMT06</v>
          </cell>
          <cell r="M950" t="str">
            <v>IMF-UMT05</v>
          </cell>
          <cell r="W950" t="str">
            <v xml:space="preserve">IMF: UTILITIES MAINT </v>
          </cell>
        </row>
        <row r="951">
          <cell r="A951" t="str">
            <v>CFX: UTILITIES FY15 - WATER/ELECTRIC ONLY</v>
          </cell>
          <cell r="B951" t="str">
            <v>CFX</v>
          </cell>
          <cell r="C951" t="str">
            <v>CFX-EXW</v>
          </cell>
          <cell r="D951" t="str">
            <v>CFX-EXW-14</v>
          </cell>
          <cell r="E951" t="str">
            <v>CFX-EXW-13</v>
          </cell>
          <cell r="F951" t="str">
            <v>CFX-EXW-12</v>
          </cell>
          <cell r="G951" t="str">
            <v>CFX-EXW-11</v>
          </cell>
          <cell r="H951" t="str">
            <v>CFX-EXW-10</v>
          </cell>
          <cell r="I951" t="str">
            <v>CFX-EXW-09</v>
          </cell>
          <cell r="J951" t="str">
            <v>CFX-EXW-08</v>
          </cell>
          <cell r="K951" t="str">
            <v>CFX-EXW-07</v>
          </cell>
          <cell r="L951" t="str">
            <v>CFX-EXW-06</v>
          </cell>
          <cell r="M951" t="str">
            <v>CFX-EXW-05</v>
          </cell>
          <cell r="N951" t="str">
            <v>SWO003113</v>
          </cell>
          <cell r="O951" t="str">
            <v>SWO002572</v>
          </cell>
          <cell r="T951" t="str">
            <v>5070</v>
          </cell>
          <cell r="U951" t="str">
            <v>CFX</v>
          </cell>
          <cell r="W951" t="str">
            <v>CFX: UTILITIES G/W/E  - WATER/ELECTRIC ONLY</v>
          </cell>
          <cell r="X951" t="str">
            <v>N</v>
          </cell>
        </row>
        <row r="952">
          <cell r="A952" t="str">
            <v>CFX: UTILITIES CHILLED WATER FY15</v>
          </cell>
          <cell r="B952" t="str">
            <v>CFX</v>
          </cell>
          <cell r="C952" t="str">
            <v>CFX-UCW</v>
          </cell>
          <cell r="D952" t="str">
            <v>CFX-UCW14</v>
          </cell>
          <cell r="E952" t="str">
            <v>CFX-UCW13</v>
          </cell>
          <cell r="F952" t="str">
            <v>CFX-UCW12</v>
          </cell>
          <cell r="G952" t="str">
            <v>CFX-UCW11</v>
          </cell>
          <cell r="H952" t="str">
            <v>CFX-UCW10</v>
          </cell>
          <cell r="I952" t="str">
            <v>CFX-UCW09</v>
          </cell>
          <cell r="J952" t="str">
            <v>CFX-UCW08</v>
          </cell>
          <cell r="K952" t="str">
            <v>CFX-UCW07</v>
          </cell>
          <cell r="L952" t="str">
            <v>CFX-UCW06</v>
          </cell>
          <cell r="M952" t="str">
            <v>CFX-UCW05</v>
          </cell>
          <cell r="W952" t="str">
            <v xml:space="preserve">CFX: UTILITIES CHILLED WATER </v>
          </cell>
        </row>
        <row r="953">
          <cell r="A953" t="str">
            <v>CFX: UTILITIES DEBT SERVICE FY15</v>
          </cell>
          <cell r="B953" t="str">
            <v>CFX</v>
          </cell>
          <cell r="C953" t="str">
            <v>CFX-UDS</v>
          </cell>
          <cell r="D953" t="str">
            <v>CFX-UDS14</v>
          </cell>
          <cell r="E953" t="str">
            <v>CFX-UDS13</v>
          </cell>
          <cell r="F953" t="str">
            <v>CFX-UDS12</v>
          </cell>
          <cell r="G953" t="str">
            <v>CFX-UDS11</v>
          </cell>
          <cell r="H953" t="str">
            <v>CFX-UDS10</v>
          </cell>
          <cell r="I953" t="str">
            <v>CFX-UDS09</v>
          </cell>
          <cell r="J953" t="str">
            <v>CFX-UDS08</v>
          </cell>
          <cell r="K953" t="str">
            <v>CFX-UDS07</v>
          </cell>
          <cell r="L953" t="str">
            <v>CFX-UDS06</v>
          </cell>
          <cell r="M953" t="str">
            <v>CFX-UDS05</v>
          </cell>
          <cell r="W953" t="str">
            <v xml:space="preserve">CFX: UTILITIES DEBT SERVICE </v>
          </cell>
        </row>
        <row r="954">
          <cell r="A954" t="str">
            <v>CFX: UTILITIES MAINT FY15</v>
          </cell>
          <cell r="B954">
            <v>0</v>
          </cell>
          <cell r="C954" t="str">
            <v>CFX-UMT</v>
          </cell>
          <cell r="D954" t="str">
            <v>CFX-UMT14</v>
          </cell>
          <cell r="E954" t="str">
            <v>CFX-UMT13</v>
          </cell>
          <cell r="F954" t="str">
            <v>CFX-UMT12</v>
          </cell>
          <cell r="G954" t="str">
            <v>CFX-UMT11</v>
          </cell>
          <cell r="H954" t="str">
            <v>CFX-UMT10</v>
          </cell>
          <cell r="I954" t="str">
            <v>CFX-UMT09</v>
          </cell>
          <cell r="J954" t="str">
            <v>CFX-UMT08</v>
          </cell>
          <cell r="K954" t="str">
            <v>CFX-UMT07</v>
          </cell>
          <cell r="L954" t="str">
            <v>CFX-UMT06</v>
          </cell>
          <cell r="M954" t="str">
            <v>CFX-UMT05</v>
          </cell>
          <cell r="W954" t="str">
            <v xml:space="preserve">CFX: UTILITIES MAINT </v>
          </cell>
        </row>
        <row r="955">
          <cell r="A955" t="str">
            <v>SMF: UTILITIES FY15 - ELECTRIC ONLY</v>
          </cell>
          <cell r="B955" t="str">
            <v>SMF</v>
          </cell>
          <cell r="C955" t="str">
            <v>SMF-ELC</v>
          </cell>
          <cell r="D955" t="str">
            <v>SMF-ELC-14</v>
          </cell>
          <cell r="E955" t="str">
            <v>SMF-ELC-13</v>
          </cell>
          <cell r="F955" t="str">
            <v>SMF-ELC-12</v>
          </cell>
          <cell r="G955" t="str">
            <v>SMF-ELC-11</v>
          </cell>
          <cell r="H955" t="str">
            <v>SMF-ELC-10</v>
          </cell>
          <cell r="I955" t="str">
            <v>SMF-ELC-09</v>
          </cell>
          <cell r="J955" t="str">
            <v>SMF-ELC-08</v>
          </cell>
          <cell r="K955" t="str">
            <v>SMF-ELC-07</v>
          </cell>
          <cell r="L955" t="str">
            <v>SMF-ELC-06</v>
          </cell>
          <cell r="M955" t="str">
            <v>SMF-ELC-05</v>
          </cell>
          <cell r="N955" t="str">
            <v>SWO003250</v>
          </cell>
          <cell r="O955" t="str">
            <v>SWO002567</v>
          </cell>
          <cell r="T955" t="str">
            <v>5090</v>
          </cell>
          <cell r="U955" t="str">
            <v>SMF</v>
          </cell>
          <cell r="W955" t="str">
            <v>SMF: UTILITIES G/W/E  - ELECTRIC ONLY</v>
          </cell>
          <cell r="X955" t="str">
            <v>N</v>
          </cell>
        </row>
        <row r="956">
          <cell r="A956" t="str">
            <v>SMF: UTILITIES CHILLED WATER FY15</v>
          </cell>
          <cell r="B956" t="str">
            <v>SMF</v>
          </cell>
          <cell r="C956" t="str">
            <v>SMF-UCW</v>
          </cell>
          <cell r="D956" t="str">
            <v>SMF-UCW14</v>
          </cell>
          <cell r="E956" t="str">
            <v>SMF-UCW13</v>
          </cell>
          <cell r="F956" t="str">
            <v>SMF-UCW12</v>
          </cell>
          <cell r="G956" t="str">
            <v>SMF-UCW11</v>
          </cell>
          <cell r="H956" t="str">
            <v>SMF-UCW10</v>
          </cell>
          <cell r="I956" t="str">
            <v>SMF-UCW09</v>
          </cell>
          <cell r="J956" t="str">
            <v>SMF-UCW08</v>
          </cell>
          <cell r="K956" t="str">
            <v>SMF-UCW07</v>
          </cell>
          <cell r="L956" t="str">
            <v>SMF-UCW06</v>
          </cell>
          <cell r="M956" t="str">
            <v>SMF-UCW05</v>
          </cell>
          <cell r="W956" t="str">
            <v xml:space="preserve">SMF: UTILITIES CHILLED WATER </v>
          </cell>
        </row>
        <row r="957">
          <cell r="A957" t="str">
            <v>SMF: UTILITIES DEBT SERVICE FY15</v>
          </cell>
          <cell r="B957" t="str">
            <v>SMF</v>
          </cell>
          <cell r="C957" t="str">
            <v>SMF-UDS</v>
          </cell>
          <cell r="D957" t="str">
            <v>SMF-UDS-14</v>
          </cell>
          <cell r="E957" t="str">
            <v>SMF-UDS-13</v>
          </cell>
          <cell r="F957" t="str">
            <v>SMF-UDS-12</v>
          </cell>
          <cell r="G957" t="str">
            <v>SMF-UDS-11</v>
          </cell>
          <cell r="H957" t="str">
            <v>SMF-UDS-10</v>
          </cell>
          <cell r="I957" t="str">
            <v>SMF-UDS-09</v>
          </cell>
          <cell r="J957" t="str">
            <v>SMF-UDS-08</v>
          </cell>
          <cell r="K957" t="str">
            <v>SMF-UDS-07</v>
          </cell>
          <cell r="L957" t="str">
            <v>SMF-UDS06</v>
          </cell>
          <cell r="M957" t="str">
            <v>SMF-UDS05</v>
          </cell>
          <cell r="W957" t="str">
            <v xml:space="preserve">SMF: UTILITIES DEBT SERVICE </v>
          </cell>
        </row>
        <row r="958">
          <cell r="A958" t="str">
            <v>SMF: UTILITIES MAINT FY15</v>
          </cell>
          <cell r="B958">
            <v>0</v>
          </cell>
          <cell r="C958" t="str">
            <v>SMF-UMT</v>
          </cell>
          <cell r="D958" t="str">
            <v>SMF-UMT14</v>
          </cell>
          <cell r="E958" t="str">
            <v>SMF-UMT13</v>
          </cell>
          <cell r="F958" t="str">
            <v>SMF-UMT12</v>
          </cell>
          <cell r="G958" t="str">
            <v>SMF-UMT11</v>
          </cell>
          <cell r="H958" t="str">
            <v>SMF-UMT10</v>
          </cell>
          <cell r="I958" t="str">
            <v>SMF-UMT09</v>
          </cell>
          <cell r="J958" t="str">
            <v>SMF-UMT08</v>
          </cell>
          <cell r="K958" t="str">
            <v>SMF-UMT07</v>
          </cell>
          <cell r="L958" t="str">
            <v>SMF-UMT06</v>
          </cell>
          <cell r="M958" t="str">
            <v>SMF-UMT05</v>
          </cell>
          <cell r="W958" t="str">
            <v xml:space="preserve">SMF: UTILITIES MAINT </v>
          </cell>
        </row>
        <row r="959">
          <cell r="A959" t="str">
            <v>SMF: UTILITIES FY15 - WATER ONLY</v>
          </cell>
          <cell r="B959" t="str">
            <v>SMF</v>
          </cell>
          <cell r="C959" t="str">
            <v>SMF-WTR</v>
          </cell>
          <cell r="D959" t="str">
            <v>SMF-WTR-14</v>
          </cell>
          <cell r="E959" t="str">
            <v>SMF-WTR-13</v>
          </cell>
          <cell r="F959" t="str">
            <v>SMF-WTR-12</v>
          </cell>
          <cell r="G959" t="str">
            <v>SMF-WTR-11</v>
          </cell>
          <cell r="H959" t="str">
            <v>SMF-WTR-10</v>
          </cell>
          <cell r="I959" t="str">
            <v>SMF-WTR-09</v>
          </cell>
          <cell r="J959" t="str">
            <v>SMF-WTR-08</v>
          </cell>
          <cell r="K959" t="str">
            <v>SMF-WTR-07</v>
          </cell>
          <cell r="L959" t="str">
            <v>SMF-WTR-06</v>
          </cell>
          <cell r="M959" t="str">
            <v>SMF-WTR-05</v>
          </cell>
          <cell r="N959" t="str">
            <v>SWO003251</v>
          </cell>
          <cell r="O959" t="str">
            <v>SWO001175</v>
          </cell>
          <cell r="P959" t="str">
            <v>SWO001175</v>
          </cell>
          <cell r="Q959" t="str">
            <v>SWO001175</v>
          </cell>
          <cell r="R959" t="str">
            <v>SWO001175</v>
          </cell>
          <cell r="S959">
            <v>22692</v>
          </cell>
          <cell r="U959" t="str">
            <v>SMF</v>
          </cell>
          <cell r="W959" t="str">
            <v>SMF: UTILITIES G/W/E  - WATER ONLY</v>
          </cell>
          <cell r="X959" t="str">
            <v>N</v>
          </cell>
        </row>
        <row r="960">
          <cell r="A960" t="str">
            <v>GPC: UTILITIES FY15 - WATER/ELECTRIC ONLY</v>
          </cell>
          <cell r="B960" t="str">
            <v>GPC</v>
          </cell>
          <cell r="C960" t="str">
            <v>GPC-EXW</v>
          </cell>
          <cell r="D960" t="str">
            <v>GPC-EXW-14</v>
          </cell>
          <cell r="E960" t="str">
            <v>GPC-EXW-13</v>
          </cell>
          <cell r="F960" t="str">
            <v>GPC-EXW-12</v>
          </cell>
          <cell r="G960" t="str">
            <v>GPC-EXW-11</v>
          </cell>
          <cell r="H960" t="str">
            <v>GPC-EXW-10</v>
          </cell>
          <cell r="I960" t="str">
            <v>GPC-EXW-09</v>
          </cell>
          <cell r="J960" t="str">
            <v>GPC-EXW-08</v>
          </cell>
          <cell r="K960" t="str">
            <v>GPC-EXW-07</v>
          </cell>
          <cell r="L960" t="str">
            <v>GPC-EXW-06</v>
          </cell>
          <cell r="M960" t="str">
            <v>GPC-EXW-05</v>
          </cell>
          <cell r="N960" t="str">
            <v>SWO003157</v>
          </cell>
          <cell r="O960" t="str">
            <v>SWO002573</v>
          </cell>
          <cell r="T960" t="str">
            <v>5110</v>
          </cell>
          <cell r="U960" t="str">
            <v>GPF</v>
          </cell>
          <cell r="W960" t="str">
            <v>GPC: UTILITIES G/W/E  - WATER/ELECTRIC ONLY</v>
          </cell>
          <cell r="X960" t="str">
            <v>N</v>
          </cell>
        </row>
        <row r="961">
          <cell r="A961" t="str">
            <v>GPC: UTILITIES CHILLED WATER FY15</v>
          </cell>
          <cell r="B961" t="str">
            <v>GPC</v>
          </cell>
          <cell r="C961" t="str">
            <v>GPC-UCW</v>
          </cell>
          <cell r="D961" t="str">
            <v>GPC-UCW14</v>
          </cell>
          <cell r="E961" t="str">
            <v>GPC-UCW13</v>
          </cell>
          <cell r="F961" t="str">
            <v>GPC-UCW12</v>
          </cell>
          <cell r="G961" t="str">
            <v>GPC-UCW11</v>
          </cell>
          <cell r="H961" t="str">
            <v>GPC-UCW10</v>
          </cell>
          <cell r="I961" t="str">
            <v>GPC-UCW09</v>
          </cell>
          <cell r="J961" t="str">
            <v>GPC-UCW08</v>
          </cell>
          <cell r="K961" t="str">
            <v>GPC-UCW07</v>
          </cell>
          <cell r="L961" t="str">
            <v>GPC-UCW06</v>
          </cell>
          <cell r="M961" t="str">
            <v>GPC-UCW05</v>
          </cell>
          <cell r="W961" t="str">
            <v xml:space="preserve">GPC: UTILITIES CHILLED WATER </v>
          </cell>
        </row>
        <row r="962">
          <cell r="A962" t="str">
            <v>GPC: UTILITIES DEBT SERVICE FY15</v>
          </cell>
          <cell r="B962" t="str">
            <v>GPC</v>
          </cell>
          <cell r="C962" t="str">
            <v>GPC-UDS</v>
          </cell>
          <cell r="D962" t="str">
            <v>GPC-UDS14</v>
          </cell>
          <cell r="E962" t="str">
            <v>GPC-UDS13</v>
          </cell>
          <cell r="F962" t="str">
            <v>GPC-UDS12</v>
          </cell>
          <cell r="G962" t="str">
            <v>GPC-UDS11</v>
          </cell>
          <cell r="H962" t="str">
            <v>GPC-UDS10</v>
          </cell>
          <cell r="I962" t="str">
            <v>GPC-UDS09</v>
          </cell>
          <cell r="J962" t="str">
            <v>GPC-UDS08</v>
          </cell>
          <cell r="K962" t="str">
            <v>GPC-UDS07</v>
          </cell>
          <cell r="L962" t="str">
            <v>GPC-UDS06</v>
          </cell>
          <cell r="M962" t="str">
            <v>GPC-UDS05</v>
          </cell>
          <cell r="W962" t="str">
            <v xml:space="preserve">GPC: UTILITIES DEBT SERVICE </v>
          </cell>
        </row>
        <row r="963">
          <cell r="A963" t="str">
            <v>GPC: UTILITIES MAINT FY15</v>
          </cell>
          <cell r="B963">
            <v>0</v>
          </cell>
          <cell r="C963" t="str">
            <v>GPC-UMT</v>
          </cell>
          <cell r="D963" t="str">
            <v>GPC-UMT14</v>
          </cell>
          <cell r="E963" t="str">
            <v>GPC-UMT13</v>
          </cell>
          <cell r="F963" t="str">
            <v>GPC-UMT12</v>
          </cell>
          <cell r="G963" t="str">
            <v>GPC-UMT11</v>
          </cell>
          <cell r="H963" t="str">
            <v>GPC-UMT10</v>
          </cell>
          <cell r="I963" t="str">
            <v>GPC-UMT09</v>
          </cell>
          <cell r="J963" t="str">
            <v>GPC-UMT08</v>
          </cell>
          <cell r="K963" t="str">
            <v>GPC-UMT07</v>
          </cell>
          <cell r="L963" t="str">
            <v>GPC-UMT06</v>
          </cell>
          <cell r="M963" t="str">
            <v>GPC-UMT05</v>
          </cell>
          <cell r="W963" t="str">
            <v xml:space="preserve">GPC: UTILITIES MAINT </v>
          </cell>
        </row>
        <row r="964">
          <cell r="A964" t="str">
            <v>UNH: UTILITIES FY15 - ELECTRIC ONLY</v>
          </cell>
          <cell r="B964" t="str">
            <v>UNH</v>
          </cell>
          <cell r="C964" t="str">
            <v>UNH-ELC</v>
          </cell>
          <cell r="D964" t="str">
            <v>UNH-ELC-14</v>
          </cell>
          <cell r="E964" t="str">
            <v>UNH-ELC-13</v>
          </cell>
          <cell r="F964" t="str">
            <v>UNH-ELC-12</v>
          </cell>
          <cell r="G964" t="str">
            <v>UNH-ELC-11</v>
          </cell>
          <cell r="H964" t="str">
            <v>UNH-ELC-10</v>
          </cell>
          <cell r="I964" t="str">
            <v>UNH-ELC-09</v>
          </cell>
          <cell r="T964">
            <v>6400</v>
          </cell>
          <cell r="U964" t="str">
            <v>UNH</v>
          </cell>
          <cell r="W964" t="str">
            <v>UNH: UTILITIES  - ELECTRIC</v>
          </cell>
        </row>
        <row r="965">
          <cell r="A965" t="str">
            <v>UNH: UTILITIES FY15 - GAS</v>
          </cell>
          <cell r="B965" t="str">
            <v>UNH</v>
          </cell>
          <cell r="C965" t="str">
            <v>UNH-GAS</v>
          </cell>
          <cell r="D965" t="str">
            <v>UNH-GAS-14</v>
          </cell>
          <cell r="E965" t="str">
            <v>UNH-GAS-13</v>
          </cell>
          <cell r="F965" t="str">
            <v>UNH-GAS-12</v>
          </cell>
          <cell r="G965" t="str">
            <v>UNH-GAS-11</v>
          </cell>
          <cell r="H965" t="str">
            <v>UNH-GAS-10</v>
          </cell>
          <cell r="I965" t="str">
            <v>UNH-GAS-09</v>
          </cell>
          <cell r="W965" t="str">
            <v>UNH: UTILITIES  - GAS</v>
          </cell>
        </row>
        <row r="966">
          <cell r="A966" t="str">
            <v>UNH: UTILITIES FY15 - WATER</v>
          </cell>
          <cell r="B966" t="str">
            <v>UNH</v>
          </cell>
          <cell r="C966" t="str">
            <v>UNH-WTR</v>
          </cell>
          <cell r="D966" t="str">
            <v>UNH-WTR-14</v>
          </cell>
          <cell r="E966" t="str">
            <v>UNH-WTR-13</v>
          </cell>
          <cell r="F966" t="str">
            <v>UNH-WTR-12</v>
          </cell>
          <cell r="G966" t="str">
            <v>UNH-WTR-11</v>
          </cell>
          <cell r="H966" t="str">
            <v>UNH-WTR-10</v>
          </cell>
          <cell r="I966" t="str">
            <v>UNH-WTR-09</v>
          </cell>
          <cell r="W966" t="str">
            <v>UNH: UTILITIES  - WATER</v>
          </cell>
        </row>
        <row r="967">
          <cell r="A967" t="str">
            <v>VBB: UTILITIES FY15 - GAS/WATER/ELECTRIC</v>
          </cell>
          <cell r="B967" t="str">
            <v>VBB</v>
          </cell>
          <cell r="C967" t="str">
            <v>VBB-EGW</v>
          </cell>
          <cell r="D967" t="str">
            <v>VBB-EGW-14</v>
          </cell>
          <cell r="E967" t="str">
            <v>VBB-EGW-13</v>
          </cell>
          <cell r="F967" t="str">
            <v>VBB-EGW-12</v>
          </cell>
          <cell r="G967" t="str">
            <v>VBB-EGW-11</v>
          </cell>
          <cell r="H967" t="str">
            <v>VBB-EGW-10</v>
          </cell>
          <cell r="I967" t="str">
            <v>VBB-EGW-09</v>
          </cell>
          <cell r="J967" t="str">
            <v>VBB-EGW-08</v>
          </cell>
          <cell r="K967" t="str">
            <v>VBB-EGW-07</v>
          </cell>
          <cell r="L967" t="str">
            <v>VBB-EGW-06</v>
          </cell>
          <cell r="M967" t="str">
            <v>VBB-EGW-05</v>
          </cell>
          <cell r="N967" t="str">
            <v>SWO003274</v>
          </cell>
          <cell r="O967" t="str">
            <v>SWO001025</v>
          </cell>
          <cell r="P967" t="str">
            <v>SWO001025</v>
          </cell>
          <cell r="Q967" t="str">
            <v>SWO001025</v>
          </cell>
          <cell r="R967" t="str">
            <v>SWO001025</v>
          </cell>
          <cell r="S967">
            <v>22695</v>
          </cell>
          <cell r="T967" t="str">
            <v>6520</v>
          </cell>
          <cell r="U967" t="str">
            <v>VBB</v>
          </cell>
          <cell r="V967" t="str">
            <v>HSC</v>
          </cell>
          <cell r="W967" t="str">
            <v xml:space="preserve">VBB: UTILITIES G/W/E </v>
          </cell>
          <cell r="X967" t="str">
            <v>N</v>
          </cell>
        </row>
        <row r="968">
          <cell r="A968" t="str">
            <v>VBB: UTILITIES CHILLED WATER FY15</v>
          </cell>
          <cell r="B968" t="str">
            <v>VBB</v>
          </cell>
          <cell r="C968" t="str">
            <v>VBB-UCW</v>
          </cell>
          <cell r="D968" t="str">
            <v>VBB-UCW14</v>
          </cell>
          <cell r="E968" t="str">
            <v>VBB-UCW13</v>
          </cell>
          <cell r="F968" t="str">
            <v>VBB-UCW12</v>
          </cell>
          <cell r="G968" t="str">
            <v>VBB-UCW11</v>
          </cell>
          <cell r="H968" t="str">
            <v>VBB-UCW10</v>
          </cell>
          <cell r="I968" t="str">
            <v>VBB-UCW09</v>
          </cell>
          <cell r="J968" t="str">
            <v>VBB-UCW08</v>
          </cell>
          <cell r="K968" t="str">
            <v>VBB-UCW07</v>
          </cell>
          <cell r="L968" t="str">
            <v>VBB-UCW06</v>
          </cell>
          <cell r="M968" t="str">
            <v>VBB-UCW05</v>
          </cell>
          <cell r="W968" t="str">
            <v xml:space="preserve">VBB: UTILITIES CHILLED WATER </v>
          </cell>
        </row>
        <row r="969">
          <cell r="A969" t="str">
            <v>VBB: UTILITIES DEBT SERVICE FY15</v>
          </cell>
          <cell r="B969" t="str">
            <v>VBB</v>
          </cell>
          <cell r="C969" t="str">
            <v>VBB-UDS</v>
          </cell>
          <cell r="D969" t="str">
            <v>VBB-UDS14</v>
          </cell>
          <cell r="E969" t="str">
            <v>VBB-UDS13</v>
          </cell>
          <cell r="F969" t="str">
            <v>VBB-UDS12</v>
          </cell>
          <cell r="G969" t="str">
            <v>VBB-UDS11</v>
          </cell>
          <cell r="H969" t="str">
            <v>VBB-UDS10</v>
          </cell>
          <cell r="I969" t="str">
            <v>VBB-UDS09</v>
          </cell>
          <cell r="J969" t="str">
            <v>VBB-UDS08</v>
          </cell>
          <cell r="K969" t="str">
            <v>VBB-UDS07</v>
          </cell>
          <cell r="L969" t="str">
            <v>VBB-UDS06</v>
          </cell>
          <cell r="M969" t="str">
            <v>VBB-UDS05</v>
          </cell>
          <cell r="W969" t="str">
            <v xml:space="preserve">VBB: UTILITIES DEBT SERVICE </v>
          </cell>
        </row>
        <row r="970">
          <cell r="A970" t="str">
            <v>VBB: UTILITIES FY15 - GAS/WATER/ELECTRIC</v>
          </cell>
          <cell r="B970" t="str">
            <v>VBB</v>
          </cell>
          <cell r="C970" t="str">
            <v>VBB-EGW</v>
          </cell>
          <cell r="D970" t="str">
            <v>VBB-EGW-14</v>
          </cell>
          <cell r="E970" t="str">
            <v>VBB-EGW-13</v>
          </cell>
          <cell r="F970" t="str">
            <v>VBB-EGW-12</v>
          </cell>
          <cell r="G970" t="str">
            <v>VBB-EGW-11</v>
          </cell>
          <cell r="H970" t="str">
            <v>VBB-EGW-10</v>
          </cell>
          <cell r="I970" t="str">
            <v>VBB-EGW-09</v>
          </cell>
          <cell r="J970" t="str">
            <v>VBB-EGW-08</v>
          </cell>
          <cell r="K970" t="str">
            <v>VBB-EGW-07</v>
          </cell>
          <cell r="L970" t="str">
            <v>VBB-EGW-06</v>
          </cell>
          <cell r="M970" t="str">
            <v>VBB-EGW-05</v>
          </cell>
          <cell r="W970" t="str">
            <v xml:space="preserve">VBB: UTILITIES G/W/E </v>
          </cell>
        </row>
        <row r="971">
          <cell r="A971" t="str">
            <v>TDF: UTILITIES FY15 - GAS/WATER/ELECTRIC</v>
          </cell>
          <cell r="B971" t="str">
            <v>TDF</v>
          </cell>
          <cell r="C971" t="str">
            <v>TDF-EGW</v>
          </cell>
          <cell r="D971" t="str">
            <v>TDF-EGW-14</v>
          </cell>
          <cell r="E971" t="str">
            <v>TDF-EGW-13</v>
          </cell>
          <cell r="F971" t="str">
            <v>TDF-EGW-12</v>
          </cell>
          <cell r="G971" t="str">
            <v>TDF-EGW-11</v>
          </cell>
          <cell r="H971" t="str">
            <v>TDF-EGW-10</v>
          </cell>
          <cell r="I971" t="str">
            <v>TDF-EGW-09</v>
          </cell>
          <cell r="J971" t="str">
            <v>TDF-EGW-08</v>
          </cell>
          <cell r="T971">
            <v>8010</v>
          </cell>
          <cell r="W971" t="str">
            <v xml:space="preserve">TDF: UTILITIES G/W/E </v>
          </cell>
        </row>
        <row r="972">
          <cell r="A972" t="str">
            <v>SSP: UTILITIES FY15 - ELECTRIC</v>
          </cell>
          <cell r="B972" t="str">
            <v>SSP</v>
          </cell>
          <cell r="C972" t="str">
            <v>SSP-ELC</v>
          </cell>
          <cell r="D972" t="str">
            <v>SSP-ELC-14</v>
          </cell>
          <cell r="E972" t="str">
            <v>SSP-ELC-13</v>
          </cell>
          <cell r="F972" t="str">
            <v>SSP-ELC-12</v>
          </cell>
          <cell r="G972" t="str">
            <v>SSP-ELC-11</v>
          </cell>
          <cell r="H972" t="str">
            <v>SSP-ELC-10</v>
          </cell>
          <cell r="I972" t="str">
            <v>SSP-ELC-09</v>
          </cell>
          <cell r="J972" t="str">
            <v>SSP-ELC-08</v>
          </cell>
          <cell r="K972" t="str">
            <v>SSP-ELC-07</v>
          </cell>
          <cell r="L972" t="str">
            <v>SWO009051</v>
          </cell>
          <cell r="T972">
            <v>9150</v>
          </cell>
          <cell r="U972" t="str">
            <v>SSP</v>
          </cell>
          <cell r="V972" t="str">
            <v>HSC</v>
          </cell>
          <cell r="W972" t="str">
            <v>SSP Utilities  -  Electric</v>
          </cell>
          <cell r="X972" t="str">
            <v>Y</v>
          </cell>
          <cell r="Y972" t="str">
            <v>17-8045-0000</v>
          </cell>
          <cell r="Z972">
            <v>20215</v>
          </cell>
        </row>
        <row r="973">
          <cell r="A973" t="str">
            <v>SSP: UTILITIES FY15 - WATER</v>
          </cell>
          <cell r="B973" t="str">
            <v>SSP</v>
          </cell>
          <cell r="C973" t="str">
            <v>SSP-WTR</v>
          </cell>
          <cell r="D973" t="str">
            <v>SSP-WTR-14</v>
          </cell>
          <cell r="E973" t="str">
            <v>SSP-WTR-13</v>
          </cell>
          <cell r="F973" t="str">
            <v>SSP-WTR-12</v>
          </cell>
          <cell r="G973" t="str">
            <v>SSP-WTR-11</v>
          </cell>
          <cell r="H973" t="str">
            <v>SSP-WTR-10</v>
          </cell>
          <cell r="I973" t="str">
            <v>SSP-WTR-09</v>
          </cell>
          <cell r="J973" t="str">
            <v>SSP-WTR-08</v>
          </cell>
          <cell r="K973" t="str">
            <v>SSP-WTR-07</v>
          </cell>
          <cell r="L973" t="str">
            <v>SWO009052</v>
          </cell>
          <cell r="V973" t="str">
            <v>HSC</v>
          </cell>
          <cell r="W973" t="str">
            <v>SSP Utilities  -  Water</v>
          </cell>
          <cell r="X973" t="str">
            <v>Y</v>
          </cell>
          <cell r="Y973" t="str">
            <v>17-8045-0000</v>
          </cell>
          <cell r="Z973">
            <v>20212</v>
          </cell>
        </row>
        <row r="982">
          <cell r="B982" t="str">
            <v>New Building with customers add fiscal year OH</v>
          </cell>
          <cell r="T982" t="str">
            <v>NOTE:</v>
          </cell>
          <cell r="U982" t="str">
            <v>New Building with customers add fiscal year OH</v>
          </cell>
        </row>
        <row r="983">
          <cell r="B983" t="str">
            <v>Buildings under construction no fiscal year OH until occupied per CJM 3/16/04.</v>
          </cell>
          <cell r="U983" t="str">
            <v>Buildings under construction no fiscal year OH until occupied per CJM 3/16/04.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42369</v>
          </cell>
          <cell r="Z9">
            <v>42400</v>
          </cell>
          <cell r="AA9">
            <v>40896.67511551905</v>
          </cell>
          <cell r="AB9">
            <v>5551.8947858259289</v>
          </cell>
          <cell r="AC9">
            <v>0.13575418466522607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42369</v>
          </cell>
          <cell r="Z10">
            <v>42400</v>
          </cell>
          <cell r="AA10">
            <v>33788.583446685727</v>
          </cell>
          <cell r="AB10">
            <v>4586.9415967977748</v>
          </cell>
          <cell r="AC10">
            <v>0.13575418466522607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42369</v>
          </cell>
          <cell r="Z11">
            <v>42339</v>
          </cell>
          <cell r="AA11">
            <v>4676.9866657738239</v>
          </cell>
          <cell r="AB11">
            <v>634.92051150225961</v>
          </cell>
          <cell r="AC11">
            <v>0.13575418466522607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42369</v>
          </cell>
          <cell r="Z12">
            <v>42400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42369</v>
          </cell>
          <cell r="Z13">
            <v>42400</v>
          </cell>
          <cell r="AA13">
            <v>65097.688393634693</v>
          </cell>
          <cell r="AB13">
            <v>8742.6994375106697</v>
          </cell>
          <cell r="AC13">
            <v>0.13430122717484294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42369</v>
          </cell>
          <cell r="Z14">
            <v>42400</v>
          </cell>
          <cell r="AA14">
            <v>27502.131047804498</v>
          </cell>
          <cell r="AB14">
            <v>3693.5699496434931</v>
          </cell>
          <cell r="AC14">
            <v>0.13430122717484294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42369</v>
          </cell>
          <cell r="Z15">
            <v>42400</v>
          </cell>
          <cell r="AA15">
            <v>88808.637029278034</v>
          </cell>
          <cell r="AB15">
            <v>11927.108936757239</v>
          </cell>
          <cell r="AC15">
            <v>0.13430122717484294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42369</v>
          </cell>
          <cell r="Z16">
            <v>42400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42369</v>
          </cell>
          <cell r="Z17">
            <v>42400</v>
          </cell>
          <cell r="AA17">
            <v>177853.88055801362</v>
          </cell>
          <cell r="AB17">
            <v>24144.408544699643</v>
          </cell>
          <cell r="AC17">
            <v>0.13575418466522607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42369</v>
          </cell>
          <cell r="Z18">
            <v>42400</v>
          </cell>
          <cell r="AA18">
            <v>56755.109784796099</v>
          </cell>
          <cell r="AB18">
            <v>7704.7436544203883</v>
          </cell>
          <cell r="AC18">
            <v>0.13575418466522607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42369</v>
          </cell>
          <cell r="Z19">
            <v>42400</v>
          </cell>
          <cell r="AA19">
            <v>45972.059356974401</v>
          </cell>
          <cell r="AB19">
            <v>6240.8994353874368</v>
          </cell>
          <cell r="AC19">
            <v>0.13575418466522607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42369</v>
          </cell>
          <cell r="Z20">
            <v>42400</v>
          </cell>
          <cell r="AA20">
            <v>26507.503908804341</v>
          </cell>
          <cell r="AB20">
            <v>3524.378611344147</v>
          </cell>
          <cell r="AC20">
            <v>0.13295777012687873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42369</v>
          </cell>
          <cell r="Z21">
            <v>42400</v>
          </cell>
          <cell r="AA21">
            <v>1781.0526354416838</v>
          </cell>
          <cell r="AB21">
            <v>239.19755460280629</v>
          </cell>
          <cell r="AC21">
            <v>0.13430122717484294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42369</v>
          </cell>
          <cell r="Z22">
            <v>42400</v>
          </cell>
          <cell r="AA22">
            <v>9335.7619975698908</v>
          </cell>
          <cell r="AB22">
            <v>1253.8042928858995</v>
          </cell>
          <cell r="AC22">
            <v>0.13430122717484294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42369</v>
          </cell>
          <cell r="Z23">
            <v>42400</v>
          </cell>
          <cell r="AA23">
            <v>85582.279968135452</v>
          </cell>
          <cell r="AB23">
            <v>11493.80522414157</v>
          </cell>
          <cell r="AC23">
            <v>0.13430122717484294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42369</v>
          </cell>
          <cell r="Z24">
            <v>42400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42369</v>
          </cell>
          <cell r="Z25">
            <v>42400</v>
          </cell>
          <cell r="AA25">
            <v>154605.19811002054</v>
          </cell>
          <cell r="AB25">
            <v>20988.302614431588</v>
          </cell>
          <cell r="AC25">
            <v>0.13575418466522607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42369</v>
          </cell>
          <cell r="Z26">
            <v>42400</v>
          </cell>
          <cell r="AA26">
            <v>137799.46945924711</v>
          </cell>
          <cell r="AB26">
            <v>18706.854623740812</v>
          </cell>
          <cell r="AC26">
            <v>0.13575418466522607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42369</v>
          </cell>
          <cell r="Z27">
            <v>42400</v>
          </cell>
          <cell r="AA27">
            <v>3585.4065091152534</v>
          </cell>
          <cell r="AB27">
            <v>476.70765445036056</v>
          </cell>
          <cell r="AC27">
            <v>0.13295777012687873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42369</v>
          </cell>
          <cell r="Z28">
            <v>42400</v>
          </cell>
          <cell r="AA28">
            <v>38870.429872776906</v>
          </cell>
          <cell r="AB28">
            <v>5276.8235149656757</v>
          </cell>
          <cell r="AC28">
            <v>0.13575418466522607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42369</v>
          </cell>
          <cell r="Z29">
            <v>42400</v>
          </cell>
          <cell r="AA29">
            <v>274301.95402554638</v>
          </cell>
          <cell r="AB29">
            <v>36470.576148682252</v>
          </cell>
          <cell r="AC29">
            <v>0.13295777012687873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42369</v>
          </cell>
          <cell r="Z30">
            <v>42400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42369</v>
          </cell>
          <cell r="Z31">
            <v>42400</v>
          </cell>
          <cell r="AA31">
            <v>50161.55914279323</v>
          </cell>
          <cell r="AB31">
            <v>6669.3690497133348</v>
          </cell>
          <cell r="AC31">
            <v>0.13295777012687873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42369</v>
          </cell>
          <cell r="Z32">
            <v>42400</v>
          </cell>
          <cell r="AA32">
            <v>93311.766127359311</v>
          </cell>
          <cell r="AB32">
            <v>12667.462730291923</v>
          </cell>
          <cell r="AC32">
            <v>0.13575418466522607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42369</v>
          </cell>
          <cell r="Z33">
            <v>42400</v>
          </cell>
          <cell r="AA33">
            <v>141860.99143169235</v>
          </cell>
          <cell r="AB33">
            <v>19258.223227610015</v>
          </cell>
          <cell r="AC33">
            <v>0.13575418466522607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42369</v>
          </cell>
          <cell r="Z34">
            <v>42400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42369</v>
          </cell>
          <cell r="Z35">
            <v>42400</v>
          </cell>
          <cell r="AA35">
            <v>104638.41849169058</v>
          </cell>
          <cell r="AB35">
            <v>13912.490792258333</v>
          </cell>
          <cell r="AC35">
            <v>0.13295777012687873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42369</v>
          </cell>
          <cell r="Z36">
            <v>42400</v>
          </cell>
          <cell r="AA36">
            <v>98069.94725301009</v>
          </cell>
          <cell r="AB36">
            <v>13170.914265051373</v>
          </cell>
          <cell r="AC36">
            <v>0.13430122717484294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42369</v>
          </cell>
          <cell r="Z37">
            <v>42400</v>
          </cell>
          <cell r="AA37">
            <v>162264.56162357592</v>
          </cell>
          <cell r="AB37">
            <v>21574.334284086155</v>
          </cell>
          <cell r="AC37">
            <v>0.13295777012687873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42369</v>
          </cell>
          <cell r="Z38">
            <v>42400</v>
          </cell>
          <cell r="AA38">
            <v>49304.647281991456</v>
          </cell>
          <cell r="AB38">
            <v>6555.4359595058559</v>
          </cell>
          <cell r="AC38">
            <v>0.13295777012687873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42369</v>
          </cell>
          <cell r="Z39">
            <v>42400</v>
          </cell>
          <cell r="AA39">
            <v>20812.254191142361</v>
          </cell>
          <cell r="AB39">
            <v>2767.1509085680746</v>
          </cell>
          <cell r="AC39">
            <v>0.13295777012687873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42369</v>
          </cell>
          <cell r="Z40">
            <v>42400</v>
          </cell>
          <cell r="AA40">
            <v>53957.728815194132</v>
          </cell>
          <cell r="AB40">
            <v>7174.0993043790422</v>
          </cell>
          <cell r="AC40">
            <v>0.13295777012687873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42369</v>
          </cell>
          <cell r="Z41">
            <v>42400</v>
          </cell>
          <cell r="AA41">
            <v>28787.565104614841</v>
          </cell>
          <cell r="AB41">
            <v>3866.2053209254591</v>
          </cell>
          <cell r="AC41">
            <v>0.13430122717484294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42369</v>
          </cell>
          <cell r="Z42">
            <v>42401</v>
          </cell>
          <cell r="AA42">
            <v>17147.52</v>
          </cell>
          <cell r="AB42">
            <v>2510.2989600000001</v>
          </cell>
          <cell r="AC42">
            <v>0.1463942867540029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42369</v>
          </cell>
          <cell r="Z43">
            <v>42400</v>
          </cell>
          <cell r="AA43">
            <v>44036.751845011226</v>
          </cell>
          <cell r="AB43">
            <v>5978.1733420243891</v>
          </cell>
          <cell r="AC43">
            <v>0.13575418466522607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42369</v>
          </cell>
          <cell r="Z44">
            <v>42400</v>
          </cell>
          <cell r="AA44">
            <v>11364.335614461963</v>
          </cell>
          <cell r="AB44">
            <v>1542.7561156032748</v>
          </cell>
          <cell r="AC44">
            <v>0.13575418466522607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42369</v>
          </cell>
          <cell r="Z45">
            <v>42400</v>
          </cell>
          <cell r="AA45">
            <v>8068.6513873856929</v>
          </cell>
          <cell r="AB45">
            <v>1083.6297829718976</v>
          </cell>
          <cell r="AC45">
            <v>0.13430122717484294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42369</v>
          </cell>
          <cell r="Z46">
            <v>42400</v>
          </cell>
          <cell r="AA46">
            <v>3754.0587005951757</v>
          </cell>
          <cell r="AB46">
            <v>504.17469037632839</v>
          </cell>
          <cell r="AC46">
            <v>0.13430122717484294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42369</v>
          </cell>
          <cell r="Z47">
            <v>42400</v>
          </cell>
          <cell r="AA47">
            <v>156182.94963281843</v>
          </cell>
          <cell r="AB47">
            <v>20765.736715018153</v>
          </cell>
          <cell r="AC47">
            <v>0.13295777012687873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42369</v>
          </cell>
          <cell r="Z48">
            <v>42400</v>
          </cell>
          <cell r="AA48">
            <v>29.340237491320643</v>
          </cell>
          <cell r="AB48">
            <v>3.9010125518390391</v>
          </cell>
          <cell r="AC48">
            <v>0.13295777012687873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42369</v>
          </cell>
          <cell r="Z49">
            <v>42400</v>
          </cell>
          <cell r="AA49">
            <v>50232.034688124149</v>
          </cell>
          <cell r="AB49">
            <v>6678.7393210690088</v>
          </cell>
          <cell r="AC49">
            <v>0.13295777012687873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42369</v>
          </cell>
          <cell r="Z50">
            <v>42401</v>
          </cell>
          <cell r="AA50">
            <v>6870</v>
          </cell>
          <cell r="AB50">
            <v>1005.72875</v>
          </cell>
          <cell r="AC50">
            <v>0.1463942867540029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42369</v>
          </cell>
          <cell r="Z51">
            <v>42400</v>
          </cell>
          <cell r="AA51">
            <v>65947.638981779222</v>
          </cell>
          <cell r="AB51">
            <v>8768.2510241497894</v>
          </cell>
          <cell r="AC51">
            <v>0.13295777012687873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42369</v>
          </cell>
          <cell r="Z52">
            <v>42400</v>
          </cell>
          <cell r="AA52">
            <v>74220.922481624541</v>
          </cell>
          <cell r="AB52">
            <v>9868.2483499167211</v>
          </cell>
          <cell r="AC52">
            <v>0.13295777012687873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42369</v>
          </cell>
          <cell r="Z53">
            <v>42400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42369</v>
          </cell>
          <cell r="Z55">
            <v>42400</v>
          </cell>
          <cell r="AA55">
            <v>361839.51790132606</v>
          </cell>
          <cell r="AB55">
            <v>49121.228732352989</v>
          </cell>
          <cell r="AC55">
            <v>0.13575418466522607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42369</v>
          </cell>
          <cell r="Z56">
            <v>42400</v>
          </cell>
          <cell r="AA56">
            <v>4444.5037341762027</v>
          </cell>
          <cell r="AB56">
            <v>603.35998067464311</v>
          </cell>
          <cell r="AC56">
            <v>0.13575418466522607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42369</v>
          </cell>
          <cell r="Z57">
            <v>42400</v>
          </cell>
          <cell r="AA57">
            <v>63768.647173315745</v>
          </cell>
          <cell r="AB57">
            <v>8478.5371321717503</v>
          </cell>
          <cell r="AC57">
            <v>0.13295777012687873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42369</v>
          </cell>
          <cell r="Z58">
            <v>42400</v>
          </cell>
          <cell r="AA58">
            <v>325178.81046577246</v>
          </cell>
          <cell r="AB58">
            <v>43235.049532040044</v>
          </cell>
          <cell r="AC58">
            <v>0.13295777012687873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42369</v>
          </cell>
          <cell r="Z59">
            <v>42400</v>
          </cell>
          <cell r="AA59">
            <v>18807.370877311692</v>
          </cell>
          <cell r="AB59">
            <v>2553.1792991459661</v>
          </cell>
          <cell r="AC59">
            <v>0.13575418466522607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42369</v>
          </cell>
          <cell r="Z60">
            <v>42400</v>
          </cell>
          <cell r="AA60">
            <v>54180.668855054995</v>
          </cell>
          <cell r="AB60">
            <v>7355.2525250345989</v>
          </cell>
          <cell r="AC60">
            <v>0.13575418466522607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42369</v>
          </cell>
          <cell r="Z61">
            <v>42400</v>
          </cell>
          <cell r="AA61">
            <v>143161.75912700428</v>
          </cell>
          <cell r="AB61">
            <v>19434.807885525952</v>
          </cell>
          <cell r="AC61">
            <v>0.13575418466522607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42369</v>
          </cell>
          <cell r="Z62">
            <v>42400</v>
          </cell>
          <cell r="AA62">
            <v>0</v>
          </cell>
          <cell r="AB62">
            <v>0</v>
          </cell>
          <cell r="AC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42369</v>
          </cell>
          <cell r="Z63">
            <v>42400</v>
          </cell>
          <cell r="AA63">
            <v>20213.869256183429</v>
          </cell>
          <cell r="AB63">
            <v>2744.1173398026613</v>
          </cell>
          <cell r="AC63">
            <v>0.13575418466522607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42369</v>
          </cell>
          <cell r="Z64">
            <v>42400</v>
          </cell>
          <cell r="AA64">
            <v>39613.425390605466</v>
          </cell>
          <cell r="AB64">
            <v>5377.6882656984099</v>
          </cell>
          <cell r="AC64">
            <v>0.13575418466522607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42369</v>
          </cell>
          <cell r="Z65">
            <v>42400</v>
          </cell>
          <cell r="AA65">
            <v>4546.2636777790458</v>
          </cell>
          <cell r="AB65">
            <v>617.17431885002645</v>
          </cell>
          <cell r="AC65">
            <v>0.13575418466522607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42352</v>
          </cell>
          <cell r="Z66">
            <v>42383</v>
          </cell>
          <cell r="AA66">
            <v>12560</v>
          </cell>
          <cell r="AB66">
            <v>2433.2399999999998</v>
          </cell>
          <cell r="AC66">
            <v>0.1937292993630573</v>
          </cell>
          <cell r="AE66" t="str">
            <v>1-52-34746-03601-00-9002-0-02</v>
          </cell>
          <cell r="AF66">
            <v>5236180930</v>
          </cell>
          <cell r="AG66">
            <v>42352</v>
          </cell>
          <cell r="AH66">
            <v>42383</v>
          </cell>
          <cell r="AI66">
            <v>10000</v>
          </cell>
          <cell r="AJ66">
            <v>1658.61</v>
          </cell>
          <cell r="AL66">
            <v>1658.61</v>
          </cell>
          <cell r="AM66">
            <v>2433.2399999999998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42369</v>
          </cell>
          <cell r="Z67">
            <v>42400</v>
          </cell>
          <cell r="AA67">
            <v>8168.4548121250837</v>
          </cell>
          <cell r="AB67">
            <v>1086.0595372023233</v>
          </cell>
          <cell r="AC67">
            <v>0.13295777012687873</v>
          </cell>
          <cell r="AE67" t="str">
            <v>1-52-34746-03601-00-9003-0-01</v>
          </cell>
          <cell r="AF67">
            <v>5236180931</v>
          </cell>
          <cell r="AG67">
            <v>42352</v>
          </cell>
          <cell r="AH67">
            <v>42383</v>
          </cell>
          <cell r="AI67">
            <v>2560</v>
          </cell>
          <cell r="AJ67">
            <v>774.63</v>
          </cell>
          <cell r="AL67">
            <v>774.63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42369</v>
          </cell>
          <cell r="Z68">
            <v>42400</v>
          </cell>
          <cell r="AA68">
            <v>17269.309935280882</v>
          </cell>
          <cell r="AB68">
            <v>2296.0889406248984</v>
          </cell>
          <cell r="AC68">
            <v>0.13295777012687873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42369</v>
          </cell>
          <cell r="Z69">
            <v>42400</v>
          </cell>
          <cell r="AA69">
            <v>46289.090109076969</v>
          </cell>
          <cell r="AB69">
            <v>6154.4942021050319</v>
          </cell>
          <cell r="AC69">
            <v>0.13295777012687873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42369</v>
          </cell>
          <cell r="Z70">
            <v>42400</v>
          </cell>
          <cell r="AA70">
            <v>37791.120971345663</v>
          </cell>
          <cell r="AB70">
            <v>5075.3939227646651</v>
          </cell>
          <cell r="AC70">
            <v>0.13430122717484294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42369</v>
          </cell>
          <cell r="Z71">
            <v>42400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42369</v>
          </cell>
          <cell r="Z72">
            <v>42400</v>
          </cell>
          <cell r="AA72">
            <v>66824.049881534957</v>
          </cell>
          <cell r="AB72">
            <v>9071.6444076961743</v>
          </cell>
          <cell r="AC72">
            <v>0.13575418466522607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42369</v>
          </cell>
          <cell r="Z73">
            <v>42400</v>
          </cell>
          <cell r="AA73">
            <v>38989.941359716744</v>
          </cell>
          <cell r="AB73">
            <v>5293.0476994333221</v>
          </cell>
          <cell r="AC73">
            <v>0.13575418466522607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42369</v>
          </cell>
          <cell r="Z74">
            <v>42400</v>
          </cell>
          <cell r="AA74">
            <v>34713.999429595737</v>
          </cell>
          <cell r="AB74">
            <v>4712.5706890338924</v>
          </cell>
          <cell r="AC74">
            <v>0.13575418466522607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42369</v>
          </cell>
          <cell r="Z75">
            <v>42400</v>
          </cell>
          <cell r="AA75">
            <v>9766.8524294251365</v>
          </cell>
          <cell r="AB75">
            <v>1325.8910883021917</v>
          </cell>
          <cell r="AC75">
            <v>0.13575418466522607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42369</v>
          </cell>
          <cell r="Z76">
            <v>42400</v>
          </cell>
          <cell r="AA76">
            <v>14302.097202274739</v>
          </cell>
          <cell r="AB76">
            <v>1920.7892054393853</v>
          </cell>
          <cell r="AC76">
            <v>0.13430122717484294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42369</v>
          </cell>
          <cell r="Z78">
            <v>42400</v>
          </cell>
          <cell r="AA78">
            <v>26330.677373408955</v>
          </cell>
          <cell r="AB78">
            <v>3574.499638510249</v>
          </cell>
          <cell r="AC78">
            <v>0.13575418466522607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42369</v>
          </cell>
          <cell r="Z79">
            <v>42400</v>
          </cell>
          <cell r="AA79">
            <v>31118.066181515474</v>
          </cell>
          <cell r="AB79">
            <v>4224.4077028301781</v>
          </cell>
          <cell r="AC79">
            <v>0.13575418466522607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42369</v>
          </cell>
          <cell r="Z80">
            <v>42400</v>
          </cell>
          <cell r="AA80">
            <v>75201.999760132909</v>
          </cell>
          <cell r="AB80">
            <v>10208.986162631369</v>
          </cell>
          <cell r="AC80">
            <v>0.13575418466522607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42369</v>
          </cell>
          <cell r="Z81">
            <v>42400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42369</v>
          </cell>
          <cell r="Z82">
            <v>42400</v>
          </cell>
          <cell r="AA82">
            <v>11898.439067496014</v>
          </cell>
          <cell r="AB82">
            <v>1615.2628943967941</v>
          </cell>
          <cell r="AC82">
            <v>0.13575418466522607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42369</v>
          </cell>
          <cell r="Z83">
            <v>42400</v>
          </cell>
          <cell r="AA83">
            <v>271123.66134812671</v>
          </cell>
          <cell r="AB83">
            <v>36412.240435189953</v>
          </cell>
          <cell r="AC83">
            <v>0.13430122717484294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42369</v>
          </cell>
          <cell r="Z84">
            <v>42400</v>
          </cell>
          <cell r="AA84">
            <v>109051.54406249565</v>
          </cell>
          <cell r="AB84">
            <v>14499.250127442485</v>
          </cell>
          <cell r="AC84">
            <v>0.13295777012687873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42369</v>
          </cell>
          <cell r="Z85">
            <v>42400</v>
          </cell>
          <cell r="AA85">
            <v>2678.4</v>
          </cell>
          <cell r="AB85">
            <v>363.60112610662924</v>
          </cell>
          <cell r="AC85">
            <v>0.13575310861209275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42369</v>
          </cell>
          <cell r="Z86">
            <v>42400</v>
          </cell>
          <cell r="AA86">
            <v>10821.6</v>
          </cell>
          <cell r="AB86">
            <v>1469.0658401566227</v>
          </cell>
          <cell r="AC86">
            <v>0.13575310861209272</v>
          </cell>
          <cell r="AM86">
            <v>13500</v>
          </cell>
          <cell r="AN86">
            <v>1832.6669662632519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42369</v>
          </cell>
          <cell r="Z87">
            <v>42400</v>
          </cell>
          <cell r="AA87">
            <v>21760</v>
          </cell>
          <cell r="AB87">
            <v>4160.32</v>
          </cell>
          <cell r="AC87">
            <v>0.19119117647058823</v>
          </cell>
          <cell r="AE87" t="str">
            <v>1-63-86192-02715-00-9001-0-01</v>
          </cell>
          <cell r="AF87">
            <v>5236180897</v>
          </cell>
          <cell r="AG87">
            <v>42339</v>
          </cell>
          <cell r="AH87">
            <v>42401</v>
          </cell>
          <cell r="AI87">
            <v>21760</v>
          </cell>
          <cell r="AJ87">
            <v>4160.32</v>
          </cell>
          <cell r="AL87">
            <v>4160.32</v>
          </cell>
          <cell r="AM87" t="str">
            <v>Meter #96116409</v>
          </cell>
          <cell r="AN87">
            <v>1832.6669662632519</v>
          </cell>
          <cell r="AO87">
            <v>1832.6669662632519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42369</v>
          </cell>
          <cell r="Z88">
            <v>42400</v>
          </cell>
          <cell r="AA88">
            <v>24694.654653495763</v>
          </cell>
          <cell r="AB88">
            <v>3352.4027080746482</v>
          </cell>
          <cell r="AC88">
            <v>0.13575418466522607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42369</v>
          </cell>
          <cell r="Z89">
            <v>42400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42369</v>
          </cell>
          <cell r="Z90">
            <v>42400</v>
          </cell>
          <cell r="AA90">
            <v>32913.930649107802</v>
          </cell>
          <cell r="AB90">
            <v>4468.2038193974249</v>
          </cell>
          <cell r="AC90">
            <v>0.13575418466522607</v>
          </cell>
          <cell r="AM90">
            <v>32914</v>
          </cell>
          <cell r="AN90">
            <v>4468.2038193974249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42369</v>
          </cell>
          <cell r="Z91">
            <v>42400</v>
          </cell>
          <cell r="AA91">
            <v>0</v>
          </cell>
          <cell r="AB91">
            <v>0</v>
          </cell>
          <cell r="AC91">
            <v>0</v>
          </cell>
          <cell r="AN91">
            <v>4468.2038193974249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42369</v>
          </cell>
          <cell r="Z92">
            <v>42400</v>
          </cell>
          <cell r="AA92">
            <v>40540.398526439778</v>
          </cell>
          <cell r="AB92">
            <v>5503.5287479601648</v>
          </cell>
          <cell r="AC92">
            <v>0.13575418466522607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42369</v>
          </cell>
          <cell r="Z93">
            <v>42400</v>
          </cell>
          <cell r="AA93">
            <v>7448.9919302926046</v>
          </cell>
          <cell r="AB93">
            <v>1000.4087574537989</v>
          </cell>
          <cell r="AC93">
            <v>0.13430122717484294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42369</v>
          </cell>
          <cell r="Z94">
            <v>42400</v>
          </cell>
          <cell r="AA94">
            <v>67040.92737263345</v>
          </cell>
          <cell r="AB94">
            <v>9003.6788170841919</v>
          </cell>
          <cell r="AC94">
            <v>0.13430122717484294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42369</v>
          </cell>
          <cell r="Z95">
            <v>42400</v>
          </cell>
          <cell r="AA95">
            <v>38879.92850561512</v>
          </cell>
          <cell r="AB95">
            <v>5278.1129941220624</v>
          </cell>
          <cell r="AC95">
            <v>0.13575418466522607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42369</v>
          </cell>
          <cell r="Z96">
            <v>42400</v>
          </cell>
          <cell r="AA96">
            <v>7000.1696633049869</v>
          </cell>
          <cell r="AB96">
            <v>940.13137621396686</v>
          </cell>
          <cell r="AC96">
            <v>0.13430122717484294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42369</v>
          </cell>
          <cell r="Z97">
            <v>42400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42369</v>
          </cell>
          <cell r="Z98">
            <v>42400</v>
          </cell>
          <cell r="AA98">
            <v>0</v>
          </cell>
          <cell r="AB98">
            <v>0</v>
          </cell>
          <cell r="AC98">
            <v>0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42369</v>
          </cell>
          <cell r="Z99">
            <v>42400</v>
          </cell>
          <cell r="AA99">
            <v>20847.786840566525</v>
          </cell>
          <cell r="AB99">
            <v>2771.8752504022113</v>
          </cell>
          <cell r="AC99">
            <v>0.13295777012687873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42369</v>
          </cell>
          <cell r="Z100">
            <v>42400</v>
          </cell>
          <cell r="AA100">
            <v>9551.6925767701869</v>
          </cell>
          <cell r="AB100">
            <v>1282.8040346570738</v>
          </cell>
          <cell r="AC100">
            <v>0.13430122717484294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42369</v>
          </cell>
          <cell r="Z101">
            <v>42400</v>
          </cell>
          <cell r="AA101">
            <v>26763.880064406141</v>
          </cell>
          <cell r="AB101">
            <v>3594.4219366100592</v>
          </cell>
          <cell r="AC101">
            <v>0.13430122717484294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42369</v>
          </cell>
          <cell r="Z102">
            <v>42400</v>
          </cell>
          <cell r="AA102">
            <v>62651.137977006889</v>
          </cell>
          <cell r="AB102">
            <v>8329.9556013342444</v>
          </cell>
          <cell r="AC102">
            <v>0.13295777012687873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42369</v>
          </cell>
          <cell r="Z103">
            <v>42400</v>
          </cell>
          <cell r="AA103">
            <v>8993.888578934926</v>
          </cell>
          <cell r="AB103">
            <v>1195.80737022479</v>
          </cell>
          <cell r="AC103">
            <v>0.13295777012687873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42369</v>
          </cell>
          <cell r="Z104">
            <v>42400</v>
          </cell>
          <cell r="AA104">
            <v>83398.371842854423</v>
          </cell>
          <cell r="AB104">
            <v>11088.461552438193</v>
          </cell>
          <cell r="AC104">
            <v>0.13295777012687873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42369</v>
          </cell>
          <cell r="Z106">
            <v>42400</v>
          </cell>
          <cell r="AA106">
            <v>93066.592399428671</v>
          </cell>
          <cell r="AB106">
            <v>12634.179370755364</v>
          </cell>
          <cell r="AC106">
            <v>0.13575418466522607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42369</v>
          </cell>
          <cell r="Z107">
            <v>42400</v>
          </cell>
          <cell r="AA107">
            <v>3839.861253671475</v>
          </cell>
          <cell r="AB107">
            <v>521.2772337197639</v>
          </cell>
          <cell r="AC107">
            <v>0.13575418466522607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42369</v>
          </cell>
          <cell r="Z108">
            <v>42400</v>
          </cell>
          <cell r="AA108">
            <v>18463.192212094797</v>
          </cell>
          <cell r="AB108">
            <v>2454.8248659440778</v>
          </cell>
          <cell r="AC108">
            <v>0.13295777012687873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42369</v>
          </cell>
          <cell r="Z109">
            <v>42400</v>
          </cell>
          <cell r="AA109">
            <v>76747.396179851989</v>
          </cell>
          <cell r="AB109">
            <v>10418.780193574892</v>
          </cell>
          <cell r="AC109">
            <v>0.13575418466522607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42369</v>
          </cell>
          <cell r="Z110">
            <v>42400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42369</v>
          </cell>
          <cell r="Z111">
            <v>42400</v>
          </cell>
          <cell r="AA111">
            <v>174468.40487860274</v>
          </cell>
          <cell r="AB111">
            <v>23196.930070252471</v>
          </cell>
          <cell r="AC111">
            <v>0.13295777012687873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42369</v>
          </cell>
          <cell r="Z112">
            <v>42400</v>
          </cell>
          <cell r="AA112">
            <v>30242.882714903273</v>
          </cell>
          <cell r="AB112">
            <v>4061.6562619163556</v>
          </cell>
          <cell r="AC112">
            <v>0.13430122717484294</v>
          </cell>
          <cell r="AE112" t="str">
            <v>1-44-38866-03717-00-9001-3-01</v>
          </cell>
          <cell r="AF112">
            <v>5236180951</v>
          </cell>
          <cell r="AG112">
            <v>42374</v>
          </cell>
          <cell r="AH112">
            <v>42403</v>
          </cell>
          <cell r="AI112">
            <v>37760</v>
          </cell>
          <cell r="AJ112">
            <v>5381.64</v>
          </cell>
          <cell r="AL112">
            <v>5381.64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42374</v>
          </cell>
          <cell r="Z113">
            <v>42403</v>
          </cell>
          <cell r="AA113">
            <v>50029.012800000004</v>
          </cell>
          <cell r="AB113">
            <v>8243.2508635000013</v>
          </cell>
          <cell r="AC113">
            <v>0.16476940883190885</v>
          </cell>
          <cell r="AE113" t="str">
            <v>1-44-38866-03717-00-9001-3-01</v>
          </cell>
          <cell r="AF113">
            <v>5236180952</v>
          </cell>
          <cell r="AG113">
            <v>42374</v>
          </cell>
          <cell r="AH113">
            <v>42403</v>
          </cell>
          <cell r="AI113">
            <v>18400</v>
          </cell>
          <cell r="AJ113">
            <v>3871.81</v>
          </cell>
          <cell r="AL113">
            <v>3871.81</v>
          </cell>
          <cell r="AM113">
            <v>56160</v>
          </cell>
          <cell r="AN113">
            <v>9253.4500000000007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42374</v>
          </cell>
          <cell r="Z114">
            <v>42403</v>
          </cell>
          <cell r="AA114">
            <v>6130.9872000000005</v>
          </cell>
          <cell r="AB114">
            <v>1010.1991365000001</v>
          </cell>
          <cell r="AC114">
            <v>0.16476940883190883</v>
          </cell>
          <cell r="AE114" t="str">
            <v>1-44-38866-03717-00-9001-3-02</v>
          </cell>
          <cell r="AG114">
            <v>42369</v>
          </cell>
          <cell r="AH114">
            <v>42400</v>
          </cell>
          <cell r="AL114">
            <v>0</v>
          </cell>
          <cell r="AM114">
            <v>56160.000000000007</v>
          </cell>
          <cell r="AN114">
            <v>9253.4500000000007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42369</v>
          </cell>
          <cell r="Z115">
            <v>42400</v>
          </cell>
          <cell r="AA115">
            <v>42149.444709191892</v>
          </cell>
          <cell r="AB115">
            <v>5660.7221491826622</v>
          </cell>
          <cell r="AC115">
            <v>0.13430122717484294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42369</v>
          </cell>
          <cell r="Z116">
            <v>42401</v>
          </cell>
          <cell r="AA116">
            <v>5600</v>
          </cell>
          <cell r="AB116">
            <v>902.94</v>
          </cell>
          <cell r="AC116">
            <v>0.16123928571428572</v>
          </cell>
          <cell r="AE116" t="str">
            <v>1-63-00433-00909-00-9001-3-01</v>
          </cell>
          <cell r="AF116">
            <v>5236180925</v>
          </cell>
          <cell r="AG116">
            <v>42369</v>
          </cell>
          <cell r="AH116">
            <v>42401</v>
          </cell>
          <cell r="AI116">
            <v>5600</v>
          </cell>
          <cell r="AJ116">
            <v>902.94</v>
          </cell>
          <cell r="AL116">
            <v>902.94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42369</v>
          </cell>
          <cell r="Z118">
            <v>42400</v>
          </cell>
          <cell r="AA118">
            <v>46542.16748252586</v>
          </cell>
          <cell r="AB118">
            <v>6250.6702082802931</v>
          </cell>
          <cell r="AC118">
            <v>0.13430122717484294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42369</v>
          </cell>
          <cell r="Z119">
            <v>42400</v>
          </cell>
          <cell r="AA119">
            <v>32251.105218367979</v>
          </cell>
          <cell r="AB119">
            <v>4331.3630085718005</v>
          </cell>
          <cell r="AC119">
            <v>0.13430122717484294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42374</v>
          </cell>
          <cell r="Z120">
            <v>42403</v>
          </cell>
          <cell r="AA120">
            <v>12880</v>
          </cell>
          <cell r="AB120">
            <v>2080.6000000000004</v>
          </cell>
          <cell r="AC120">
            <v>0.16153726708074537</v>
          </cell>
          <cell r="AE120" t="str">
            <v>1-44-43997-03440-00-9001-2-01</v>
          </cell>
          <cell r="AF120">
            <v>5236180234</v>
          </cell>
          <cell r="AG120">
            <v>42374</v>
          </cell>
          <cell r="AH120">
            <v>42403</v>
          </cell>
          <cell r="AI120">
            <v>7280</v>
          </cell>
          <cell r="AJ120">
            <v>1055.19</v>
          </cell>
          <cell r="AL120">
            <v>1055.19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42369</v>
          </cell>
          <cell r="Z121">
            <v>42400</v>
          </cell>
          <cell r="AA121">
            <v>72884.909607113994</v>
          </cell>
          <cell r="AB121">
            <v>9690.6150572609968</v>
          </cell>
          <cell r="AC121">
            <v>0.13295777012687873</v>
          </cell>
          <cell r="AE121" t="str">
            <v>1-44-43997-03440-00-9001-2-01</v>
          </cell>
          <cell r="AF121">
            <v>5236180235</v>
          </cell>
          <cell r="AG121">
            <v>42374</v>
          </cell>
          <cell r="AH121">
            <v>42403</v>
          </cell>
          <cell r="AI121">
            <v>5600</v>
          </cell>
          <cell r="AJ121">
            <v>1025.4100000000001</v>
          </cell>
          <cell r="AL121">
            <v>1025.4100000000001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42369</v>
          </cell>
          <cell r="Z123">
            <v>42400</v>
          </cell>
          <cell r="AA123">
            <v>51019.881991669681</v>
          </cell>
          <cell r="AB123">
            <v>6926.1624814951674</v>
          </cell>
          <cell r="AC123">
            <v>0.13575418466522607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42368</v>
          </cell>
          <cell r="Z124">
            <v>42401</v>
          </cell>
          <cell r="AA124">
            <v>1368</v>
          </cell>
          <cell r="AB124">
            <v>242.19</v>
          </cell>
          <cell r="AC124">
            <v>0.17703947368421052</v>
          </cell>
          <cell r="AE124" t="str">
            <v>1-63-43981-02712-00-0000-0-01</v>
          </cell>
          <cell r="AF124">
            <v>5236180909</v>
          </cell>
          <cell r="AG124">
            <v>42368</v>
          </cell>
          <cell r="AH124">
            <v>42401</v>
          </cell>
          <cell r="AI124">
            <v>1368</v>
          </cell>
          <cell r="AJ124">
            <v>242.19</v>
          </cell>
          <cell r="AL124">
            <v>242.19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42369</v>
          </cell>
          <cell r="Z125">
            <v>42401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42368</v>
          </cell>
          <cell r="AH125">
            <v>42401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42369</v>
          </cell>
          <cell r="Z126">
            <v>42400</v>
          </cell>
          <cell r="AA126">
            <v>24962.664825985499</v>
          </cell>
          <cell r="AB126">
            <v>3352.5165196841399</v>
          </cell>
          <cell r="AC126">
            <v>0.13430122717484294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42369</v>
          </cell>
          <cell r="Z127">
            <v>42400</v>
          </cell>
          <cell r="AA127">
            <v>46481.481936158336</v>
          </cell>
          <cell r="AB127">
            <v>6310.0556822746084</v>
          </cell>
          <cell r="AC127">
            <v>0.13575418466522607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42369</v>
          </cell>
          <cell r="Z128">
            <v>42400</v>
          </cell>
          <cell r="AA128">
            <v>24615.317712002801</v>
          </cell>
          <cell r="AB128">
            <v>3341.6323862684385</v>
          </cell>
          <cell r="AC128">
            <v>0.13575418466522607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42369</v>
          </cell>
          <cell r="Z129">
            <v>42400</v>
          </cell>
          <cell r="AA129">
            <v>80848.547694220586</v>
          </cell>
          <cell r="AB129">
            <v>10975.528673596558</v>
          </cell>
          <cell r="AC129">
            <v>0.13575418466522607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42369</v>
          </cell>
          <cell r="Z130">
            <v>42400</v>
          </cell>
          <cell r="AA130">
            <v>729.29257209474463</v>
          </cell>
          <cell r="AB130">
            <v>99.004518507127656</v>
          </cell>
          <cell r="AC130">
            <v>0.13575418466522607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42369</v>
          </cell>
          <cell r="Z131">
            <v>42400</v>
          </cell>
          <cell r="AA131">
            <v>1489.2610567981503</v>
          </cell>
          <cell r="AB131">
            <v>202.17342051930584</v>
          </cell>
          <cell r="AC131">
            <v>0.13575418466522607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42369</v>
          </cell>
          <cell r="Z132">
            <v>42400</v>
          </cell>
          <cell r="AA132">
            <v>22286.195669538003</v>
          </cell>
          <cell r="AB132">
            <v>2963.1228808330743</v>
          </cell>
          <cell r="AC132">
            <v>0.13295777012687873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42369</v>
          </cell>
          <cell r="Z133">
            <v>42400</v>
          </cell>
          <cell r="AA133">
            <v>12392.93297654752</v>
          </cell>
          <cell r="AB133">
            <v>1647.7367338936201</v>
          </cell>
          <cell r="AC133">
            <v>0.13295777012687873</v>
          </cell>
          <cell r="AE133" t="str">
            <v>1-63-34103-03131-00-9002-0-01</v>
          </cell>
          <cell r="AF133">
            <v>5236180880</v>
          </cell>
          <cell r="AG133">
            <v>42369</v>
          </cell>
          <cell r="AH133">
            <v>42401</v>
          </cell>
          <cell r="AI133">
            <v>23360</v>
          </cell>
          <cell r="AJ133">
            <v>5097.71</v>
          </cell>
          <cell r="AL133">
            <v>5097.71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42369</v>
          </cell>
          <cell r="Z134">
            <v>42400</v>
          </cell>
          <cell r="AA134">
            <v>1887.80100924055</v>
          </cell>
          <cell r="AB134">
            <v>250.99781263189473</v>
          </cell>
          <cell r="AC134">
            <v>0.13295777012687873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42369</v>
          </cell>
          <cell r="Z136">
            <v>42401</v>
          </cell>
          <cell r="AA136">
            <v>65520</v>
          </cell>
          <cell r="AB136">
            <v>11595.310000000001</v>
          </cell>
          <cell r="AC136">
            <v>0.17697359584859587</v>
          </cell>
          <cell r="AE136" t="str">
            <v>1-63-34103-03131-00-9001-0-01</v>
          </cell>
          <cell r="AF136">
            <v>5236180879</v>
          </cell>
          <cell r="AG136">
            <v>42369</v>
          </cell>
          <cell r="AH136">
            <v>42401</v>
          </cell>
          <cell r="AI136">
            <v>42160</v>
          </cell>
          <cell r="AJ136">
            <v>6497.6</v>
          </cell>
          <cell r="AL136">
            <v>6497.6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42374</v>
          </cell>
          <cell r="Z137">
            <v>42404</v>
          </cell>
          <cell r="AA137">
            <v>63391.68</v>
          </cell>
          <cell r="AB137">
            <v>8492.2973600000005</v>
          </cell>
          <cell r="AC137">
            <v>0.13396548821548823</v>
          </cell>
          <cell r="AE137" t="str">
            <v>1-44-38866-03447-00-9001-4-01</v>
          </cell>
          <cell r="AF137">
            <v>5236180950</v>
          </cell>
          <cell r="AG137">
            <v>42374</v>
          </cell>
          <cell r="AH137">
            <v>42403</v>
          </cell>
          <cell r="AI137">
            <v>42520</v>
          </cell>
          <cell r="AJ137">
            <v>5834.41</v>
          </cell>
          <cell r="AL137">
            <v>5834.41</v>
          </cell>
          <cell r="AM137">
            <v>190080</v>
          </cell>
          <cell r="AN137">
            <v>25464.16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42374</v>
          </cell>
          <cell r="Z138">
            <v>42404</v>
          </cell>
          <cell r="AA138">
            <v>126688.31999999999</v>
          </cell>
          <cell r="AB138">
            <v>16971.862639999999</v>
          </cell>
          <cell r="AC138">
            <v>0.13396548821548823</v>
          </cell>
          <cell r="AM138">
            <v>190080</v>
          </cell>
          <cell r="AN138">
            <v>25464.16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42374</v>
          </cell>
          <cell r="Z139">
            <v>42404</v>
          </cell>
          <cell r="AA139">
            <v>42520</v>
          </cell>
          <cell r="AB139">
            <v>5834.41</v>
          </cell>
          <cell r="AC139">
            <v>0.13721566321730949</v>
          </cell>
          <cell r="AE139" t="str">
            <v>1-44-38866-03447-00-9004-0-01</v>
          </cell>
          <cell r="AF139">
            <v>5236180944</v>
          </cell>
          <cell r="AG139">
            <v>42374</v>
          </cell>
          <cell r="AH139">
            <v>42404</v>
          </cell>
          <cell r="AI139">
            <v>56400</v>
          </cell>
          <cell r="AJ139">
            <v>7800.04</v>
          </cell>
          <cell r="AL139">
            <v>7800.04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42369</v>
          </cell>
          <cell r="Z140">
            <v>42400</v>
          </cell>
          <cell r="AA140">
            <v>19349.559637209099</v>
          </cell>
          <cell r="AB140">
            <v>2598.669604569991</v>
          </cell>
          <cell r="AC140">
            <v>0.13430122717484294</v>
          </cell>
          <cell r="AE140" t="str">
            <v>1-44-38866-03447-00-9004-0-01</v>
          </cell>
          <cell r="AF140">
            <v>5236180945</v>
          </cell>
          <cell r="AG140">
            <v>42374</v>
          </cell>
          <cell r="AH140">
            <v>42404</v>
          </cell>
          <cell r="AI140">
            <v>133680</v>
          </cell>
          <cell r="AJ140">
            <v>17664.12</v>
          </cell>
          <cell r="AL140">
            <v>17664.12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42369</v>
          </cell>
          <cell r="Z141">
            <v>42400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42369</v>
          </cell>
          <cell r="Z142">
            <v>42400</v>
          </cell>
          <cell r="AA142">
            <v>20987.975479955068</v>
          </cell>
          <cell r="AB142">
            <v>2818.7108628734791</v>
          </cell>
          <cell r="AC142">
            <v>0.13430122717484294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42369</v>
          </cell>
          <cell r="Z143">
            <v>42400</v>
          </cell>
          <cell r="AA143">
            <v>44980.588600000003</v>
          </cell>
          <cell r="AB143">
            <v>5980.5473006404827</v>
          </cell>
          <cell r="AC143">
            <v>0.13295840465370171</v>
          </cell>
          <cell r="AM143">
            <v>76798</v>
          </cell>
          <cell r="AN143">
            <v>10210.939560594985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42369</v>
          </cell>
          <cell r="Z144">
            <v>42400</v>
          </cell>
          <cell r="AA144">
            <v>31817.411400000001</v>
          </cell>
          <cell r="AB144">
            <v>4230.3922599545022</v>
          </cell>
          <cell r="AC144">
            <v>0.13295840465370171</v>
          </cell>
          <cell r="AN144">
            <v>10210.939560594985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42369</v>
          </cell>
          <cell r="Z145">
            <v>42400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42369</v>
          </cell>
          <cell r="Z146">
            <v>42401</v>
          </cell>
          <cell r="AA146">
            <v>31264</v>
          </cell>
          <cell r="AB146">
            <v>4776.6712783873627</v>
          </cell>
          <cell r="AC146">
            <v>0.15278503321351594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42369</v>
          </cell>
          <cell r="AH147">
            <v>42400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42369</v>
          </cell>
          <cell r="AH148">
            <v>42400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42369</v>
          </cell>
          <cell r="Z149">
            <v>42400</v>
          </cell>
          <cell r="AA149">
            <v>127267.35422517594</v>
          </cell>
          <cell r="AB149">
            <v>17277.075907339273</v>
          </cell>
          <cell r="AC149">
            <v>0.13575418466522607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42369</v>
          </cell>
          <cell r="Z151">
            <v>42400</v>
          </cell>
          <cell r="AA151">
            <v>118902.64014643451</v>
          </cell>
          <cell r="AB151">
            <v>16141.530967621993</v>
          </cell>
          <cell r="AC151">
            <v>0.13575418466522607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42369</v>
          </cell>
          <cell r="Z152">
            <v>42400</v>
          </cell>
          <cell r="AA152">
            <v>101159.75736922717</v>
          </cell>
          <cell r="AB152">
            <v>13449.975766388532</v>
          </cell>
          <cell r="AC152">
            <v>0.13295777012687873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42369</v>
          </cell>
          <cell r="Z153">
            <v>42400</v>
          </cell>
          <cell r="AA153">
            <v>5980.6584999999995</v>
          </cell>
          <cell r="AB153">
            <v>811.89514702224244</v>
          </cell>
          <cell r="AC153">
            <v>0.13575347046186345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42369</v>
          </cell>
          <cell r="Z154">
            <v>42400</v>
          </cell>
          <cell r="AA154">
            <v>60842.341499999995</v>
          </cell>
          <cell r="AB154">
            <v>8259.5590096508586</v>
          </cell>
          <cell r="AC154">
            <v>0.13575347046186345</v>
          </cell>
          <cell r="AM154">
            <v>66823</v>
          </cell>
          <cell r="AN154">
            <v>9071.4541566731004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42369</v>
          </cell>
          <cell r="Z155">
            <v>42400</v>
          </cell>
          <cell r="AA155">
            <v>2855.8963208078708</v>
          </cell>
          <cell r="AB155">
            <v>387.69987651969143</v>
          </cell>
          <cell r="AC155">
            <v>0.13575418466522607</v>
          </cell>
          <cell r="AN155">
            <v>9071.4541566731004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42369</v>
          </cell>
          <cell r="Z156">
            <v>42400</v>
          </cell>
          <cell r="AA156">
            <v>699.70666653309172</v>
          </cell>
          <cell r="AB156">
            <v>94.988108020023091</v>
          </cell>
          <cell r="AC156">
            <v>0.13575418466522607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42369</v>
          </cell>
          <cell r="Z157">
            <v>42400</v>
          </cell>
          <cell r="AA157">
            <v>81139.968864002862</v>
          </cell>
          <cell r="AB157">
            <v>11015.090316894539</v>
          </cell>
          <cell r="AC157">
            <v>0.13575418466522607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42369</v>
          </cell>
          <cell r="Z158">
            <v>42400</v>
          </cell>
          <cell r="AA158">
            <v>161863.33320799266</v>
          </cell>
          <cell r="AB158">
            <v>21738.444284443922</v>
          </cell>
          <cell r="AC158">
            <v>0.13430122717484294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42374</v>
          </cell>
          <cell r="Z159">
            <v>42403</v>
          </cell>
          <cell r="AA159">
            <v>11920</v>
          </cell>
          <cell r="AB159">
            <v>1818.4</v>
          </cell>
          <cell r="AC159">
            <v>0.15255033557046982</v>
          </cell>
          <cell r="AE159" t="str">
            <v>1-44-43997-03500-00-9001-1-01</v>
          </cell>
          <cell r="AF159">
            <v>5236180240</v>
          </cell>
          <cell r="AG159">
            <v>42374</v>
          </cell>
          <cell r="AH159">
            <v>42403</v>
          </cell>
          <cell r="AI159">
            <v>11680</v>
          </cell>
          <cell r="AJ159">
            <v>1746.52</v>
          </cell>
          <cell r="AL159">
            <v>1746.52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42369</v>
          </cell>
          <cell r="Z160">
            <v>42400</v>
          </cell>
          <cell r="AA160">
            <v>15100.490483375224</v>
          </cell>
          <cell r="AB160">
            <v>2049.9547736156092</v>
          </cell>
          <cell r="AC160">
            <v>0.13575418466522607</v>
          </cell>
          <cell r="AE160" t="str">
            <v>1-44-43997-03500-00-9001-1-01</v>
          </cell>
          <cell r="AF160">
            <v>5236180241</v>
          </cell>
          <cell r="AG160">
            <v>42374</v>
          </cell>
          <cell r="AH160">
            <v>42403</v>
          </cell>
          <cell r="AI160">
            <v>240</v>
          </cell>
          <cell r="AJ160">
            <v>71.88</v>
          </cell>
          <cell r="AL160">
            <v>71.88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42369</v>
          </cell>
          <cell r="Z161">
            <v>42401</v>
          </cell>
          <cell r="AA161">
            <v>30942.479999999996</v>
          </cell>
          <cell r="AB161">
            <v>4529.8022899999996</v>
          </cell>
          <cell r="AC161">
            <v>0.14639428675400293</v>
          </cell>
          <cell r="AE161" t="str">
            <v>1-63-00433-00746-00-0000-4-01</v>
          </cell>
          <cell r="AF161">
            <v>5236180919</v>
          </cell>
          <cell r="AG161">
            <v>42369</v>
          </cell>
          <cell r="AH161">
            <v>42401</v>
          </cell>
          <cell r="AI161">
            <v>54960</v>
          </cell>
          <cell r="AJ161">
            <v>8045.83</v>
          </cell>
          <cell r="AL161">
            <v>8045.83</v>
          </cell>
          <cell r="AM161">
            <v>54960</v>
          </cell>
          <cell r="AN161">
            <v>8045.83</v>
          </cell>
          <cell r="AO161" t="str">
            <v>#42</v>
          </cell>
          <cell r="AP161">
            <v>0.312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42369</v>
          </cell>
          <cell r="Z162">
            <v>42400</v>
          </cell>
          <cell r="AA162">
            <v>37125.095017578024</v>
          </cell>
          <cell r="AB162">
            <v>5039.8870047303517</v>
          </cell>
          <cell r="AC162">
            <v>0.13575418466522607</v>
          </cell>
          <cell r="AL162" t="str">
            <v>METER #APMYV00125-000015</v>
          </cell>
          <cell r="AM162">
            <v>54960</v>
          </cell>
          <cell r="AN162">
            <v>8045.83</v>
          </cell>
          <cell r="AO162" t="str">
            <v>#52</v>
          </cell>
          <cell r="AP162">
            <v>0.125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42369</v>
          </cell>
          <cell r="Z163">
            <v>42400</v>
          </cell>
          <cell r="AC163">
            <v>0</v>
          </cell>
          <cell r="AO163" t="str">
            <v>#261</v>
          </cell>
          <cell r="AP163">
            <v>0.56299999999999994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42369</v>
          </cell>
          <cell r="Z164">
            <v>42400</v>
          </cell>
          <cell r="AA164">
            <v>94168.824161092081</v>
          </cell>
          <cell r="AB164">
            <v>12646.988646446665</v>
          </cell>
          <cell r="AC164">
            <v>0.13430122717484294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42369</v>
          </cell>
          <cell r="Z165">
            <v>42400</v>
          </cell>
          <cell r="AA165">
            <v>5894.7004614622101</v>
          </cell>
          <cell r="AB165">
            <v>791.66550580248781</v>
          </cell>
          <cell r="AC165">
            <v>0.13430122717484294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42369</v>
          </cell>
          <cell r="Z166">
            <v>42401</v>
          </cell>
          <cell r="AA166">
            <v>4120</v>
          </cell>
          <cell r="AB166">
            <v>716.64</v>
          </cell>
          <cell r="AC166">
            <v>0.17394174757281552</v>
          </cell>
          <cell r="AE166" t="str">
            <v>1-63-96497-01102-00-0000-1-01</v>
          </cell>
          <cell r="AF166">
            <v>5236180896</v>
          </cell>
          <cell r="AG166">
            <v>42369</v>
          </cell>
          <cell r="AH166">
            <v>42401</v>
          </cell>
          <cell r="AI166">
            <v>4120</v>
          </cell>
          <cell r="AJ166">
            <v>716.64</v>
          </cell>
          <cell r="AL166">
            <v>716.64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42339</v>
          </cell>
          <cell r="Z167">
            <v>42401</v>
          </cell>
          <cell r="AA167">
            <v>3760</v>
          </cell>
          <cell r="AB167">
            <v>673.90999999999985</v>
          </cell>
          <cell r="AC167">
            <v>0.17923138297872337</v>
          </cell>
          <cell r="AE167" t="str">
            <v>1-63-43981-02653-00-0000-0-01</v>
          </cell>
          <cell r="AF167">
            <v>5236180908</v>
          </cell>
          <cell r="AG167">
            <v>42339</v>
          </cell>
          <cell r="AH167">
            <v>42401</v>
          </cell>
          <cell r="AI167">
            <v>3760</v>
          </cell>
          <cell r="AJ167">
            <v>673.90999999999985</v>
          </cell>
          <cell r="AL167">
            <v>673.90999999999985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42368</v>
          </cell>
          <cell r="Z168">
            <v>42401</v>
          </cell>
          <cell r="AA168">
            <v>99600</v>
          </cell>
          <cell r="AB168">
            <v>15678.5</v>
          </cell>
          <cell r="AC168">
            <v>0.15741465863453816</v>
          </cell>
          <cell r="AE168" t="str">
            <v>1-63-34103-03500-00-9001-6-01</v>
          </cell>
          <cell r="AF168">
            <v>5236180888</v>
          </cell>
          <cell r="AG168">
            <v>42368</v>
          </cell>
          <cell r="AH168">
            <v>42401</v>
          </cell>
          <cell r="AI168">
            <v>47520</v>
          </cell>
          <cell r="AJ168">
            <v>7634.51</v>
          </cell>
          <cell r="AL168">
            <v>7634.51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42369</v>
          </cell>
          <cell r="Z169">
            <v>42400</v>
          </cell>
          <cell r="AA169">
            <v>22039.972913762442</v>
          </cell>
          <cell r="AB169">
            <v>2959.9954092185949</v>
          </cell>
          <cell r="AC169">
            <v>0.13430122717484294</v>
          </cell>
          <cell r="AE169" t="str">
            <v>1-63-34103-03500-00-0000-4-01</v>
          </cell>
          <cell r="AF169">
            <v>5236180887</v>
          </cell>
          <cell r="AG169">
            <v>42339</v>
          </cell>
          <cell r="AH169">
            <v>42401</v>
          </cell>
          <cell r="AI169">
            <v>52080</v>
          </cell>
          <cell r="AJ169">
            <v>8043.99</v>
          </cell>
          <cell r="AL169">
            <v>8043.99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42369</v>
          </cell>
          <cell r="Z170">
            <v>42400</v>
          </cell>
          <cell r="AA170">
            <v>173207.58557756239</v>
          </cell>
          <cell r="AB170">
            <v>23029.294347453219</v>
          </cell>
          <cell r="AC170">
            <v>0.13295777012687873</v>
          </cell>
          <cell r="AE170" t="str">
            <v>1-63-34103-03500-00-0000-4-02</v>
          </cell>
          <cell r="AG170">
            <v>42339</v>
          </cell>
          <cell r="AH170">
            <v>42401</v>
          </cell>
          <cell r="AL170">
            <v>0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42369</v>
          </cell>
          <cell r="Z171">
            <v>42400</v>
          </cell>
          <cell r="AA171">
            <v>39215.660140409367</v>
          </cell>
          <cell r="AB171">
            <v>5214.0267263223495</v>
          </cell>
          <cell r="AC171">
            <v>0.13295777012687873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42374</v>
          </cell>
          <cell r="Z172">
            <v>42403</v>
          </cell>
          <cell r="AA172">
            <v>1428640.3900000001</v>
          </cell>
          <cell r="AB172">
            <v>182374.48463282493</v>
          </cell>
          <cell r="AC172">
            <v>0.12765597690600425</v>
          </cell>
          <cell r="AE172" t="str">
            <v>1-44-38866-03430-00-0000-1-01</v>
          </cell>
          <cell r="AF172">
            <v>5236180933</v>
          </cell>
          <cell r="AG172">
            <v>42374</v>
          </cell>
          <cell r="AH172">
            <v>42403</v>
          </cell>
          <cell r="AI172">
            <v>168000</v>
          </cell>
          <cell r="AJ172">
            <v>24095.97</v>
          </cell>
          <cell r="AL172">
            <v>24095.97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42374</v>
          </cell>
          <cell r="Z173">
            <v>42403</v>
          </cell>
          <cell r="AA173">
            <v>14864</v>
          </cell>
          <cell r="AB173">
            <v>1897.4784407308471</v>
          </cell>
          <cell r="AC173">
            <v>0.12765597690600425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42369</v>
          </cell>
          <cell r="Z174">
            <v>42400</v>
          </cell>
          <cell r="AA174">
            <v>18132</v>
          </cell>
          <cell r="AB174">
            <v>1307.0101282616565</v>
          </cell>
          <cell r="AC174">
            <v>7.2083064651536313E-2</v>
          </cell>
          <cell r="AE174" t="str">
            <v>1-44-38866-03434-00-9003-0-01</v>
          </cell>
          <cell r="AF174">
            <v>5236180939</v>
          </cell>
          <cell r="AG174">
            <v>42374</v>
          </cell>
          <cell r="AH174">
            <v>42403</v>
          </cell>
          <cell r="AI174">
            <v>935776.39</v>
          </cell>
          <cell r="AJ174">
            <v>114742.35</v>
          </cell>
          <cell r="AL174">
            <v>114742.35</v>
          </cell>
          <cell r="AM174">
            <v>0.12765597690600425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42369</v>
          </cell>
          <cell r="Z175">
            <v>42401</v>
          </cell>
          <cell r="AA175">
            <v>454770.06</v>
          </cell>
          <cell r="AB175">
            <v>69482.05872161263</v>
          </cell>
          <cell r="AC175">
            <v>0.15278503321351591</v>
          </cell>
          <cell r="AE175" t="str">
            <v>1-63-34103-03400-00-9002-0-01</v>
          </cell>
          <cell r="AF175">
            <v>5236180883</v>
          </cell>
          <cell r="AG175">
            <v>42369</v>
          </cell>
          <cell r="AH175">
            <v>42401</v>
          </cell>
          <cell r="AI175">
            <v>486034.06</v>
          </cell>
          <cell r="AJ175">
            <v>74258.73</v>
          </cell>
          <cell r="AL175">
            <v>74258.73</v>
          </cell>
          <cell r="AM175">
            <v>486034.06</v>
          </cell>
          <cell r="AN175">
            <v>0.15278503321351594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42369</v>
          </cell>
          <cell r="Z176">
            <v>42400</v>
          </cell>
          <cell r="AA176">
            <v>310391.34099782829</v>
          </cell>
          <cell r="AB176">
            <v>42136.92342430634</v>
          </cell>
          <cell r="AC176">
            <v>0.13575418466522607</v>
          </cell>
          <cell r="AE176" t="str">
            <v>1-44-38866-03434-00-9003-3-01</v>
          </cell>
          <cell r="AF176">
            <v>5236180938</v>
          </cell>
          <cell r="AG176">
            <v>42374</v>
          </cell>
          <cell r="AH176">
            <v>42403</v>
          </cell>
          <cell r="AI176">
            <v>387600</v>
          </cell>
          <cell r="AJ176">
            <v>51544.79</v>
          </cell>
          <cell r="AL176">
            <v>51544.79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42369</v>
          </cell>
          <cell r="Z177">
            <v>42400</v>
          </cell>
          <cell r="AA177">
            <v>447320.90235160751</v>
          </cell>
          <cell r="AB177">
            <v>60075.746126778977</v>
          </cell>
          <cell r="AC177">
            <v>0.13430122717484294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42369</v>
          </cell>
          <cell r="Z178">
            <v>42400</v>
          </cell>
          <cell r="AA178">
            <v>12321.802628611964</v>
          </cell>
          <cell r="AB178">
            <v>1654.8332140287923</v>
          </cell>
          <cell r="AC178">
            <v>0.13430122717484294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42369</v>
          </cell>
          <cell r="Z179">
            <v>42400</v>
          </cell>
          <cell r="AA179">
            <v>13472.705804059346</v>
          </cell>
          <cell r="AB179">
            <v>1809.4009228507991</v>
          </cell>
          <cell r="AC179">
            <v>0.13430122717484294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42369</v>
          </cell>
          <cell r="Z180">
            <v>42400</v>
          </cell>
          <cell r="AA180">
            <v>111117.33112125662</v>
          </cell>
          <cell r="AB180">
            <v>14923.19392997813</v>
          </cell>
          <cell r="AC180">
            <v>0.13430122717484294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42369</v>
          </cell>
          <cell r="Z181">
            <v>42400</v>
          </cell>
          <cell r="AA181">
            <v>3860.8214017473488</v>
          </cell>
          <cell r="AB181">
            <v>513.32620443445774</v>
          </cell>
          <cell r="AC181">
            <v>0.13295777012687873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42369</v>
          </cell>
          <cell r="Z182">
            <v>42400</v>
          </cell>
          <cell r="AA182">
            <v>311477.58303003287</v>
          </cell>
          <cell r="AB182">
            <v>41413.364884182891</v>
          </cell>
          <cell r="AC182">
            <v>0.13295777012687873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42369</v>
          </cell>
          <cell r="Z183">
            <v>42400</v>
          </cell>
          <cell r="AA183">
            <v>235797.56516992601</v>
          </cell>
          <cell r="AB183">
            <v>32010.506205688813</v>
          </cell>
          <cell r="AC183">
            <v>0.13575418466522607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42369</v>
          </cell>
          <cell r="Z184">
            <v>42400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42369</v>
          </cell>
          <cell r="Z185">
            <v>42400</v>
          </cell>
          <cell r="AA185">
            <v>31486.15240940289</v>
          </cell>
          <cell r="AB185">
            <v>4228.6289075969462</v>
          </cell>
          <cell r="AC185">
            <v>0.13430122717484294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42369</v>
          </cell>
          <cell r="Z186">
            <v>42400</v>
          </cell>
          <cell r="AA186">
            <v>5961.8637267907561</v>
          </cell>
          <cell r="AB186">
            <v>800.68561475718116</v>
          </cell>
          <cell r="AC186">
            <v>0.13430122717484294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42369</v>
          </cell>
          <cell r="Z187">
            <v>42400</v>
          </cell>
          <cell r="AA187">
            <v>8003.735979821693</v>
          </cell>
          <cell r="AB187">
            <v>1074.9115640734974</v>
          </cell>
          <cell r="AC187">
            <v>0.13430122717484294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42369</v>
          </cell>
          <cell r="Z188">
            <v>42400</v>
          </cell>
          <cell r="AA188">
            <v>4746.9987804067569</v>
          </cell>
          <cell r="AB188">
            <v>637.52776160611029</v>
          </cell>
          <cell r="AC188">
            <v>0.13430122717484294</v>
          </cell>
        </row>
        <row r="189">
          <cell r="R189">
            <v>3160</v>
          </cell>
          <cell r="S189" t="str">
            <v>Campus Develpmt &amp; Facilities</v>
          </cell>
          <cell r="Y189">
            <v>42374</v>
          </cell>
          <cell r="Z189">
            <v>42403</v>
          </cell>
          <cell r="AA189">
            <v>47872</v>
          </cell>
          <cell r="AB189">
            <v>6111.1469264442358</v>
          </cell>
          <cell r="AC189">
            <v>0.12765597690600425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42369</v>
          </cell>
          <cell r="Z190">
            <v>42400</v>
          </cell>
          <cell r="AA190">
            <v>149107.28532941162</v>
          </cell>
          <cell r="AB190">
            <v>20025.291400449438</v>
          </cell>
          <cell r="AC190">
            <v>0.13430122717484294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42369</v>
          </cell>
          <cell r="Z191">
            <v>42400</v>
          </cell>
          <cell r="AA191">
            <v>100514.78817874585</v>
          </cell>
          <cell r="AB191">
            <v>13364.222101021598</v>
          </cell>
          <cell r="AC191">
            <v>0.13295777012687873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42369</v>
          </cell>
          <cell r="Z192">
            <v>42400</v>
          </cell>
          <cell r="AA192">
            <v>103998.0936101589</v>
          </cell>
          <cell r="AB192">
            <v>13827.354623853123</v>
          </cell>
          <cell r="AC192">
            <v>0.13295777012687873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42369</v>
          </cell>
          <cell r="Z193">
            <v>42400</v>
          </cell>
          <cell r="AA193">
            <v>69087.976510213033</v>
          </cell>
          <cell r="AB193">
            <v>9278.6000283483336</v>
          </cell>
          <cell r="AC193">
            <v>0.13430122717484294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42369</v>
          </cell>
          <cell r="Z194">
            <v>42400</v>
          </cell>
          <cell r="AA194">
            <v>80387.237821320552</v>
          </cell>
          <cell r="AB194">
            <v>10688.10788738187</v>
          </cell>
          <cell r="AC194">
            <v>0.13295777012687873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42369</v>
          </cell>
          <cell r="Z195">
            <v>42400</v>
          </cell>
          <cell r="AA195">
            <v>2388.6491839039481</v>
          </cell>
          <cell r="AB195">
            <v>317.58946910725763</v>
          </cell>
          <cell r="AC195">
            <v>0.13295777012687873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42369</v>
          </cell>
          <cell r="Z196">
            <v>42400</v>
          </cell>
          <cell r="AA196">
            <v>13174.208948741029</v>
          </cell>
          <cell r="AB196">
            <v>1751.6134450101783</v>
          </cell>
          <cell r="AC196">
            <v>0.13295777012687873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42369</v>
          </cell>
          <cell r="Z197">
            <v>42400</v>
          </cell>
          <cell r="AA197">
            <v>90985.379658458813</v>
          </cell>
          <cell r="AB197">
            <v>12351.646031990122</v>
          </cell>
          <cell r="AC197">
            <v>0.13575418466522607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42369</v>
          </cell>
          <cell r="Z198">
            <v>42400</v>
          </cell>
          <cell r="AA198">
            <v>126759.95594479336</v>
          </cell>
          <cell r="AB198">
            <v>17208.194467485402</v>
          </cell>
          <cell r="AC198">
            <v>0.1357541846652261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42369</v>
          </cell>
          <cell r="Z199">
            <v>42400</v>
          </cell>
          <cell r="AA199">
            <v>46756.085854358207</v>
          </cell>
          <cell r="AB199">
            <v>6347.3343132957079</v>
          </cell>
          <cell r="AC199">
            <v>0.13575418466522607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42369</v>
          </cell>
          <cell r="Z200">
            <v>42400</v>
          </cell>
          <cell r="AA200">
            <v>51965.852393180423</v>
          </cell>
          <cell r="AB200">
            <v>7054.5819220696949</v>
          </cell>
          <cell r="AC200">
            <v>0.13575418466522607</v>
          </cell>
        </row>
        <row r="201">
          <cell r="R201" t="str">
            <v>5010</v>
          </cell>
          <cell r="S201" t="str">
            <v>Brian Kennedy Field</v>
          </cell>
          <cell r="Y201">
            <v>42369</v>
          </cell>
          <cell r="Z201">
            <v>42400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42369</v>
          </cell>
          <cell r="Z202">
            <v>42400</v>
          </cell>
          <cell r="AA202">
            <v>765.50006560269742</v>
          </cell>
          <cell r="AB202">
            <v>101.77918175451403</v>
          </cell>
          <cell r="AC202">
            <v>0.13295777012687873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42369</v>
          </cell>
          <cell r="Z203">
            <v>42400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42369</v>
          </cell>
          <cell r="Z205">
            <v>42400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42369</v>
          </cell>
          <cell r="AH205">
            <v>42400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42369</v>
          </cell>
          <cell r="Z206">
            <v>42400</v>
          </cell>
          <cell r="AC206">
            <v>0</v>
          </cell>
          <cell r="AE206" t="str">
            <v>1-63-43981-03000-00-0000-3-01</v>
          </cell>
          <cell r="AG206">
            <v>42369</v>
          </cell>
          <cell r="AH206">
            <v>42400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42381</v>
          </cell>
          <cell r="AH209">
            <v>42412</v>
          </cell>
          <cell r="AI209">
            <v>0</v>
          </cell>
          <cell r="AJ209">
            <v>110</v>
          </cell>
          <cell r="AL209">
            <v>110</v>
          </cell>
        </row>
        <row r="212">
          <cell r="AA212">
            <v>11701715.95215397</v>
          </cell>
          <cell r="AB212">
            <v>1581370.8700000006</v>
          </cell>
          <cell r="AC212">
            <v>0.13514008342587677</v>
          </cell>
        </row>
        <row r="216">
          <cell r="Z216" t="str">
            <v>ALLOCATED DWP PAYMENT:</v>
          </cell>
          <cell r="AA216">
            <v>11701715.95215397</v>
          </cell>
          <cell r="AB216">
            <v>1581370.8700000006</v>
          </cell>
          <cell r="AD216" t="str">
            <v>DOES NOT INCLUDE $110 ENERGY INFORMATION SYSTEM CHARGES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3949036.5574229909</v>
          </cell>
          <cell r="AB218">
            <v>535582.55799272796</v>
          </cell>
          <cell r="AC218">
            <v>0.13562360089728601</v>
          </cell>
          <cell r="AO218">
            <v>24416.457992727985</v>
          </cell>
        </row>
        <row r="219">
          <cell r="S219">
            <v>1656479</v>
          </cell>
          <cell r="Z219" t="str">
            <v>Jefferson 1</v>
          </cell>
          <cell r="AA219">
            <v>2963332.496256527</v>
          </cell>
          <cell r="AB219">
            <v>394002.56174924312</v>
          </cell>
          <cell r="AC219">
            <v>0.13295928224287101</v>
          </cell>
          <cell r="AO219">
            <v>-24406.258250756888</v>
          </cell>
        </row>
        <row r="220">
          <cell r="S220">
            <v>1134280</v>
          </cell>
          <cell r="Z220" t="str">
            <v>Jefferson 2</v>
          </cell>
          <cell r="AA220">
            <v>2229128.4484744538</v>
          </cell>
          <cell r="AB220">
            <v>298244.01025802916</v>
          </cell>
          <cell r="AC220">
            <v>0.13379399938219716</v>
          </cell>
          <cell r="AO220">
            <v>-10.199741970864125</v>
          </cell>
        </row>
        <row r="221">
          <cell r="S221">
            <v>8943554</v>
          </cell>
          <cell r="W221">
            <v>0</v>
          </cell>
          <cell r="AA221">
            <v>9141497.5021539722</v>
          </cell>
          <cell r="AB221">
            <v>1227829.1300000004</v>
          </cell>
          <cell r="AC221">
            <v>0.13431378499099214</v>
          </cell>
          <cell r="AD221">
            <v>1227829.1300000004</v>
          </cell>
          <cell r="AO221">
            <v>2.3283064365386963E-10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 refreshError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42401</v>
          </cell>
          <cell r="Z9">
            <v>42430</v>
          </cell>
          <cell r="AA9">
            <v>40155.447808547309</v>
          </cell>
          <cell r="AB9">
            <v>5398.6809795113504</v>
          </cell>
          <cell r="AC9">
            <v>0.13444454673376127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42401</v>
          </cell>
          <cell r="Z10">
            <v>42430</v>
          </cell>
          <cell r="AA10">
            <v>31885.607142761815</v>
          </cell>
          <cell r="AB10">
            <v>4286.8459996393931</v>
          </cell>
          <cell r="AC10">
            <v>0.13444454673376127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42401</v>
          </cell>
          <cell r="Z11">
            <v>42339</v>
          </cell>
          <cell r="AA11">
            <v>4408.5245542068533</v>
          </cell>
          <cell r="AB11">
            <v>592.70208545499736</v>
          </cell>
          <cell r="AC11">
            <v>0.13444454673376127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42401</v>
          </cell>
          <cell r="Z12">
            <v>42430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42401</v>
          </cell>
          <cell r="Z13">
            <v>42430</v>
          </cell>
          <cell r="AA13">
            <v>78241.588427884388</v>
          </cell>
          <cell r="AB13">
            <v>10552.564922509508</v>
          </cell>
          <cell r="AC13">
            <v>0.13487155788300301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42401</v>
          </cell>
          <cell r="Z14">
            <v>42430</v>
          </cell>
          <cell r="AA14">
            <v>33055.147167581759</v>
          </cell>
          <cell r="AB14">
            <v>4458.1991945436857</v>
          </cell>
          <cell r="AC14">
            <v>0.13487155788300301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42401</v>
          </cell>
          <cell r="Z15">
            <v>42430</v>
          </cell>
          <cell r="AA15">
            <v>104353.91277441841</v>
          </cell>
          <cell r="AB15">
            <v>14074.374787072818</v>
          </cell>
          <cell r="AC15">
            <v>0.13487155788300301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42401</v>
          </cell>
          <cell r="Z16">
            <v>42430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42401</v>
          </cell>
          <cell r="Z17">
            <v>42430</v>
          </cell>
          <cell r="AA17">
            <v>175040.5564508916</v>
          </cell>
          <cell r="AB17">
            <v>23533.248272065473</v>
          </cell>
          <cell r="AC17">
            <v>0.13444454673376127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42401</v>
          </cell>
          <cell r="Z18">
            <v>42430</v>
          </cell>
          <cell r="AA18">
            <v>85830.192079210057</v>
          </cell>
          <cell r="AB18">
            <v>11539.401270161063</v>
          </cell>
          <cell r="AC18">
            <v>0.13444454673376127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42401</v>
          </cell>
          <cell r="Z19">
            <v>42430</v>
          </cell>
          <cell r="AA19">
            <v>48300.893622239462</v>
          </cell>
          <cell r="AB19">
            <v>6493.7917498776051</v>
          </cell>
          <cell r="AC19">
            <v>0.13444454673376127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42401</v>
          </cell>
          <cell r="Z20">
            <v>42430</v>
          </cell>
          <cell r="AA20">
            <v>24864.713946729746</v>
          </cell>
          <cell r="AB20">
            <v>3319.1545788032827</v>
          </cell>
          <cell r="AC20">
            <v>0.1334885487085937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42401</v>
          </cell>
          <cell r="Z21">
            <v>42430</v>
          </cell>
          <cell r="AA21">
            <v>1682.1630519842881</v>
          </cell>
          <cell r="AB21">
            <v>226.87595143434791</v>
          </cell>
          <cell r="AC21">
            <v>0.13487155788300301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42401</v>
          </cell>
          <cell r="Z22">
            <v>42430</v>
          </cell>
          <cell r="AA22">
            <v>11938.129990225299</v>
          </cell>
          <cell r="AB22">
            <v>1610.1141899914855</v>
          </cell>
          <cell r="AC22">
            <v>0.13487155788300301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42401</v>
          </cell>
          <cell r="Z23">
            <v>42430</v>
          </cell>
          <cell r="AA23">
            <v>84304.258981698411</v>
          </cell>
          <cell r="AB23">
            <v>11370.246745033814</v>
          </cell>
          <cell r="AC23">
            <v>0.13487155788300301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42401</v>
          </cell>
          <cell r="Z24">
            <v>42430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42401</v>
          </cell>
          <cell r="Z25">
            <v>42430</v>
          </cell>
          <cell r="AA25">
            <v>156033.68369726473</v>
          </cell>
          <cell r="AB25">
            <v>20977.877879877833</v>
          </cell>
          <cell r="AC25">
            <v>0.13444454673376127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42401</v>
          </cell>
          <cell r="Z26">
            <v>42430</v>
          </cell>
          <cell r="AA26">
            <v>132075.02571089126</v>
          </cell>
          <cell r="AB26">
            <v>17756.76696655064</v>
          </cell>
          <cell r="AC26">
            <v>0.13444454673376124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42401</v>
          </cell>
          <cell r="Z27">
            <v>42430</v>
          </cell>
          <cell r="AA27">
            <v>3735.8816721486442</v>
          </cell>
          <cell r="AB27">
            <v>498.69742256215676</v>
          </cell>
          <cell r="AC27">
            <v>0.1334885487085937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42401</v>
          </cell>
          <cell r="Z28">
            <v>42430</v>
          </cell>
          <cell r="AA28">
            <v>39234.732543182887</v>
          </cell>
          <cell r="AB28">
            <v>5274.8958329885763</v>
          </cell>
          <cell r="AC28">
            <v>0.13444454673376127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42401</v>
          </cell>
          <cell r="Z29">
            <v>42430</v>
          </cell>
          <cell r="AA29">
            <v>261150.47804346861</v>
          </cell>
          <cell r="AB29">
            <v>34860.59830857809</v>
          </cell>
          <cell r="AC29">
            <v>0.1334885487085937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42401</v>
          </cell>
          <cell r="Z30">
            <v>42430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42401</v>
          </cell>
          <cell r="Z31">
            <v>42430</v>
          </cell>
          <cell r="AA31">
            <v>47843.238901364661</v>
          </cell>
          <cell r="AB31">
            <v>6386.5245264617015</v>
          </cell>
          <cell r="AC31">
            <v>0.1334885487085937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42401</v>
          </cell>
          <cell r="Z32">
            <v>42430</v>
          </cell>
          <cell r="AA32">
            <v>88754.196202929961</v>
          </cell>
          <cell r="AB32">
            <v>11932.517679222234</v>
          </cell>
          <cell r="AC32">
            <v>0.13444454673376127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42401</v>
          </cell>
          <cell r="Z33">
            <v>42430</v>
          </cell>
          <cell r="AA33">
            <v>142746.47657489585</v>
          </cell>
          <cell r="AB33">
            <v>19191.485340953343</v>
          </cell>
          <cell r="AC33">
            <v>0.13444454673376127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42401</v>
          </cell>
          <cell r="Z34">
            <v>42430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42401</v>
          </cell>
          <cell r="Z35">
            <v>42430</v>
          </cell>
          <cell r="AA35">
            <v>104279.42274938026</v>
          </cell>
          <cell r="AB35">
            <v>13920.10880298468</v>
          </cell>
          <cell r="AC35">
            <v>0.1334885487085937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42401</v>
          </cell>
          <cell r="Z36">
            <v>42430</v>
          </cell>
          <cell r="AA36">
            <v>106034.7073240825</v>
          </cell>
          <cell r="AB36">
            <v>14301.066166467275</v>
          </cell>
          <cell r="AC36">
            <v>0.13487155788300301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42401</v>
          </cell>
          <cell r="Z37">
            <v>42430</v>
          </cell>
          <cell r="AA37">
            <v>154830.83696872659</v>
          </cell>
          <cell r="AB37">
            <v>20668.143722292189</v>
          </cell>
          <cell r="AC37">
            <v>0.1334885487085937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42401</v>
          </cell>
          <cell r="Z38">
            <v>42430</v>
          </cell>
          <cell r="AA38">
            <v>52067.053920820734</v>
          </cell>
          <cell r="AB38">
            <v>6950.3554634224529</v>
          </cell>
          <cell r="AC38">
            <v>0.1334885487085937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42401</v>
          </cell>
          <cell r="Z39">
            <v>42430</v>
          </cell>
          <cell r="AA39">
            <v>19132.409523668539</v>
          </cell>
          <cell r="AB39">
            <v>2553.9575806129897</v>
          </cell>
          <cell r="AC39">
            <v>0.1334885487085937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42401</v>
          </cell>
          <cell r="Z40">
            <v>42430</v>
          </cell>
          <cell r="AA40">
            <v>49602.584588549624</v>
          </cell>
          <cell r="AB40">
            <v>6621.377028920745</v>
          </cell>
          <cell r="AC40">
            <v>0.1334885487085937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42401</v>
          </cell>
          <cell r="Z41">
            <v>42430</v>
          </cell>
          <cell r="AA41">
            <v>31320.091500921906</v>
          </cell>
          <cell r="AB41">
            <v>4224.1895337675396</v>
          </cell>
          <cell r="AC41">
            <v>0.13487155788300301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42401</v>
          </cell>
          <cell r="Z42">
            <v>42430</v>
          </cell>
          <cell r="AA42">
            <v>15960.000000000002</v>
          </cell>
          <cell r="AB42">
            <v>2385.5328000000004</v>
          </cell>
          <cell r="AC42">
            <v>0.14946947368421054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42401</v>
          </cell>
          <cell r="Z43">
            <v>42430</v>
          </cell>
          <cell r="AA43">
            <v>44613.923663465219</v>
          </cell>
          <cell r="AB43">
            <v>5998.0987449492077</v>
          </cell>
          <cell r="AC43">
            <v>0.13444454673376127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42401</v>
          </cell>
          <cell r="Z44">
            <v>42430</v>
          </cell>
          <cell r="AA44">
            <v>13251.516112344687</v>
          </cell>
          <cell r="AB44">
            <v>1781.5940772593158</v>
          </cell>
          <cell r="AC44">
            <v>0.13444454673376127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42401</v>
          </cell>
          <cell r="Z45">
            <v>42430</v>
          </cell>
          <cell r="AA45">
            <v>7451.153007884358</v>
          </cell>
          <cell r="AB45">
            <v>1004.9486141979871</v>
          </cell>
          <cell r="AC45">
            <v>0.13487155788300301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42401</v>
          </cell>
          <cell r="Z46">
            <v>42430</v>
          </cell>
          <cell r="AA46">
            <v>3028.9061852886634</v>
          </cell>
          <cell r="AB46">
            <v>408.51329589134582</v>
          </cell>
          <cell r="AC46">
            <v>0.13487155788300301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42401</v>
          </cell>
          <cell r="Z47">
            <v>42430</v>
          </cell>
          <cell r="AA47">
            <v>162042.73167483803</v>
          </cell>
          <cell r="AB47">
            <v>21630.849080050193</v>
          </cell>
          <cell r="AC47">
            <v>0.1334885487085937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42401</v>
          </cell>
          <cell r="Z48">
            <v>42430</v>
          </cell>
          <cell r="AA48">
            <v>18044.670460307581</v>
          </cell>
          <cell r="AB48">
            <v>2408.7568716712904</v>
          </cell>
          <cell r="AC48">
            <v>0.1334885487085937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42401</v>
          </cell>
          <cell r="Z49">
            <v>42430</v>
          </cell>
          <cell r="AA49">
            <v>46177.666391444254</v>
          </cell>
          <cell r="AB49">
            <v>6164.1896693434965</v>
          </cell>
          <cell r="AC49">
            <v>0.1334885487085937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42401</v>
          </cell>
          <cell r="Z50">
            <v>42430</v>
          </cell>
          <cell r="AA50">
            <v>7410</v>
          </cell>
          <cell r="AB50">
            <v>1107.5688</v>
          </cell>
          <cell r="AC50">
            <v>0.14946947368421054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42401</v>
          </cell>
          <cell r="Z51">
            <v>42430</v>
          </cell>
          <cell r="AA51">
            <v>66547.077446494528</v>
          </cell>
          <cell r="AB51">
            <v>8883.2727891309423</v>
          </cell>
          <cell r="AC51">
            <v>0.1334885487085937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42401</v>
          </cell>
          <cell r="Z52">
            <v>42430</v>
          </cell>
          <cell r="AA52">
            <v>14024.311074313147</v>
          </cell>
          <cell r="AB52">
            <v>1885.4921456392997</v>
          </cell>
          <cell r="AC52">
            <v>0.13444454673376127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42401</v>
          </cell>
          <cell r="Z53">
            <v>42430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42401</v>
          </cell>
          <cell r="Z55">
            <v>42430</v>
          </cell>
          <cell r="AA55">
            <v>378310.52653233788</v>
          </cell>
          <cell r="AB55">
            <v>50861.787264250735</v>
          </cell>
          <cell r="AC55">
            <v>0.13444454673376127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42401</v>
          </cell>
          <cell r="Z56">
            <v>42430</v>
          </cell>
          <cell r="AA56">
            <v>4139.9154629638542</v>
          </cell>
          <cell r="AB56">
            <v>556.58905793426482</v>
          </cell>
          <cell r="AC56">
            <v>0.13444454673376127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42401</v>
          </cell>
          <cell r="Z57">
            <v>42430</v>
          </cell>
          <cell r="AA57">
            <v>65589.012014283348</v>
          </cell>
          <cell r="AB57">
            <v>8755.3820250171993</v>
          </cell>
          <cell r="AC57">
            <v>0.1334885487085937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42401</v>
          </cell>
          <cell r="Z58">
            <v>42430</v>
          </cell>
          <cell r="AA58">
            <v>398163.96443831449</v>
          </cell>
          <cell r="AB58">
            <v>53150.329760930712</v>
          </cell>
          <cell r="AC58">
            <v>0.1334885487085937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42401</v>
          </cell>
          <cell r="Z59">
            <v>42430</v>
          </cell>
          <cell r="AA59">
            <v>18931.704102718159</v>
          </cell>
          <cell r="AB59">
            <v>2545.2643769876313</v>
          </cell>
          <cell r="AC59">
            <v>0.13444454673376127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42401</v>
          </cell>
          <cell r="Z60">
            <v>42430</v>
          </cell>
          <cell r="AA60">
            <v>50493.030623928353</v>
          </cell>
          <cell r="AB60">
            <v>6788.5126154479749</v>
          </cell>
          <cell r="AC60">
            <v>0.13444454673376127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42401</v>
          </cell>
          <cell r="Z61">
            <v>42430</v>
          </cell>
          <cell r="AA61">
            <v>140496.33161109089</v>
          </cell>
          <cell r="AB61">
            <v>18888.965621209332</v>
          </cell>
          <cell r="AC61">
            <v>0.13444454673376127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42401</v>
          </cell>
          <cell r="Z62">
            <v>42430</v>
          </cell>
          <cell r="AA62">
            <v>0</v>
          </cell>
          <cell r="AB62">
            <v>0</v>
          </cell>
          <cell r="AC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42401</v>
          </cell>
          <cell r="Z63">
            <v>42430</v>
          </cell>
          <cell r="AA63">
            <v>20410.4237369935</v>
          </cell>
          <cell r="AB63">
            <v>2744.0701679640929</v>
          </cell>
          <cell r="AC63">
            <v>0.13444454673376127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42401</v>
          </cell>
          <cell r="Z64">
            <v>42430</v>
          </cell>
          <cell r="AA64">
            <v>40513.969241070205</v>
          </cell>
          <cell r="AB64">
            <v>5446.8822310012301</v>
          </cell>
          <cell r="AC64">
            <v>0.13444454673376127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42401</v>
          </cell>
          <cell r="Z65">
            <v>42430</v>
          </cell>
          <cell r="AA65">
            <v>5210.8874635316943</v>
          </cell>
          <cell r="AB65">
            <v>700.57540311515766</v>
          </cell>
          <cell r="AC65">
            <v>0.13444454673376127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42383</v>
          </cell>
          <cell r="Z66">
            <v>42416</v>
          </cell>
          <cell r="AA66">
            <v>16320</v>
          </cell>
          <cell r="AB66">
            <v>2825.62</v>
          </cell>
          <cell r="AC66">
            <v>0.17313848039215685</v>
          </cell>
          <cell r="AE66" t="str">
            <v>1-52-34746-03601-00-9002-0-02</v>
          </cell>
          <cell r="AF66">
            <v>5236180930</v>
          </cell>
          <cell r="AG66">
            <v>42383</v>
          </cell>
          <cell r="AH66">
            <v>42416</v>
          </cell>
          <cell r="AI66">
            <v>11680</v>
          </cell>
          <cell r="AJ66">
            <v>1817.92</v>
          </cell>
          <cell r="AL66">
            <v>1817.92</v>
          </cell>
          <cell r="AM66">
            <v>2825.62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42401</v>
          </cell>
          <cell r="Z67">
            <v>42430</v>
          </cell>
          <cell r="AA67">
            <v>8626.2385211046585</v>
          </cell>
          <cell r="AB67">
            <v>1151.5040609964265</v>
          </cell>
          <cell r="AC67">
            <v>0.1334885487085937</v>
          </cell>
          <cell r="AE67" t="str">
            <v>1-52-34746-03601-00-9003-0-01</v>
          </cell>
          <cell r="AF67">
            <v>5236180931</v>
          </cell>
          <cell r="AG67">
            <v>42383</v>
          </cell>
          <cell r="AH67">
            <v>42416</v>
          </cell>
          <cell r="AI67">
            <v>4640</v>
          </cell>
          <cell r="AJ67">
            <v>1007.7</v>
          </cell>
          <cell r="AL67">
            <v>1007.7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42401</v>
          </cell>
          <cell r="Z68">
            <v>42430</v>
          </cell>
          <cell r="AA68">
            <v>20046.158005544203</v>
          </cell>
          <cell r="AB68">
            <v>2675.9325393432528</v>
          </cell>
          <cell r="AC68">
            <v>0.1334885487085937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42401</v>
          </cell>
          <cell r="Z69">
            <v>42430</v>
          </cell>
          <cell r="AA69">
            <v>41916.535754982993</v>
          </cell>
          <cell r="AB69">
            <v>5595.3775248245565</v>
          </cell>
          <cell r="AC69">
            <v>0.1334885487085937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42401</v>
          </cell>
          <cell r="Z70">
            <v>42430</v>
          </cell>
          <cell r="AA70">
            <v>34138.453604248498</v>
          </cell>
          <cell r="AB70">
            <v>4604.3064213216139</v>
          </cell>
          <cell r="AC70">
            <v>0.13487155788300301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42401</v>
          </cell>
          <cell r="Z71">
            <v>42430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42401</v>
          </cell>
          <cell r="Z72">
            <v>42430</v>
          </cell>
          <cell r="AA72">
            <v>43939.822803708121</v>
          </cell>
          <cell r="AB72">
            <v>5907.4695604063254</v>
          </cell>
          <cell r="AC72">
            <v>0.13444454673376127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42401</v>
          </cell>
          <cell r="Z73">
            <v>42430</v>
          </cell>
          <cell r="AA73">
            <v>39722.160558185926</v>
          </cell>
          <cell r="AB73">
            <v>5340.4278715309965</v>
          </cell>
          <cell r="AC73">
            <v>0.13444454673376127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42401</v>
          </cell>
          <cell r="Z74">
            <v>42430</v>
          </cell>
          <cell r="AA74">
            <v>36869.860720970602</v>
          </cell>
          <cell r="AB74">
            <v>4956.9517127678009</v>
          </cell>
          <cell r="AC74">
            <v>0.13444454673376127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42401</v>
          </cell>
          <cell r="Z75">
            <v>42430</v>
          </cell>
          <cell r="AA75">
            <v>9070.8339426714883</v>
          </cell>
          <cell r="AB75">
            <v>1219.524157919685</v>
          </cell>
          <cell r="AC75">
            <v>0.13444454673376127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42401</v>
          </cell>
          <cell r="Z76">
            <v>42430</v>
          </cell>
          <cell r="AA76">
            <v>16235.295700755129</v>
          </cell>
          <cell r="AB76">
            <v>2189.6796238520651</v>
          </cell>
          <cell r="AC76">
            <v>0.13487155788300301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42401</v>
          </cell>
          <cell r="Z78">
            <v>42430</v>
          </cell>
          <cell r="AA78">
            <v>17313.604226136158</v>
          </cell>
          <cell r="AB78">
            <v>2327.7196725106091</v>
          </cell>
          <cell r="AC78">
            <v>0.13444454673376127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42401</v>
          </cell>
          <cell r="Z79">
            <v>42430</v>
          </cell>
          <cell r="AA79">
            <v>20461.502970301255</v>
          </cell>
          <cell r="AB79">
            <v>2750.9374923336622</v>
          </cell>
          <cell r="AC79">
            <v>0.13444454673376127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42401</v>
          </cell>
          <cell r="Z80">
            <v>42430</v>
          </cell>
          <cell r="AA80">
            <v>49448.726172611096</v>
          </cell>
          <cell r="AB80">
            <v>6648.1115768385762</v>
          </cell>
          <cell r="AC80">
            <v>0.13444454673376127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42401</v>
          </cell>
          <cell r="Z81">
            <v>42430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42401</v>
          </cell>
          <cell r="Z82">
            <v>42430</v>
          </cell>
          <cell r="AA82">
            <v>14281.157439904833</v>
          </cell>
          <cell r="AB82">
            <v>1920.0237388414878</v>
          </cell>
          <cell r="AC82">
            <v>0.13444454673376127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42401</v>
          </cell>
          <cell r="Z83">
            <v>42430</v>
          </cell>
          <cell r="AA83">
            <v>274826.60459838557</v>
          </cell>
          <cell r="AB83">
            <v>37066.292309880337</v>
          </cell>
          <cell r="AC83">
            <v>0.13487155788300301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42401</v>
          </cell>
          <cell r="Z84">
            <v>42430</v>
          </cell>
          <cell r="AA84">
            <v>125731.13566212005</v>
          </cell>
          <cell r="AB84">
            <v>16783.666827019715</v>
          </cell>
          <cell r="AC84">
            <v>0.1334885487085937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42401</v>
          </cell>
          <cell r="Z85">
            <v>42430</v>
          </cell>
          <cell r="AA85">
            <v>2844.6592000000005</v>
          </cell>
          <cell r="AB85">
            <v>382.45636326066239</v>
          </cell>
          <cell r="AC85">
            <v>0.13444716444791077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42401</v>
          </cell>
          <cell r="Z86">
            <v>42430</v>
          </cell>
          <cell r="AA86">
            <v>11493.3408</v>
          </cell>
          <cell r="AB86">
            <v>1545.2470805934827</v>
          </cell>
          <cell r="AC86">
            <v>0.1344471644479108</v>
          </cell>
          <cell r="AM86">
            <v>14338</v>
          </cell>
          <cell r="AN86">
            <v>1927.703443854145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42401</v>
          </cell>
          <cell r="Z87">
            <v>42430</v>
          </cell>
          <cell r="AA87">
            <v>12080</v>
          </cell>
          <cell r="AB87">
            <v>2191.44</v>
          </cell>
          <cell r="AC87">
            <v>0.18141059602649007</v>
          </cell>
          <cell r="AE87" t="str">
            <v>1-63-86192-02715-00-9001-0-01</v>
          </cell>
          <cell r="AF87">
            <v>5236180897</v>
          </cell>
          <cell r="AG87">
            <v>42401</v>
          </cell>
          <cell r="AH87">
            <v>42430</v>
          </cell>
          <cell r="AI87">
            <v>12080</v>
          </cell>
          <cell r="AJ87">
            <v>2191.44</v>
          </cell>
          <cell r="AL87">
            <v>2191.44</v>
          </cell>
          <cell r="AM87" t="str">
            <v>Meter #96116409</v>
          </cell>
          <cell r="AN87">
            <v>1927.703443854145</v>
          </cell>
          <cell r="AO87">
            <v>1927.703443854145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42401</v>
          </cell>
          <cell r="Z88">
            <v>42430</v>
          </cell>
          <cell r="AA88">
            <v>23950.843024810638</v>
          </cell>
          <cell r="AB88">
            <v>3220.060234362134</v>
          </cell>
          <cell r="AC88">
            <v>0.13444454673376127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42401</v>
          </cell>
          <cell r="Z89">
            <v>42430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42401</v>
          </cell>
          <cell r="Z90">
            <v>42430</v>
          </cell>
          <cell r="AA90">
            <v>30752.1154496911</v>
          </cell>
          <cell r="AB90">
            <v>4134.4542227380171</v>
          </cell>
          <cell r="AC90">
            <v>0.13444454673376127</v>
          </cell>
          <cell r="AM90">
            <v>30752</v>
          </cell>
          <cell r="AN90">
            <v>4134.4542227380171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42401</v>
          </cell>
          <cell r="Z91">
            <v>42430</v>
          </cell>
          <cell r="AA91">
            <v>0</v>
          </cell>
          <cell r="AB91">
            <v>0</v>
          </cell>
          <cell r="AC91">
            <v>0</v>
          </cell>
          <cell r="AN91">
            <v>4134.4542227380171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42401</v>
          </cell>
          <cell r="Z92">
            <v>42430</v>
          </cell>
          <cell r="AA92">
            <v>43050.770217665384</v>
          </cell>
          <cell r="AB92">
            <v>5787.9412884533313</v>
          </cell>
          <cell r="AC92">
            <v>0.13444454673376127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42401</v>
          </cell>
          <cell r="Z93">
            <v>42430</v>
          </cell>
          <cell r="AA93">
            <v>8455.9074113718816</v>
          </cell>
          <cell r="AB93">
            <v>1140.4614058861569</v>
          </cell>
          <cell r="AC93">
            <v>0.13487155788300301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42401</v>
          </cell>
          <cell r="Z94">
            <v>42430</v>
          </cell>
          <cell r="AA94">
            <v>76103.029852114923</v>
          </cell>
          <cell r="AB94">
            <v>10264.134195771423</v>
          </cell>
          <cell r="AC94">
            <v>0.13487155788300301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42401</v>
          </cell>
          <cell r="Z95">
            <v>42430</v>
          </cell>
          <cell r="AA95">
            <v>42595.810548124515</v>
          </cell>
          <cell r="AB95">
            <v>5726.7744418997681</v>
          </cell>
          <cell r="AC95">
            <v>0.13444454673376127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42401</v>
          </cell>
          <cell r="Z96">
            <v>42430</v>
          </cell>
          <cell r="AA96">
            <v>6269.9302302076267</v>
          </cell>
          <cell r="AB96">
            <v>845.63525796583826</v>
          </cell>
          <cell r="AC96">
            <v>0.13487155788300301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42401</v>
          </cell>
          <cell r="Z97">
            <v>42430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42401</v>
          </cell>
          <cell r="Z98">
            <v>42430</v>
          </cell>
          <cell r="AA98">
            <v>0</v>
          </cell>
          <cell r="AB98">
            <v>0</v>
          </cell>
          <cell r="AC98">
            <v>0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42401</v>
          </cell>
          <cell r="Z99">
            <v>42430</v>
          </cell>
          <cell r="AA99">
            <v>20337.458161447019</v>
          </cell>
          <cell r="AB99">
            <v>2714.817774393307</v>
          </cell>
          <cell r="AC99">
            <v>0.1334885487085937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42401</v>
          </cell>
          <cell r="Z100">
            <v>42430</v>
          </cell>
          <cell r="AA100">
            <v>8172.9695566714654</v>
          </cell>
          <cell r="AB100">
            <v>1102.301136638637</v>
          </cell>
          <cell r="AC100">
            <v>0.13487155788300301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42401</v>
          </cell>
          <cell r="Z101">
            <v>42430</v>
          </cell>
          <cell r="AA101">
            <v>23970.276089848026</v>
          </cell>
          <cell r="AB101">
            <v>3232.9084791235009</v>
          </cell>
          <cell r="AC101">
            <v>0.13487155788300301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42401</v>
          </cell>
          <cell r="Z102">
            <v>42430</v>
          </cell>
          <cell r="AA102">
            <v>57097.586400922002</v>
          </cell>
          <cell r="AB102">
            <v>7621.8739434226136</v>
          </cell>
          <cell r="AC102">
            <v>0.1334885487085937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42401</v>
          </cell>
          <cell r="Z103">
            <v>42430</v>
          </cell>
          <cell r="AA103">
            <v>8279.1511453677304</v>
          </cell>
          <cell r="AB103">
            <v>1105.1718709342297</v>
          </cell>
          <cell r="AC103">
            <v>0.1334885487085937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42401</v>
          </cell>
          <cell r="Z104">
            <v>42430</v>
          </cell>
          <cell r="AA104">
            <v>84878.355679728222</v>
          </cell>
          <cell r="AB104">
            <v>11330.288516458741</v>
          </cell>
          <cell r="AC104">
            <v>0.1334885487085937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42401</v>
          </cell>
          <cell r="Z106">
            <v>42430</v>
          </cell>
          <cell r="AA106">
            <v>93247.315701889413</v>
          </cell>
          <cell r="AB106">
            <v>12536.593093680462</v>
          </cell>
          <cell r="AC106">
            <v>0.13444454673376127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42401</v>
          </cell>
          <cell r="Z107">
            <v>42430</v>
          </cell>
          <cell r="AA107">
            <v>3636.2129919226936</v>
          </cell>
          <cell r="AB107">
            <v>488.86900752646051</v>
          </cell>
          <cell r="AC107">
            <v>0.13444454673376127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42401</v>
          </cell>
          <cell r="Z108">
            <v>42430</v>
          </cell>
          <cell r="AA108">
            <v>13254.343299251717</v>
          </cell>
          <cell r="AB108">
            <v>1769.3030511025854</v>
          </cell>
          <cell r="AC108">
            <v>0.1334885487085937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42401</v>
          </cell>
          <cell r="Z109">
            <v>42430</v>
          </cell>
          <cell r="AA109">
            <v>79124.874491663242</v>
          </cell>
          <cell r="AB109">
            <v>10637.907886397414</v>
          </cell>
          <cell r="AC109">
            <v>0.13444454673376127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42401</v>
          </cell>
          <cell r="Z110">
            <v>42430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42401</v>
          </cell>
          <cell r="Z111">
            <v>42430</v>
          </cell>
          <cell r="AA111">
            <v>168754.55242371815</v>
          </cell>
          <cell r="AB111">
            <v>22526.80029101043</v>
          </cell>
          <cell r="AC111">
            <v>0.1334885487085937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42401</v>
          </cell>
          <cell r="Z112">
            <v>42430</v>
          </cell>
          <cell r="AA112">
            <v>34330.933455583996</v>
          </cell>
          <cell r="AB112">
            <v>4630.266478732321</v>
          </cell>
          <cell r="AC112">
            <v>0.13487155788300301</v>
          </cell>
          <cell r="AE112" t="str">
            <v>1-44-38866-03717-00-9001-3-01</v>
          </cell>
          <cell r="AF112">
            <v>5236180951</v>
          </cell>
          <cell r="AG112">
            <v>42403</v>
          </cell>
          <cell r="AH112">
            <v>42432</v>
          </cell>
          <cell r="AI112">
            <v>22880</v>
          </cell>
          <cell r="AJ112">
            <v>3905.27</v>
          </cell>
          <cell r="AL112">
            <v>3905.27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42403</v>
          </cell>
          <cell r="Z113">
            <v>42432</v>
          </cell>
          <cell r="AA113">
            <v>27366.297600000002</v>
          </cell>
          <cell r="AB113">
            <v>5925.4537363000009</v>
          </cell>
          <cell r="AC113">
            <v>0.21652376302083334</v>
          </cell>
          <cell r="AE113" t="str">
            <v>1-44-38866-03717-00-9001-3-01</v>
          </cell>
          <cell r="AF113">
            <v>5236180952</v>
          </cell>
          <cell r="AG113">
            <v>42403</v>
          </cell>
          <cell r="AH113">
            <v>42432</v>
          </cell>
          <cell r="AI113">
            <v>7840</v>
          </cell>
          <cell r="AJ113">
            <v>2746.34</v>
          </cell>
          <cell r="AL113">
            <v>2746.34</v>
          </cell>
          <cell r="AM113">
            <v>30720</v>
          </cell>
          <cell r="AN113">
            <v>6651.6100000000006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42403</v>
          </cell>
          <cell r="Z114">
            <v>42432</v>
          </cell>
          <cell r="AA114">
            <v>3353.7024000000001</v>
          </cell>
          <cell r="AB114">
            <v>726.15626370000007</v>
          </cell>
          <cell r="AC114">
            <v>0.21652376302083334</v>
          </cell>
          <cell r="AE114" t="str">
            <v>1-44-38866-03717-00-9001-3-02</v>
          </cell>
          <cell r="AG114">
            <v>42401</v>
          </cell>
          <cell r="AH114">
            <v>42430</v>
          </cell>
          <cell r="AL114">
            <v>0</v>
          </cell>
          <cell r="AM114">
            <v>30720</v>
          </cell>
          <cell r="AN114">
            <v>6651.6100000000006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42401</v>
          </cell>
          <cell r="Z115">
            <v>42430</v>
          </cell>
          <cell r="AA115">
            <v>45517.276696209898</v>
          </cell>
          <cell r="AB115">
            <v>6138.9860186095375</v>
          </cell>
          <cell r="AC115">
            <v>0.13487155788300301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42401</v>
          </cell>
          <cell r="Z116">
            <v>42430</v>
          </cell>
          <cell r="AA116">
            <v>4120</v>
          </cell>
          <cell r="AB116">
            <v>716.64</v>
          </cell>
          <cell r="AC116">
            <v>0.17394174757281552</v>
          </cell>
          <cell r="AE116" t="str">
            <v>1-63-00433-00909-00-9001-3-01</v>
          </cell>
          <cell r="AF116">
            <v>5236180925</v>
          </cell>
          <cell r="AG116">
            <v>42401</v>
          </cell>
          <cell r="AH116">
            <v>42430</v>
          </cell>
          <cell r="AI116">
            <v>4120</v>
          </cell>
          <cell r="AJ116">
            <v>716.64</v>
          </cell>
          <cell r="AL116">
            <v>716.64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42401</v>
          </cell>
          <cell r="Z118">
            <v>42430</v>
          </cell>
          <cell r="AA118">
            <v>46364.379632410906</v>
          </cell>
          <cell r="AB118">
            <v>6253.2361113022334</v>
          </cell>
          <cell r="AC118">
            <v>0.13487155788300301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42401</v>
          </cell>
          <cell r="Z119">
            <v>42430</v>
          </cell>
          <cell r="AA119">
            <v>29392.21385734652</v>
          </cell>
          <cell r="AB119">
            <v>3964.1736725707142</v>
          </cell>
          <cell r="AC119">
            <v>0.13487155788300301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42403</v>
          </cell>
          <cell r="Z120">
            <v>42432</v>
          </cell>
          <cell r="AA120">
            <v>5300</v>
          </cell>
          <cell r="AB120">
            <v>1109.48</v>
          </cell>
          <cell r="AC120">
            <v>0.20933584905660377</v>
          </cell>
          <cell r="AE120" t="str">
            <v>1-44-43997-03440-00-9001-2-01</v>
          </cell>
          <cell r="AF120">
            <v>5236180234</v>
          </cell>
          <cell r="AG120">
            <v>42403</v>
          </cell>
          <cell r="AH120">
            <v>42432</v>
          </cell>
          <cell r="AI120">
            <v>340</v>
          </cell>
          <cell r="AJ120">
            <v>181.6</v>
          </cell>
          <cell r="AL120">
            <v>181.6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42401</v>
          </cell>
          <cell r="Z121">
            <v>42430</v>
          </cell>
          <cell r="AA121">
            <v>69772.681090494312</v>
          </cell>
          <cell r="AB121">
            <v>9313.8539382776235</v>
          </cell>
          <cell r="AC121">
            <v>0.1334885487085937</v>
          </cell>
          <cell r="AE121" t="str">
            <v>1-44-43997-03440-00-9001-2-01</v>
          </cell>
          <cell r="AF121">
            <v>5236180235</v>
          </cell>
          <cell r="AG121">
            <v>42403</v>
          </cell>
          <cell r="AH121">
            <v>42432</v>
          </cell>
          <cell r="AI121">
            <v>4960</v>
          </cell>
          <cell r="AJ121">
            <v>927.88</v>
          </cell>
          <cell r="AL121">
            <v>927.88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42401</v>
          </cell>
          <cell r="Z123">
            <v>42430</v>
          </cell>
          <cell r="AA123">
            <v>52078.98442150437</v>
          </cell>
          <cell r="AB123">
            <v>7001.73545490377</v>
          </cell>
          <cell r="AC123">
            <v>0.13444454673376127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42401</v>
          </cell>
          <cell r="Z124">
            <v>42430</v>
          </cell>
          <cell r="AA124">
            <v>578</v>
          </cell>
          <cell r="AB124">
            <v>93.35</v>
          </cell>
          <cell r="AC124">
            <v>0.16150519031141866</v>
          </cell>
          <cell r="AE124" t="str">
            <v>1-63-43981-02712-00-0000-0-01</v>
          </cell>
          <cell r="AF124">
            <v>5236180909</v>
          </cell>
          <cell r="AG124">
            <v>42401</v>
          </cell>
          <cell r="AH124">
            <v>42430</v>
          </cell>
          <cell r="AI124">
            <v>578</v>
          </cell>
          <cell r="AJ124">
            <v>93.35</v>
          </cell>
          <cell r="AL124">
            <v>93.35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42401</v>
          </cell>
          <cell r="Z125">
            <v>42430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42401</v>
          </cell>
          <cell r="AH125">
            <v>42430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42401</v>
          </cell>
          <cell r="Z126">
            <v>42430</v>
          </cell>
          <cell r="AA126">
            <v>27227.380037029288</v>
          </cell>
          <cell r="AB126">
            <v>3672.1991626667163</v>
          </cell>
          <cell r="AC126">
            <v>0.13487155788300301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42401</v>
          </cell>
          <cell r="Z127">
            <v>42430</v>
          </cell>
          <cell r="AA127">
            <v>42777.64939603558</v>
          </cell>
          <cell r="AB127">
            <v>5751.2216833857601</v>
          </cell>
          <cell r="AC127">
            <v>0.13444454673376127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42401</v>
          </cell>
          <cell r="Z128">
            <v>42430</v>
          </cell>
          <cell r="AA128">
            <v>26158.207116554993</v>
          </cell>
          <cell r="AB128">
            <v>3516.8282991530846</v>
          </cell>
          <cell r="AC128">
            <v>0.13444454673376127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42401</v>
          </cell>
          <cell r="Z129">
            <v>42430</v>
          </cell>
          <cell r="AA129">
            <v>209193.38867963699</v>
          </cell>
          <cell r="AB129">
            <v>28124.910320733343</v>
          </cell>
          <cell r="AC129">
            <v>0.13444454673376127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42401</v>
          </cell>
          <cell r="Z130">
            <v>42430</v>
          </cell>
          <cell r="AA130">
            <v>678.61259014390475</v>
          </cell>
          <cell r="AB130">
            <v>91.235762089720993</v>
          </cell>
          <cell r="AC130">
            <v>0.13444454673376127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42401</v>
          </cell>
          <cell r="Z131">
            <v>42430</v>
          </cell>
          <cell r="AA131">
            <v>1439.3225600048509</v>
          </cell>
          <cell r="AB131">
            <v>193.50906918352908</v>
          </cell>
          <cell r="AC131">
            <v>0.13444454673376127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42401</v>
          </cell>
          <cell r="Z132">
            <v>42430</v>
          </cell>
          <cell r="AA132">
            <v>20047.722133203104</v>
          </cell>
          <cell r="AB132">
            <v>2676.1413324744344</v>
          </cell>
          <cell r="AC132">
            <v>0.1334885487085937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42401</v>
          </cell>
          <cell r="Z133">
            <v>42430</v>
          </cell>
          <cell r="AA133">
            <v>11436.60351280115</v>
          </cell>
          <cell r="AB133">
            <v>1526.65560507943</v>
          </cell>
          <cell r="AC133">
            <v>0.1334885487085937</v>
          </cell>
          <cell r="AE133" t="str">
            <v>1-63-34103-03131-00-9002-0-01</v>
          </cell>
          <cell r="AF133">
            <v>5236180880</v>
          </cell>
          <cell r="AG133">
            <v>42401</v>
          </cell>
          <cell r="AH133">
            <v>42430</v>
          </cell>
          <cell r="AI133">
            <v>28400</v>
          </cell>
          <cell r="AJ133">
            <v>5741.38</v>
          </cell>
          <cell r="AL133">
            <v>5741.38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42401</v>
          </cell>
          <cell r="Z134">
            <v>42430</v>
          </cell>
          <cell r="AA134">
            <v>1743.5554460570122</v>
          </cell>
          <cell r="AB134">
            <v>232.74468608711527</v>
          </cell>
          <cell r="AC134">
            <v>0.1334885487085937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42401</v>
          </cell>
          <cell r="Z136">
            <v>42430</v>
          </cell>
          <cell r="AA136">
            <v>71760</v>
          </cell>
          <cell r="AB136">
            <v>12368.1</v>
          </cell>
          <cell r="AC136">
            <v>0.17235367892976589</v>
          </cell>
          <cell r="AE136" t="str">
            <v>1-63-34103-03131-00-9001-0-01</v>
          </cell>
          <cell r="AF136">
            <v>5236180879</v>
          </cell>
          <cell r="AG136">
            <v>42401</v>
          </cell>
          <cell r="AH136">
            <v>42430</v>
          </cell>
          <cell r="AI136">
            <v>43360</v>
          </cell>
          <cell r="AJ136">
            <v>6626.72</v>
          </cell>
          <cell r="AL136">
            <v>6626.72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42404</v>
          </cell>
          <cell r="Z137">
            <v>42432</v>
          </cell>
          <cell r="AA137">
            <v>59589.780000000006</v>
          </cell>
          <cell r="AB137">
            <v>8111.3102950000002</v>
          </cell>
          <cell r="AC137">
            <v>0.13611915155585402</v>
          </cell>
          <cell r="AE137" t="str">
            <v>1-44-38866-03447-00-9001-4-01</v>
          </cell>
          <cell r="AF137">
            <v>5236180950</v>
          </cell>
          <cell r="AG137">
            <v>42403</v>
          </cell>
          <cell r="AH137">
            <v>42432</v>
          </cell>
          <cell r="AI137">
            <v>46920</v>
          </cell>
          <cell r="AJ137">
            <v>6344.18</v>
          </cell>
          <cell r="AL137">
            <v>6344.18</v>
          </cell>
          <cell r="AM137">
            <v>178680</v>
          </cell>
          <cell r="AN137">
            <v>24321.77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42404</v>
          </cell>
          <cell r="Z138">
            <v>42432</v>
          </cell>
          <cell r="AA138">
            <v>119090.22</v>
          </cell>
          <cell r="AB138">
            <v>16210.459704999999</v>
          </cell>
          <cell r="AC138">
            <v>0.13611915155585402</v>
          </cell>
          <cell r="AM138">
            <v>178680</v>
          </cell>
          <cell r="AN138">
            <v>24321.77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42404</v>
          </cell>
          <cell r="Z139">
            <v>42432</v>
          </cell>
          <cell r="AA139">
            <v>46920</v>
          </cell>
          <cell r="AB139">
            <v>6344.18</v>
          </cell>
          <cell r="AC139">
            <v>0.13521270247229328</v>
          </cell>
          <cell r="AE139" t="str">
            <v>1-44-38866-03447-00-9004-0-01</v>
          </cell>
          <cell r="AF139">
            <v>5236180944</v>
          </cell>
          <cell r="AG139">
            <v>42404</v>
          </cell>
          <cell r="AH139">
            <v>42432</v>
          </cell>
          <cell r="AI139">
            <v>51360</v>
          </cell>
          <cell r="AJ139">
            <v>7246.05</v>
          </cell>
          <cell r="AL139">
            <v>7246.05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42401</v>
          </cell>
          <cell r="Z140">
            <v>42430</v>
          </cell>
          <cell r="AA140">
            <v>18853.856465333178</v>
          </cell>
          <cell r="AB140">
            <v>2542.8489935820139</v>
          </cell>
          <cell r="AC140">
            <v>0.13487155788300301</v>
          </cell>
          <cell r="AE140" t="str">
            <v>1-44-38866-03447-00-9004-0-01</v>
          </cell>
          <cell r="AF140">
            <v>5236180945</v>
          </cell>
          <cell r="AG140">
            <v>42404</v>
          </cell>
          <cell r="AH140">
            <v>42432</v>
          </cell>
          <cell r="AI140">
            <v>127320</v>
          </cell>
          <cell r="AJ140">
            <v>17075.72</v>
          </cell>
          <cell r="AL140">
            <v>17075.72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42401</v>
          </cell>
          <cell r="Z141">
            <v>42430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42401</v>
          </cell>
          <cell r="Z142">
            <v>42430</v>
          </cell>
          <cell r="AA142">
            <v>24229.538854409064</v>
          </cell>
          <cell r="AB142">
            <v>3267.8756520809025</v>
          </cell>
          <cell r="AC142">
            <v>0.13487155788300301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42401</v>
          </cell>
          <cell r="Z143">
            <v>42430</v>
          </cell>
          <cell r="AA143">
            <v>45600.844899999996</v>
          </cell>
          <cell r="AB143">
            <v>6087.1720893778756</v>
          </cell>
          <cell r="AC143">
            <v>0.13348814265890666</v>
          </cell>
          <cell r="AM143">
            <v>77857</v>
          </cell>
          <cell r="AN143">
            <v>10392.986322994495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42401</v>
          </cell>
          <cell r="Z144">
            <v>42430</v>
          </cell>
          <cell r="AA144">
            <v>32256.1551</v>
          </cell>
          <cell r="AB144">
            <v>4305.8142336166193</v>
          </cell>
          <cell r="AC144">
            <v>0.13348814265890666</v>
          </cell>
          <cell r="AN144">
            <v>10392.986322994495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42401</v>
          </cell>
          <cell r="Z145">
            <v>42430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42401</v>
          </cell>
          <cell r="Z146">
            <v>42430</v>
          </cell>
          <cell r="AA146">
            <v>29649</v>
          </cell>
          <cell r="AB146">
            <v>4376.7755931670226</v>
          </cell>
          <cell r="AC146">
            <v>0.14761966991018324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42401</v>
          </cell>
          <cell r="AH147">
            <v>42430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42401</v>
          </cell>
          <cell r="AH148">
            <v>42430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42401</v>
          </cell>
          <cell r="Z149">
            <v>42430</v>
          </cell>
          <cell r="AA149">
            <v>151764.61995197859</v>
          </cell>
          <cell r="AB149">
            <v>20403.925539665302</v>
          </cell>
          <cell r="AC149">
            <v>0.13444454673376127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42401</v>
          </cell>
          <cell r="Z151">
            <v>42430</v>
          </cell>
          <cell r="AA151">
            <v>119753.57059114079</v>
          </cell>
          <cell r="AB151">
            <v>16100.214517875407</v>
          </cell>
          <cell r="AC151">
            <v>0.13444454673376127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42401</v>
          </cell>
          <cell r="Z152">
            <v>42430</v>
          </cell>
          <cell r="AA152">
            <v>100348.84442483325</v>
          </cell>
          <cell r="AB152">
            <v>13395.421606855445</v>
          </cell>
          <cell r="AC152">
            <v>0.1334885487085937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42401</v>
          </cell>
          <cell r="Z153">
            <v>42430</v>
          </cell>
          <cell r="AA153">
            <v>5840.5909999999994</v>
          </cell>
          <cell r="AB153">
            <v>785.23743519972118</v>
          </cell>
          <cell r="AC153">
            <v>0.13444485929586941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42401</v>
          </cell>
          <cell r="Z154">
            <v>42430</v>
          </cell>
          <cell r="AA154">
            <v>59417.409</v>
          </cell>
          <cell r="AB154">
            <v>7988.3651927301244</v>
          </cell>
          <cell r="AC154">
            <v>0.13444485929586941</v>
          </cell>
          <cell r="AM154">
            <v>65258</v>
          </cell>
          <cell r="AN154">
            <v>8773.6026279298458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42401</v>
          </cell>
          <cell r="Z155">
            <v>42430</v>
          </cell>
          <cell r="AA155">
            <v>2722.0236222963272</v>
          </cell>
          <cell r="AB155">
            <v>365.96123209822071</v>
          </cell>
          <cell r="AC155">
            <v>0.13444454673376127</v>
          </cell>
          <cell r="AN155">
            <v>8773.6026279298458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42401</v>
          </cell>
          <cell r="Z156">
            <v>42430</v>
          </cell>
          <cell r="AA156">
            <v>1050.6692138272185</v>
          </cell>
          <cell r="AB156">
            <v>141.25674622011769</v>
          </cell>
          <cell r="AC156">
            <v>0.13444454673376127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42401</v>
          </cell>
          <cell r="Z157">
            <v>42430</v>
          </cell>
          <cell r="AA157">
            <v>109596.61812446004</v>
          </cell>
          <cell r="AB157">
            <v>14734.667647296155</v>
          </cell>
          <cell r="AC157">
            <v>0.13444454673376127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42401</v>
          </cell>
          <cell r="Z158">
            <v>42430</v>
          </cell>
          <cell r="AA158">
            <v>193411.18558950379</v>
          </cell>
          <cell r="AB158">
            <v>26085.667912454996</v>
          </cell>
          <cell r="AC158">
            <v>0.13487155788300301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42403</v>
          </cell>
          <cell r="Z159">
            <v>42432</v>
          </cell>
          <cell r="AA159">
            <v>9200</v>
          </cell>
          <cell r="AB159">
            <v>1468.23</v>
          </cell>
          <cell r="AC159">
            <v>0.15959021739130436</v>
          </cell>
          <cell r="AE159" t="str">
            <v>1-44-43997-03500-00-9001-1-01</v>
          </cell>
          <cell r="AF159">
            <v>5236180240</v>
          </cell>
          <cell r="AG159">
            <v>42403</v>
          </cell>
          <cell r="AH159">
            <v>42432</v>
          </cell>
          <cell r="AI159">
            <v>8400</v>
          </cell>
          <cell r="AJ159">
            <v>1324.28</v>
          </cell>
          <cell r="AL159">
            <v>1324.28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42401</v>
          </cell>
          <cell r="Z160">
            <v>42430</v>
          </cell>
          <cell r="AA160">
            <v>83748.087240499081</v>
          </cell>
          <cell r="AB160">
            <v>11179.410622854915</v>
          </cell>
          <cell r="AC160">
            <v>0.1334885487085937</v>
          </cell>
          <cell r="AE160" t="str">
            <v>1-44-43997-03500-00-9001-1-01</v>
          </cell>
          <cell r="AF160">
            <v>5236180241</v>
          </cell>
          <cell r="AG160">
            <v>42403</v>
          </cell>
          <cell r="AH160">
            <v>42432</v>
          </cell>
          <cell r="AI160">
            <v>800</v>
          </cell>
          <cell r="AJ160">
            <v>143.94999999999999</v>
          </cell>
          <cell r="AL160">
            <v>143.94999999999999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42401</v>
          </cell>
          <cell r="Z161">
            <v>42430</v>
          </cell>
          <cell r="AA161">
            <v>33630</v>
          </cell>
          <cell r="AB161">
            <v>5026.6584000000003</v>
          </cell>
          <cell r="AC161">
            <v>0.14946947368421054</v>
          </cell>
          <cell r="AE161" t="str">
            <v>1-63-00433-00746-00-0000-4-01</v>
          </cell>
          <cell r="AF161">
            <v>5236180919</v>
          </cell>
          <cell r="AG161">
            <v>42401</v>
          </cell>
          <cell r="AH161">
            <v>42430</v>
          </cell>
          <cell r="AI161">
            <v>57000</v>
          </cell>
          <cell r="AJ161">
            <v>8519.76</v>
          </cell>
          <cell r="AL161">
            <v>8519.76</v>
          </cell>
          <cell r="AM161">
            <v>57000</v>
          </cell>
          <cell r="AN161">
            <v>8519.76</v>
          </cell>
          <cell r="AO161" t="str">
            <v>#42</v>
          </cell>
          <cell r="AP161">
            <v>0.28000000000000003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42401</v>
          </cell>
          <cell r="Z162">
            <v>42430</v>
          </cell>
          <cell r="AA162">
            <v>36217.190580550829</v>
          </cell>
          <cell r="AB162">
            <v>4869.2037715724045</v>
          </cell>
          <cell r="AC162">
            <v>0.13444454673376127</v>
          </cell>
          <cell r="AL162" t="str">
            <v>METER #APMYV00125-000015</v>
          </cell>
          <cell r="AM162">
            <v>57000</v>
          </cell>
          <cell r="AN162">
            <v>8519.760000000002</v>
          </cell>
          <cell r="AO162" t="str">
            <v>#52</v>
          </cell>
          <cell r="AP162">
            <v>0.13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42401</v>
          </cell>
          <cell r="Z163">
            <v>42430</v>
          </cell>
          <cell r="AC163">
            <v>0</v>
          </cell>
          <cell r="AO163" t="str">
            <v>#261</v>
          </cell>
          <cell r="AP163">
            <v>0.59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42401</v>
          </cell>
          <cell r="Z164">
            <v>42430</v>
          </cell>
          <cell r="AA164">
            <v>84335.529259714895</v>
          </cell>
          <cell r="AB164">
            <v>11374.46421614533</v>
          </cell>
          <cell r="AC164">
            <v>0.13487155788300301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42401</v>
          </cell>
          <cell r="Z165">
            <v>42430</v>
          </cell>
          <cell r="AA165">
            <v>6422.244538445384</v>
          </cell>
          <cell r="AB165">
            <v>866.17812600573654</v>
          </cell>
          <cell r="AC165">
            <v>0.13487155788300301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42401</v>
          </cell>
          <cell r="Z166">
            <v>42430</v>
          </cell>
          <cell r="AA166">
            <v>3600</v>
          </cell>
          <cell r="AB166">
            <v>651.17999999999995</v>
          </cell>
          <cell r="AC166">
            <v>0.18088333333333331</v>
          </cell>
          <cell r="AE166" t="str">
            <v>1-63-96497-01102-00-0000-1-01</v>
          </cell>
          <cell r="AF166">
            <v>5236180896</v>
          </cell>
          <cell r="AG166">
            <v>42401</v>
          </cell>
          <cell r="AH166">
            <v>42430</v>
          </cell>
          <cell r="AI166">
            <v>3600</v>
          </cell>
          <cell r="AJ166">
            <v>651.17999999999995</v>
          </cell>
          <cell r="AL166">
            <v>651.17999999999995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42401</v>
          </cell>
          <cell r="Z167">
            <v>42430</v>
          </cell>
          <cell r="AA167">
            <v>3400</v>
          </cell>
          <cell r="AB167">
            <v>647.55999999999995</v>
          </cell>
          <cell r="AC167">
            <v>0.19045882352941174</v>
          </cell>
          <cell r="AE167" t="str">
            <v>1-63-43981-02653-00-0000-0-01</v>
          </cell>
          <cell r="AF167">
            <v>5236180908</v>
          </cell>
          <cell r="AG167">
            <v>42401</v>
          </cell>
          <cell r="AH167">
            <v>42430</v>
          </cell>
          <cell r="AI167">
            <v>3400</v>
          </cell>
          <cell r="AJ167">
            <v>647.55999999999995</v>
          </cell>
          <cell r="AL167">
            <v>647.55999999999995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42401</v>
          </cell>
          <cell r="Z168">
            <v>42430</v>
          </cell>
          <cell r="AA168">
            <v>71640</v>
          </cell>
          <cell r="AB168">
            <v>11524.82</v>
          </cell>
          <cell r="AC168">
            <v>0.16087130094919039</v>
          </cell>
          <cell r="AE168" t="str">
            <v>1-63-34103-03500-00-9001-6-01</v>
          </cell>
          <cell r="AF168">
            <v>5236180888</v>
          </cell>
          <cell r="AG168">
            <v>42401</v>
          </cell>
          <cell r="AH168">
            <v>42430</v>
          </cell>
          <cell r="AI168">
            <v>45520</v>
          </cell>
          <cell r="AJ168">
            <v>7582.64</v>
          </cell>
          <cell r="AL168">
            <v>7582.64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42401</v>
          </cell>
          <cell r="Z169">
            <v>42430</v>
          </cell>
          <cell r="AA169">
            <v>26493.315392476426</v>
          </cell>
          <cell r="AB169">
            <v>3573.1947204690391</v>
          </cell>
          <cell r="AC169">
            <v>0.13487155788300301</v>
          </cell>
          <cell r="AE169" t="str">
            <v>1-63-34103-03500-00-0000-4-01</v>
          </cell>
          <cell r="AF169">
            <v>5236180887</v>
          </cell>
          <cell r="AG169">
            <v>42401</v>
          </cell>
          <cell r="AH169">
            <v>42430</v>
          </cell>
          <cell r="AI169">
            <v>26120</v>
          </cell>
          <cell r="AJ169">
            <v>3942.18</v>
          </cell>
          <cell r="AL169">
            <v>3942.18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42401</v>
          </cell>
          <cell r="Z170">
            <v>42430</v>
          </cell>
          <cell r="AA170">
            <v>169621.1536290184</v>
          </cell>
          <cell r="AB170">
            <v>22642.481628215079</v>
          </cell>
          <cell r="AC170">
            <v>0.1334885487085937</v>
          </cell>
          <cell r="AE170" t="str">
            <v>1-63-34103-03500-00-0000-4-02</v>
          </cell>
          <cell r="AG170">
            <v>42401</v>
          </cell>
          <cell r="AH170">
            <v>42430</v>
          </cell>
          <cell r="AL170">
            <v>0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42401</v>
          </cell>
          <cell r="Z171">
            <v>42430</v>
          </cell>
          <cell r="AA171">
            <v>50803.685666046113</v>
          </cell>
          <cell r="AB171">
            <v>6781.7102686080798</v>
          </cell>
          <cell r="AC171">
            <v>0.1334885487085937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42403</v>
          </cell>
          <cell r="Z172">
            <v>42432</v>
          </cell>
          <cell r="AA172">
            <v>1473834.75</v>
          </cell>
          <cell r="AB172">
            <v>187688.472407789</v>
          </cell>
          <cell r="AC172">
            <v>0.12734702612201876</v>
          </cell>
          <cell r="AE172" t="str">
            <v>1-44-38866-03430-00-0000-1-01</v>
          </cell>
          <cell r="AF172">
            <v>5236180933</v>
          </cell>
          <cell r="AG172">
            <v>42403</v>
          </cell>
          <cell r="AH172">
            <v>42432</v>
          </cell>
          <cell r="AI172">
            <v>166080</v>
          </cell>
          <cell r="AJ172">
            <v>23919.1</v>
          </cell>
          <cell r="AL172">
            <v>23919.1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42403</v>
          </cell>
          <cell r="Z173">
            <v>42432</v>
          </cell>
          <cell r="AA173">
            <v>18060</v>
          </cell>
          <cell r="AB173">
            <v>2299.8872917636586</v>
          </cell>
          <cell r="AC173">
            <v>0.12734702612201876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42401</v>
          </cell>
          <cell r="Z174">
            <v>42430</v>
          </cell>
          <cell r="AA174">
            <v>18132</v>
          </cell>
          <cell r="AB174">
            <v>1341.2573280838683</v>
          </cell>
          <cell r="AC174">
            <v>7.3971835874910005E-2</v>
          </cell>
          <cell r="AE174" t="str">
            <v>1-44-38866-03434-00-9003-0-01</v>
          </cell>
          <cell r="AF174">
            <v>5236180939</v>
          </cell>
          <cell r="AG174">
            <v>42403</v>
          </cell>
          <cell r="AH174">
            <v>42432</v>
          </cell>
          <cell r="AI174">
            <v>958510.75</v>
          </cell>
          <cell r="AJ174">
            <v>117163.07</v>
          </cell>
          <cell r="AL174">
            <v>117163.07</v>
          </cell>
          <cell r="AM174">
            <v>0.12734702612201876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42401</v>
          </cell>
          <cell r="Z175">
            <v>42430</v>
          </cell>
          <cell r="AA175">
            <v>543960.93999999994</v>
          </cell>
          <cell r="AB175">
            <v>80299.334406832975</v>
          </cell>
          <cell r="AC175">
            <v>0.14761966991018322</v>
          </cell>
          <cell r="AE175" t="str">
            <v>1-63-34103-03400-00-0000-2-02</v>
          </cell>
          <cell r="AF175">
            <v>5236180883</v>
          </cell>
          <cell r="AG175">
            <v>42401</v>
          </cell>
          <cell r="AH175">
            <v>42430</v>
          </cell>
          <cell r="AI175">
            <v>573609.93999999994</v>
          </cell>
          <cell r="AJ175">
            <v>84676.11</v>
          </cell>
          <cell r="AL175">
            <v>84676.11</v>
          </cell>
          <cell r="AM175">
            <v>573609.93999999994</v>
          </cell>
          <cell r="AN175">
            <v>0.14761966991018324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42401</v>
          </cell>
          <cell r="Z176">
            <v>42430</v>
          </cell>
          <cell r="AA176">
            <v>295387.016754827</v>
          </cell>
          <cell r="AB176">
            <v>39713.173578640664</v>
          </cell>
          <cell r="AC176">
            <v>0.13444454673376127</v>
          </cell>
          <cell r="AE176" t="str">
            <v>1-44-38866-03434-00-9003-3-01</v>
          </cell>
          <cell r="AF176">
            <v>5236180938</v>
          </cell>
          <cell r="AG176">
            <v>42403</v>
          </cell>
          <cell r="AH176">
            <v>42432</v>
          </cell>
          <cell r="AI176">
            <v>412800</v>
          </cell>
          <cell r="AJ176">
            <v>54699.97</v>
          </cell>
          <cell r="AL176">
            <v>54699.97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42401</v>
          </cell>
          <cell r="Z177">
            <v>42430</v>
          </cell>
          <cell r="AA177">
            <v>413684.08739608061</v>
          </cell>
          <cell r="AB177">
            <v>55794.217338517759</v>
          </cell>
          <cell r="AC177">
            <v>0.13487155788300301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42401</v>
          </cell>
          <cell r="Z178">
            <v>42430</v>
          </cell>
          <cell r="AA178">
            <v>11133.382200834343</v>
          </cell>
          <cell r="AB178">
            <v>1501.5766019334246</v>
          </cell>
          <cell r="AC178">
            <v>0.13487155788300301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42401</v>
          </cell>
          <cell r="Z179">
            <v>42430</v>
          </cell>
          <cell r="AA179">
            <v>11989.927803044699</v>
          </cell>
          <cell r="AB179">
            <v>1617.1002417013701</v>
          </cell>
          <cell r="AC179">
            <v>0.13487155788300301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42401</v>
          </cell>
          <cell r="Z180">
            <v>42430</v>
          </cell>
          <cell r="AA180">
            <v>112846.35919773951</v>
          </cell>
          <cell r="AB180">
            <v>15219.764266424074</v>
          </cell>
          <cell r="AC180">
            <v>0.13487155788300301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42401</v>
          </cell>
          <cell r="Z181">
            <v>42430</v>
          </cell>
          <cell r="AA181">
            <v>2522.4165379198935</v>
          </cell>
          <cell r="AB181">
            <v>336.71372288548196</v>
          </cell>
          <cell r="AC181">
            <v>0.1334885487085937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42401</v>
          </cell>
          <cell r="Z182">
            <v>42430</v>
          </cell>
          <cell r="AA182">
            <v>308345.94464724016</v>
          </cell>
          <cell r="AB182">
            <v>41160.652651140452</v>
          </cell>
          <cell r="AC182">
            <v>0.1334885487085937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42401</v>
          </cell>
          <cell r="Z183">
            <v>42430</v>
          </cell>
          <cell r="AA183">
            <v>242145.61722580795</v>
          </cell>
          <cell r="AB183">
            <v>32555.157751490606</v>
          </cell>
          <cell r="AC183">
            <v>0.13444454673376127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42401</v>
          </cell>
          <cell r="Z184">
            <v>42430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42401</v>
          </cell>
          <cell r="Z185">
            <v>42430</v>
          </cell>
          <cell r="AA185">
            <v>31618.082881144477</v>
          </cell>
          <cell r="AB185">
            <v>4264.3800954538638</v>
          </cell>
          <cell r="AC185">
            <v>0.13487155788300301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42401</v>
          </cell>
          <cell r="Z186">
            <v>42430</v>
          </cell>
          <cell r="AA186">
            <v>8258.6378019157037</v>
          </cell>
          <cell r="AB186">
            <v>1113.8553463358305</v>
          </cell>
          <cell r="AC186">
            <v>0.13487155788300301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42401</v>
          </cell>
          <cell r="Z187">
            <v>42430</v>
          </cell>
          <cell r="AA187">
            <v>7920.9598544074661</v>
          </cell>
          <cell r="AB187">
            <v>1068.3121954926596</v>
          </cell>
          <cell r="AC187">
            <v>0.13487155788300301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42401</v>
          </cell>
          <cell r="Z188">
            <v>42430</v>
          </cell>
          <cell r="AA188">
            <v>4729.6808688276105</v>
          </cell>
          <cell r="AB188">
            <v>637.899427068215</v>
          </cell>
          <cell r="AC188">
            <v>0.13487155788300301</v>
          </cell>
        </row>
        <row r="189">
          <cell r="R189">
            <v>3160</v>
          </cell>
          <cell r="S189" t="str">
            <v>Campus Develpmt &amp; Facilities</v>
          </cell>
          <cell r="Y189">
            <v>42403</v>
          </cell>
          <cell r="Z189">
            <v>42432</v>
          </cell>
          <cell r="AA189">
            <v>45496</v>
          </cell>
          <cell r="AB189">
            <v>5793.7803004473653</v>
          </cell>
          <cell r="AC189">
            <v>0.12734702612201876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42401</v>
          </cell>
          <cell r="Z190">
            <v>42430</v>
          </cell>
          <cell r="AA190">
            <v>148090.42582647392</v>
          </cell>
          <cell r="AB190">
            <v>19973.186438773842</v>
          </cell>
          <cell r="AC190">
            <v>0.13487155788300301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42401</v>
          </cell>
          <cell r="Z191">
            <v>42430</v>
          </cell>
          <cell r="AA191">
            <v>106207.24733010962</v>
          </cell>
          <cell r="AB191">
            <v>14177.451308430995</v>
          </cell>
          <cell r="AC191">
            <v>0.1334885487085937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42401</v>
          </cell>
          <cell r="Z192">
            <v>42430</v>
          </cell>
          <cell r="AA192">
            <v>108399.4839674626</v>
          </cell>
          <cell r="AB192">
            <v>14470.089795577052</v>
          </cell>
          <cell r="AC192">
            <v>0.1334885487085937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42401</v>
          </cell>
          <cell r="Z193">
            <v>42430</v>
          </cell>
          <cell r="AA193">
            <v>70026.605849982923</v>
          </cell>
          <cell r="AB193">
            <v>9444.5974242462089</v>
          </cell>
          <cell r="AC193">
            <v>0.13487155788300301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42401</v>
          </cell>
          <cell r="Z194">
            <v>42430</v>
          </cell>
          <cell r="AA194">
            <v>74243.851726865032</v>
          </cell>
          <cell r="AB194">
            <v>9910.704017555232</v>
          </cell>
          <cell r="AC194">
            <v>0.1334885487085937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42401</v>
          </cell>
          <cell r="Z195">
            <v>42430</v>
          </cell>
          <cell r="AA195">
            <v>2616.8600556096826</v>
          </cell>
          <cell r="AB195">
            <v>349.32085099682632</v>
          </cell>
          <cell r="AC195">
            <v>0.1334885487085937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42401</v>
          </cell>
          <cell r="Z196">
            <v>42430</v>
          </cell>
          <cell r="AA196">
            <v>12448.072732223347</v>
          </cell>
          <cell r="AB196">
            <v>1661.6751632435132</v>
          </cell>
          <cell r="AC196">
            <v>0.1334885487085937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42401</v>
          </cell>
          <cell r="Z197">
            <v>42430</v>
          </cell>
          <cell r="AA197">
            <v>94536.220393462747</v>
          </cell>
          <cell r="AB197">
            <v>12709.879300722057</v>
          </cell>
          <cell r="AC197">
            <v>0.13444454673376127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42401</v>
          </cell>
          <cell r="Z198">
            <v>42430</v>
          </cell>
          <cell r="AA198">
            <v>113634.77795387863</v>
          </cell>
          <cell r="AB198">
            <v>15277.576215200821</v>
          </cell>
          <cell r="AC198">
            <v>0.13444454673376127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42401</v>
          </cell>
          <cell r="Z199">
            <v>42430</v>
          </cell>
          <cell r="AA199">
            <v>53520.804546544772</v>
          </cell>
          <cell r="AB199">
            <v>7195.5803080864416</v>
          </cell>
          <cell r="AC199">
            <v>0.13444454673376127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42401</v>
          </cell>
          <cell r="Z200">
            <v>42430</v>
          </cell>
          <cell r="AA200">
            <v>70453.24812160994</v>
          </cell>
          <cell r="AB200">
            <v>9472.0550096310672</v>
          </cell>
          <cell r="AC200">
            <v>0.13444454673376127</v>
          </cell>
        </row>
        <row r="201">
          <cell r="R201" t="str">
            <v>5010</v>
          </cell>
          <cell r="S201" t="str">
            <v>Brian Kennedy Field</v>
          </cell>
          <cell r="Y201">
            <v>42401</v>
          </cell>
          <cell r="Z201">
            <v>42430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42401</v>
          </cell>
          <cell r="Z202">
            <v>42430</v>
          </cell>
          <cell r="AA202">
            <v>1953.8188927748961</v>
          </cell>
          <cell r="AB202">
            <v>260.81244843595232</v>
          </cell>
          <cell r="AC202">
            <v>0.1334885487085937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42401</v>
          </cell>
          <cell r="Z203">
            <v>42430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42401</v>
          </cell>
          <cell r="Z205">
            <v>42430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42401</v>
          </cell>
          <cell r="AH205">
            <v>42430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42401</v>
          </cell>
          <cell r="Z206">
            <v>42430</v>
          </cell>
          <cell r="AC206">
            <v>0</v>
          </cell>
          <cell r="AE206" t="str">
            <v>1-63-43981-03000-00-0000-3-01</v>
          </cell>
          <cell r="AG206">
            <v>42401</v>
          </cell>
          <cell r="AH206">
            <v>42430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42412</v>
          </cell>
          <cell r="AH209">
            <v>42440</v>
          </cell>
          <cell r="AI209">
            <v>0</v>
          </cell>
          <cell r="AJ209">
            <v>110</v>
          </cell>
          <cell r="AL209">
            <v>110</v>
          </cell>
        </row>
        <row r="212">
          <cell r="AA212">
            <v>12057051.534858674</v>
          </cell>
          <cell r="AB212">
            <v>1625128.5100000002</v>
          </cell>
          <cell r="AC212">
            <v>0.13478656081891327</v>
          </cell>
        </row>
        <row r="216">
          <cell r="Z216" t="str">
            <v>ALLOCATED DWP PAYMENT:</v>
          </cell>
          <cell r="AA216">
            <v>12057051.534858674</v>
          </cell>
          <cell r="AB216">
            <v>1625128.5100000002</v>
          </cell>
          <cell r="AD216" t="str">
            <v>DOES NOT INCLUDE $110 ENERGY INFORMATION SYSTEM CHARGES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4176720.5283866706</v>
          </cell>
          <cell r="AB218">
            <v>561282.68652825814</v>
          </cell>
          <cell r="AC218">
            <v>0.13438358700649361</v>
          </cell>
          <cell r="AO218">
            <v>33605.476528258179</v>
          </cell>
        </row>
        <row r="219">
          <cell r="S219">
            <v>1656479</v>
          </cell>
          <cell r="Z219" t="str">
            <v>Jefferson 1</v>
          </cell>
          <cell r="AA219">
            <v>2973360.3951634415</v>
          </cell>
          <cell r="AB219">
            <v>396925.91473708907</v>
          </cell>
          <cell r="AC219">
            <v>0.13349404780622653</v>
          </cell>
          <cell r="AO219">
            <v>-33567.345262910938</v>
          </cell>
        </row>
        <row r="220">
          <cell r="S220">
            <v>1134280</v>
          </cell>
          <cell r="Z220" t="str">
            <v>Jefferson 2</v>
          </cell>
          <cell r="AA220">
            <v>2284651.9213085603</v>
          </cell>
          <cell r="AB220">
            <v>307027.91873465275</v>
          </cell>
          <cell r="AC220">
            <v>0.13438717551284532</v>
          </cell>
          <cell r="AO220">
            <v>5.868734652758576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 refreshError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42430</v>
          </cell>
          <cell r="Z9">
            <v>42459</v>
          </cell>
          <cell r="AA9">
            <v>39971.385679142375</v>
          </cell>
          <cell r="AB9">
            <v>5372.0786989889439</v>
          </cell>
          <cell r="AC9">
            <v>0.13439811024095091</v>
          </cell>
          <cell r="AD9">
            <v>0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42430</v>
          </cell>
          <cell r="Z10">
            <v>42459</v>
          </cell>
          <cell r="AA10">
            <v>32355.258734664076</v>
          </cell>
          <cell r="AB10">
            <v>4348.4856302958724</v>
          </cell>
          <cell r="AC10">
            <v>0.13439811024095091</v>
          </cell>
          <cell r="AD10">
            <v>0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42430</v>
          </cell>
          <cell r="Z11">
            <v>42339</v>
          </cell>
          <cell r="AA11">
            <v>4310.6529661802051</v>
          </cell>
          <cell r="AB11">
            <v>579.34361255916929</v>
          </cell>
          <cell r="AC11">
            <v>0.13439811024095091</v>
          </cell>
          <cell r="AD11">
            <v>0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42430</v>
          </cell>
          <cell r="Z12">
            <v>42459</v>
          </cell>
          <cell r="AC12">
            <v>0</v>
          </cell>
          <cell r="AD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42430</v>
          </cell>
          <cell r="Z13">
            <v>42459</v>
          </cell>
          <cell r="AA13">
            <v>74333.528917533229</v>
          </cell>
          <cell r="AB13">
            <v>10011.16209979745</v>
          </cell>
          <cell r="AC13">
            <v>0.13467895639535676</v>
          </cell>
          <cell r="AD13">
            <v>0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42430</v>
          </cell>
          <cell r="Z14">
            <v>42459</v>
          </cell>
          <cell r="AA14">
            <v>31404.062848940812</v>
          </cell>
          <cell r="AB14">
            <v>4229.466411069543</v>
          </cell>
          <cell r="AC14">
            <v>0.13467895639535676</v>
          </cell>
          <cell r="AD14">
            <v>0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42430</v>
          </cell>
          <cell r="Z15">
            <v>42459</v>
          </cell>
          <cell r="AA15">
            <v>102806.26922087873</v>
          </cell>
          <cell r="AB15">
            <v>13845.841049568035</v>
          </cell>
          <cell r="AC15">
            <v>0.13467895639535676</v>
          </cell>
          <cell r="AD15">
            <v>0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42430</v>
          </cell>
          <cell r="Z16">
            <v>42459</v>
          </cell>
          <cell r="AC16">
            <v>0</v>
          </cell>
          <cell r="AD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42430</v>
          </cell>
          <cell r="Z17">
            <v>42459</v>
          </cell>
          <cell r="AA17">
            <v>172097.45936018025</v>
          </cell>
          <cell r="AB17">
            <v>23129.573315277074</v>
          </cell>
          <cell r="AC17">
            <v>0.13439811024095091</v>
          </cell>
          <cell r="AD17">
            <v>0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42430</v>
          </cell>
          <cell r="Z18">
            <v>42459</v>
          </cell>
          <cell r="AA18">
            <v>91990.838386551448</v>
          </cell>
          <cell r="AB18">
            <v>12363.394838633241</v>
          </cell>
          <cell r="AC18">
            <v>0.13439811024095091</v>
          </cell>
          <cell r="AD18">
            <v>0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42430</v>
          </cell>
          <cell r="Z19">
            <v>42459</v>
          </cell>
          <cell r="AA19">
            <v>46904.432537777204</v>
          </cell>
          <cell r="AB19">
            <v>6303.8670950014257</v>
          </cell>
          <cell r="AC19">
            <v>0.13439811024095091</v>
          </cell>
          <cell r="AD19">
            <v>0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42430</v>
          </cell>
          <cell r="Z20">
            <v>42459</v>
          </cell>
          <cell r="AA20">
            <v>25550.590104797117</v>
          </cell>
          <cell r="AB20">
            <v>3397.900260049455</v>
          </cell>
          <cell r="AC20">
            <v>0.13298715396054592</v>
          </cell>
          <cell r="AD20">
            <v>0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42430</v>
          </cell>
          <cell r="Z21">
            <v>42459</v>
          </cell>
          <cell r="AA21">
            <v>1335.8970845990359</v>
          </cell>
          <cell r="AB21">
            <v>179.91722520539778</v>
          </cell>
          <cell r="AC21">
            <v>0.13467895639535676</v>
          </cell>
          <cell r="AD21">
            <v>0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42430</v>
          </cell>
          <cell r="Z22">
            <v>42459</v>
          </cell>
          <cell r="AA22">
            <v>10407.956046651545</v>
          </cell>
          <cell r="AB22">
            <v>1401.7326585717733</v>
          </cell>
          <cell r="AC22">
            <v>0.13467895639535676</v>
          </cell>
          <cell r="AD22">
            <v>0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42430</v>
          </cell>
          <cell r="Z23">
            <v>42459</v>
          </cell>
          <cell r="AA23">
            <v>86105.33234441973</v>
          </cell>
          <cell r="AB23">
            <v>11596.576300221808</v>
          </cell>
          <cell r="AC23">
            <v>0.13467895639535676</v>
          </cell>
          <cell r="AD23">
            <v>0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42430</v>
          </cell>
          <cell r="Z24">
            <v>42459</v>
          </cell>
          <cell r="AC24">
            <v>0</v>
          </cell>
          <cell r="AD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42430</v>
          </cell>
          <cell r="Z25">
            <v>42459</v>
          </cell>
          <cell r="AA25">
            <v>150673.16209760666</v>
          </cell>
          <cell r="AB25">
            <v>20250.188249946808</v>
          </cell>
          <cell r="AC25">
            <v>0.13439811024095091</v>
          </cell>
          <cell r="AD25">
            <v>0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42430</v>
          </cell>
          <cell r="Z26">
            <v>42459</v>
          </cell>
          <cell r="AA26">
            <v>113242.80553611183</v>
          </cell>
          <cell r="AB26">
            <v>15219.619062436925</v>
          </cell>
          <cell r="AC26">
            <v>0.13439811024095091</v>
          </cell>
          <cell r="AD26">
            <v>0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42430</v>
          </cell>
          <cell r="Z27">
            <v>42459</v>
          </cell>
          <cell r="AA27">
            <v>3930.4170653716778</v>
          </cell>
          <cell r="AB27">
            <v>522.6949794017404</v>
          </cell>
          <cell r="AC27">
            <v>0.13298715396054592</v>
          </cell>
          <cell r="AD27">
            <v>0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42430</v>
          </cell>
          <cell r="Z28">
            <v>42459</v>
          </cell>
          <cell r="AA28">
            <v>42053.987894484562</v>
          </cell>
          <cell r="AB28">
            <v>5651.976501114551</v>
          </cell>
          <cell r="AC28">
            <v>0.13439811024095091</v>
          </cell>
          <cell r="AD28">
            <v>0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42430</v>
          </cell>
          <cell r="Z29">
            <v>42459</v>
          </cell>
          <cell r="AA29">
            <v>266791.5383433883</v>
          </cell>
          <cell r="AB29">
            <v>35479.847385043067</v>
          </cell>
          <cell r="AC29">
            <v>0.13298715396054592</v>
          </cell>
          <cell r="AD29">
            <v>0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42430</v>
          </cell>
          <cell r="Z30">
            <v>42459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42430</v>
          </cell>
          <cell r="Z31">
            <v>42459</v>
          </cell>
          <cell r="AA31">
            <v>46216.969372664993</v>
          </cell>
          <cell r="AB31">
            <v>6146.2632215524345</v>
          </cell>
          <cell r="AC31">
            <v>0.13298715396054592</v>
          </cell>
          <cell r="AD31">
            <v>0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42430</v>
          </cell>
          <cell r="Z32">
            <v>42459</v>
          </cell>
          <cell r="AA32">
            <v>86928.381301529458</v>
          </cell>
          <cell r="AB32">
            <v>11683.010173230372</v>
          </cell>
          <cell r="AC32">
            <v>0.13439811024095091</v>
          </cell>
          <cell r="AD32">
            <v>0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42430</v>
          </cell>
          <cell r="Z33">
            <v>42459</v>
          </cell>
          <cell r="AA33">
            <v>132707.06777607129</v>
          </cell>
          <cell r="AB33">
            <v>17835.579124721775</v>
          </cell>
          <cell r="AC33">
            <v>0.13439811024095091</v>
          </cell>
          <cell r="AD33">
            <v>0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42430</v>
          </cell>
          <cell r="Z34">
            <v>42459</v>
          </cell>
          <cell r="AD34">
            <v>0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42430</v>
          </cell>
          <cell r="Z35">
            <v>42459</v>
          </cell>
          <cell r="AA35">
            <v>106237.77407035806</v>
          </cell>
          <cell r="AB35">
            <v>14128.2592167204</v>
          </cell>
          <cell r="AC35">
            <v>0.13298715396054592</v>
          </cell>
          <cell r="AD35">
            <v>0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42430</v>
          </cell>
          <cell r="Z36">
            <v>42459</v>
          </cell>
          <cell r="AA36">
            <v>115189.09716625068</v>
          </cell>
          <cell r="AB36">
            <v>15513.547394473988</v>
          </cell>
          <cell r="AC36">
            <v>0.13467895639535676</v>
          </cell>
          <cell r="AD36">
            <v>0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42430</v>
          </cell>
          <cell r="Z37">
            <v>42459</v>
          </cell>
          <cell r="AA37">
            <v>148991.72570901681</v>
          </cell>
          <cell r="AB37">
            <v>19813.985565712446</v>
          </cell>
          <cell r="AC37">
            <v>0.13298715396054592</v>
          </cell>
          <cell r="AD37">
            <v>0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42430</v>
          </cell>
          <cell r="Z38">
            <v>42459</v>
          </cell>
          <cell r="AA38">
            <v>50218.805055869307</v>
          </cell>
          <cell r="AB38">
            <v>6678.4559596795334</v>
          </cell>
          <cell r="AC38">
            <v>0.13298715396054592</v>
          </cell>
          <cell r="AD38">
            <v>0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42430</v>
          </cell>
          <cell r="Z39">
            <v>42459</v>
          </cell>
          <cell r="AA39">
            <v>19110.276021939579</v>
          </cell>
          <cell r="AB39">
            <v>2541.4212195582077</v>
          </cell>
          <cell r="AC39">
            <v>0.13298715396054592</v>
          </cell>
          <cell r="AD39">
            <v>0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42430</v>
          </cell>
          <cell r="Z40">
            <v>42459</v>
          </cell>
          <cell r="AA40">
            <v>49545.076963665924</v>
          </cell>
          <cell r="AB40">
            <v>6588.8587781541373</v>
          </cell>
          <cell r="AC40">
            <v>0.13298715396054592</v>
          </cell>
          <cell r="AD40">
            <v>0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42430</v>
          </cell>
          <cell r="Z41">
            <v>42459</v>
          </cell>
          <cell r="AA41">
            <v>29080.16516254449</v>
          </cell>
          <cell r="AB41">
            <v>3916.4862958961021</v>
          </cell>
          <cell r="AC41">
            <v>0.13467895639535676</v>
          </cell>
          <cell r="AD41">
            <v>0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42430</v>
          </cell>
          <cell r="Z42">
            <v>42459</v>
          </cell>
          <cell r="AA42">
            <v>15840</v>
          </cell>
          <cell r="AB42">
            <v>2374.578</v>
          </cell>
          <cell r="AC42">
            <v>0.14991022727272726</v>
          </cell>
          <cell r="AD42">
            <v>0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42430</v>
          </cell>
          <cell r="Z43">
            <v>42459</v>
          </cell>
          <cell r="AA43">
            <v>44221.635100603467</v>
          </cell>
          <cell r="AB43">
            <v>5943.3041892860092</v>
          </cell>
          <cell r="AC43">
            <v>0.13439811024095091</v>
          </cell>
          <cell r="AD43">
            <v>0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42430</v>
          </cell>
          <cell r="Z44">
            <v>42459</v>
          </cell>
          <cell r="AA44">
            <v>12904.037259988338</v>
          </cell>
          <cell r="AB44">
            <v>1734.2782222212509</v>
          </cell>
          <cell r="AC44">
            <v>0.13439811024095091</v>
          </cell>
          <cell r="AD44">
            <v>0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42430</v>
          </cell>
          <cell r="Z45">
            <v>42459</v>
          </cell>
          <cell r="AA45">
            <v>6952.6360394372068</v>
          </cell>
          <cell r="AB45">
            <v>936.37376598814956</v>
          </cell>
          <cell r="AC45">
            <v>0.13467895639535676</v>
          </cell>
          <cell r="AD45">
            <v>0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42430</v>
          </cell>
          <cell r="Z46">
            <v>42459</v>
          </cell>
          <cell r="AA46">
            <v>2702.1442376916307</v>
          </cell>
          <cell r="AB46">
            <v>363.92196596203564</v>
          </cell>
          <cell r="AC46">
            <v>0.13467895639535676</v>
          </cell>
          <cell r="AD46">
            <v>0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42430</v>
          </cell>
          <cell r="Z47">
            <v>42459</v>
          </cell>
          <cell r="AA47">
            <v>151985.17537876006</v>
          </cell>
          <cell r="AB47">
            <v>20212.075917815739</v>
          </cell>
          <cell r="AC47">
            <v>0.13298715396054592</v>
          </cell>
          <cell r="AD47">
            <v>0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42430</v>
          </cell>
          <cell r="Z48">
            <v>42459</v>
          </cell>
          <cell r="AA48">
            <v>437.56055805106234</v>
          </cell>
          <cell r="AB48">
            <v>58.189933300599016</v>
          </cell>
          <cell r="AC48">
            <v>0.13298715396054592</v>
          </cell>
          <cell r="AD48">
            <v>0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42430</v>
          </cell>
          <cell r="Z49">
            <v>42459</v>
          </cell>
          <cell r="AA49">
            <v>46124.08777753605</v>
          </cell>
          <cell r="AB49">
            <v>6133.9111625609212</v>
          </cell>
          <cell r="AC49">
            <v>0.13298715396054592</v>
          </cell>
          <cell r="AD49">
            <v>0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42430</v>
          </cell>
          <cell r="Z50">
            <v>42459</v>
          </cell>
          <cell r="AA50">
            <v>6705.6</v>
          </cell>
          <cell r="AB50">
            <v>1005.23802</v>
          </cell>
          <cell r="AC50">
            <v>0.14991022727272726</v>
          </cell>
          <cell r="AD50">
            <v>0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42430</v>
          </cell>
          <cell r="Z51">
            <v>42459</v>
          </cell>
          <cell r="AA51">
            <v>56275.702119221147</v>
          </cell>
          <cell r="AB51">
            <v>7483.9454619666831</v>
          </cell>
          <cell r="AC51">
            <v>0.13298715396054592</v>
          </cell>
          <cell r="AD51">
            <v>0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42430</v>
          </cell>
          <cell r="Z52">
            <v>42459</v>
          </cell>
          <cell r="AA52">
            <v>66452.518632853476</v>
          </cell>
          <cell r="AB52">
            <v>8837.3313264933313</v>
          </cell>
          <cell r="AC52">
            <v>0.13298715396054592</v>
          </cell>
          <cell r="AD52">
            <v>0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42430</v>
          </cell>
          <cell r="Z53">
            <v>42459</v>
          </cell>
          <cell r="AC53">
            <v>0</v>
          </cell>
          <cell r="AD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  <cell r="AD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42430</v>
          </cell>
          <cell r="Z55">
            <v>42459</v>
          </cell>
          <cell r="AA55">
            <v>383838.76517820475</v>
          </cell>
          <cell r="AB55">
            <v>51587.204677170834</v>
          </cell>
          <cell r="AC55">
            <v>0.13439811024095091</v>
          </cell>
          <cell r="AD55">
            <v>0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42430</v>
          </cell>
          <cell r="Z56">
            <v>42459</v>
          </cell>
          <cell r="AA56">
            <v>3959.0323316894487</v>
          </cell>
          <cell r="AB56">
            <v>532.08646376188744</v>
          </cell>
          <cell r="AC56">
            <v>0.13439811024095091</v>
          </cell>
          <cell r="AD56">
            <v>0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42430</v>
          </cell>
          <cell r="Z57">
            <v>42459</v>
          </cell>
          <cell r="AA57">
            <v>64033.857964850147</v>
          </cell>
          <cell r="AB57">
            <v>8515.6805278592565</v>
          </cell>
          <cell r="AC57">
            <v>0.13298715396054592</v>
          </cell>
          <cell r="AD57">
            <v>0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42430</v>
          </cell>
          <cell r="Z58">
            <v>42459</v>
          </cell>
          <cell r="AA58">
            <v>375906.3235620599</v>
          </cell>
          <cell r="AB58">
            <v>49990.712126290447</v>
          </cell>
          <cell r="AC58">
            <v>0.13298715396054592</v>
          </cell>
          <cell r="AD58">
            <v>0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42430</v>
          </cell>
          <cell r="Z59">
            <v>42459</v>
          </cell>
          <cell r="AA59">
            <v>20697.454608569376</v>
          </cell>
          <cell r="AB59">
            <v>2781.6987861895846</v>
          </cell>
          <cell r="AC59">
            <v>0.13439811024095091</v>
          </cell>
          <cell r="AD59">
            <v>0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42430</v>
          </cell>
          <cell r="Z60">
            <v>42459</v>
          </cell>
          <cell r="AA60">
            <v>49988.37351564187</v>
          </cell>
          <cell r="AB60">
            <v>6718.342934521067</v>
          </cell>
          <cell r="AC60">
            <v>0.13439811024095091</v>
          </cell>
          <cell r="AD60">
            <v>0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42430</v>
          </cell>
          <cell r="Z61">
            <v>42459</v>
          </cell>
          <cell r="AA61">
            <v>138642.45608815327</v>
          </cell>
          <cell r="AB61">
            <v>18633.284097411819</v>
          </cell>
          <cell r="AC61">
            <v>0.13439811024095091</v>
          </cell>
          <cell r="AD61">
            <v>0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42430</v>
          </cell>
          <cell r="Z62">
            <v>42459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42430</v>
          </cell>
          <cell r="Z63">
            <v>42459</v>
          </cell>
          <cell r="AA63">
            <v>19293.212202066126</v>
          </cell>
          <cell r="AB63">
            <v>2592.9712604353426</v>
          </cell>
          <cell r="AC63">
            <v>0.13439811024095091</v>
          </cell>
          <cell r="AD63">
            <v>0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42430</v>
          </cell>
          <cell r="Z64">
            <v>42459</v>
          </cell>
          <cell r="AA64">
            <v>39793.935265649656</v>
          </cell>
          <cell r="AB64">
            <v>5348.2296987540467</v>
          </cell>
          <cell r="AC64">
            <v>0.13439811024095091</v>
          </cell>
          <cell r="AD64">
            <v>0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42430</v>
          </cell>
          <cell r="Z65">
            <v>42459</v>
          </cell>
          <cell r="AA65">
            <v>5804.1806122947582</v>
          </cell>
          <cell r="AB65">
            <v>780.07090578958093</v>
          </cell>
          <cell r="AC65">
            <v>0.13439811024095091</v>
          </cell>
          <cell r="AD65">
            <v>0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42416</v>
          </cell>
          <cell r="Z66">
            <v>42444</v>
          </cell>
          <cell r="AA66">
            <v>14080</v>
          </cell>
          <cell r="AB66">
            <v>2569.44</v>
          </cell>
          <cell r="AC66">
            <v>0.18248863636363638</v>
          </cell>
          <cell r="AD66">
            <v>0</v>
          </cell>
          <cell r="AE66" t="str">
            <v>1-52-34746-03601-00-9002-0-02</v>
          </cell>
          <cell r="AF66">
            <v>5236180930</v>
          </cell>
          <cell r="AG66">
            <v>42416</v>
          </cell>
          <cell r="AH66">
            <v>42444</v>
          </cell>
          <cell r="AI66">
            <v>9720</v>
          </cell>
          <cell r="AJ66">
            <v>1588.49</v>
          </cell>
          <cell r="AL66">
            <v>1588.49</v>
          </cell>
          <cell r="AM66">
            <v>2569.44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42430</v>
          </cell>
          <cell r="Z67">
            <v>42459</v>
          </cell>
          <cell r="AA67">
            <v>8124.2977858474196</v>
          </cell>
          <cell r="AB67">
            <v>1080.4272404678131</v>
          </cell>
          <cell r="AC67">
            <v>0.13298715396054592</v>
          </cell>
          <cell r="AD67">
            <v>0</v>
          </cell>
          <cell r="AE67" t="str">
            <v>1-52-34746-03601-00-9003-0-01</v>
          </cell>
          <cell r="AF67">
            <v>5236180931</v>
          </cell>
          <cell r="AG67">
            <v>42416</v>
          </cell>
          <cell r="AH67">
            <v>42444</v>
          </cell>
          <cell r="AI67">
            <v>4360</v>
          </cell>
          <cell r="AJ67">
            <v>980.95</v>
          </cell>
          <cell r="AL67">
            <v>980.95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42430</v>
          </cell>
          <cell r="Z68">
            <v>42459</v>
          </cell>
          <cell r="AA68">
            <v>19927.364837059369</v>
          </cell>
          <cell r="AB68">
            <v>2650.0835356139833</v>
          </cell>
          <cell r="AC68">
            <v>0.13298715396054592</v>
          </cell>
          <cell r="AD68">
            <v>0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42430</v>
          </cell>
          <cell r="Z69">
            <v>42459</v>
          </cell>
          <cell r="AA69">
            <v>40758.866940712032</v>
          </cell>
          <cell r="AB69">
            <v>5420.4057131018762</v>
          </cell>
          <cell r="AC69">
            <v>0.13298715396054592</v>
          </cell>
          <cell r="AD69">
            <v>0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42430</v>
          </cell>
          <cell r="Z70">
            <v>42459</v>
          </cell>
          <cell r="AA70">
            <v>36058.563469423905</v>
          </cell>
          <cell r="AB70">
            <v>4856.3296971777463</v>
          </cell>
          <cell r="AC70">
            <v>0.13467895639535676</v>
          </cell>
          <cell r="AD70">
            <v>0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42430</v>
          </cell>
          <cell r="Z71">
            <v>42459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42430</v>
          </cell>
          <cell r="Z72">
            <v>42459</v>
          </cell>
          <cell r="AA72">
            <v>38520.660544848659</v>
          </cell>
          <cell r="AB72">
            <v>5177.1039824608179</v>
          </cell>
          <cell r="AC72">
            <v>0.13439811024095091</v>
          </cell>
          <cell r="AD72">
            <v>0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42430</v>
          </cell>
          <cell r="Z73">
            <v>42459</v>
          </cell>
          <cell r="AA73">
            <v>39201.340489842369</v>
          </cell>
          <cell r="AB73">
            <v>5268.5860807468871</v>
          </cell>
          <cell r="AC73">
            <v>0.13439811024095091</v>
          </cell>
          <cell r="AD73">
            <v>0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42430</v>
          </cell>
          <cell r="Z74">
            <v>42459</v>
          </cell>
          <cell r="AA74">
            <v>36597.747700710912</v>
          </cell>
          <cell r="AB74">
            <v>4918.6681300506534</v>
          </cell>
          <cell r="AC74">
            <v>0.13439811024095091</v>
          </cell>
          <cell r="AD74">
            <v>0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42430</v>
          </cell>
          <cell r="Z75">
            <v>42459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42430</v>
          </cell>
          <cell r="Z76">
            <v>42459</v>
          </cell>
          <cell r="AA76">
            <v>15220.41818641041</v>
          </cell>
          <cell r="AB76">
            <v>2049.8700372466628</v>
          </cell>
          <cell r="AC76">
            <v>0.13467895639535676</v>
          </cell>
          <cell r="AD76">
            <v>0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42430</v>
          </cell>
          <cell r="Z78">
            <v>42459</v>
          </cell>
          <cell r="AA78">
            <v>15178.250719836862</v>
          </cell>
          <cell r="AB78">
            <v>2039.9282135094272</v>
          </cell>
          <cell r="AC78">
            <v>0.13439811024095091</v>
          </cell>
          <cell r="AD78">
            <v>0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42430</v>
          </cell>
          <cell r="Z79">
            <v>42459</v>
          </cell>
          <cell r="AA79">
            <v>17938.012673593101</v>
          </cell>
          <cell r="AB79">
            <v>2410.8350048091402</v>
          </cell>
          <cell r="AC79">
            <v>0.13439811024095091</v>
          </cell>
          <cell r="AD79">
            <v>0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42430</v>
          </cell>
          <cell r="Z80">
            <v>42459</v>
          </cell>
          <cell r="AA80">
            <v>43350.143958053333</v>
          </cell>
          <cell r="AB80">
            <v>5826.1774266355442</v>
          </cell>
          <cell r="AC80">
            <v>0.13439811024095091</v>
          </cell>
          <cell r="AD80">
            <v>0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42430</v>
          </cell>
          <cell r="Z81">
            <v>42459</v>
          </cell>
          <cell r="AC81">
            <v>0</v>
          </cell>
          <cell r="AD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42430</v>
          </cell>
          <cell r="Z82">
            <v>42459</v>
          </cell>
          <cell r="AA82">
            <v>13659.121571324804</v>
          </cell>
          <cell r="AB82">
            <v>1835.7601267374616</v>
          </cell>
          <cell r="AC82">
            <v>0.13439811024095091</v>
          </cell>
          <cell r="AD82">
            <v>0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42430</v>
          </cell>
          <cell r="Z83">
            <v>42459</v>
          </cell>
          <cell r="AA83">
            <v>209610.1365332416</v>
          </cell>
          <cell r="AB83">
            <v>28230.074438185224</v>
          </cell>
          <cell r="AC83">
            <v>0.13467895639535676</v>
          </cell>
          <cell r="AD83">
            <v>0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42430</v>
          </cell>
          <cell r="Z84">
            <v>42459</v>
          </cell>
          <cell r="AA84">
            <v>132043.52681813418</v>
          </cell>
          <cell r="AB84">
            <v>17560.092830456684</v>
          </cell>
          <cell r="AC84">
            <v>0.13298715396054592</v>
          </cell>
          <cell r="AD84">
            <v>0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42430</v>
          </cell>
          <cell r="Z85">
            <v>42459</v>
          </cell>
          <cell r="AA85">
            <v>2823.6288000000004</v>
          </cell>
          <cell r="AB85">
            <v>379.50197958635391</v>
          </cell>
          <cell r="AC85">
            <v>0.13440222014535122</v>
          </cell>
          <cell r="AD85">
            <v>0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42430</v>
          </cell>
          <cell r="Z86">
            <v>42459</v>
          </cell>
          <cell r="AA86">
            <v>11408.3712</v>
          </cell>
          <cell r="AB86">
            <v>1533.3104175222845</v>
          </cell>
          <cell r="AC86">
            <v>0.13440222014535122</v>
          </cell>
          <cell r="AD86">
            <v>0</v>
          </cell>
          <cell r="AM86">
            <v>14232</v>
          </cell>
          <cell r="AN86">
            <v>1912.8123971086384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42430</v>
          </cell>
          <cell r="Z87">
            <v>42459</v>
          </cell>
          <cell r="AA87">
            <v>11040</v>
          </cell>
          <cell r="AB87">
            <v>2069.5</v>
          </cell>
          <cell r="AC87">
            <v>0.18745471014492754</v>
          </cell>
          <cell r="AD87">
            <v>0</v>
          </cell>
          <cell r="AE87" t="str">
            <v>1-63-86192-02715-00-9001-0-01</v>
          </cell>
          <cell r="AF87">
            <v>5236180897</v>
          </cell>
          <cell r="AG87">
            <v>42430</v>
          </cell>
          <cell r="AH87">
            <v>42459</v>
          </cell>
          <cell r="AI87">
            <v>11040</v>
          </cell>
          <cell r="AJ87">
            <v>2069.5</v>
          </cell>
          <cell r="AL87">
            <v>2069.5</v>
          </cell>
          <cell r="AM87" t="str">
            <v>Meter #96116409</v>
          </cell>
          <cell r="AN87">
            <v>1912.8123971086384</v>
          </cell>
          <cell r="AO87">
            <v>1912.8123971086384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42430</v>
          </cell>
          <cell r="Z88">
            <v>42459</v>
          </cell>
          <cell r="AA88">
            <v>24023.329784090482</v>
          </cell>
          <cell r="AB88">
            <v>3228.6901246769121</v>
          </cell>
          <cell r="AC88">
            <v>0.13439811024095091</v>
          </cell>
          <cell r="AD88">
            <v>0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42430</v>
          </cell>
          <cell r="Z89">
            <v>42459</v>
          </cell>
          <cell r="AC89">
            <v>0</v>
          </cell>
          <cell r="AD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42430</v>
          </cell>
          <cell r="Z90">
            <v>42459</v>
          </cell>
          <cell r="AA90">
            <v>28496.232271714889</v>
          </cell>
          <cell r="AB90">
            <v>3829.8397663056808</v>
          </cell>
          <cell r="AC90">
            <v>0.13439811024095091</v>
          </cell>
          <cell r="AD90">
            <v>0</v>
          </cell>
          <cell r="AM90">
            <v>28496</v>
          </cell>
          <cell r="AN90">
            <v>3829.8397663056808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42430</v>
          </cell>
          <cell r="Z91">
            <v>42459</v>
          </cell>
          <cell r="AA91">
            <v>0</v>
          </cell>
          <cell r="AB91">
            <v>0</v>
          </cell>
          <cell r="AC91">
            <v>0</v>
          </cell>
          <cell r="AN91">
            <v>3829.8397663056808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42430</v>
          </cell>
          <cell r="Z92">
            <v>42459</v>
          </cell>
          <cell r="AA92">
            <v>44972.239149020366</v>
          </cell>
          <cell r="AB92">
            <v>6044.1839549324477</v>
          </cell>
          <cell r="AC92">
            <v>0.13439811024095091</v>
          </cell>
          <cell r="AD92">
            <v>-26373.572560763241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42430</v>
          </cell>
          <cell r="Z93">
            <v>42459</v>
          </cell>
          <cell r="AA93">
            <v>7927.2967274082594</v>
          </cell>
          <cell r="AB93">
            <v>1067.6400502836714</v>
          </cell>
          <cell r="AC93">
            <v>0.13467895639535676</v>
          </cell>
          <cell r="AD93">
            <v>-63418.514982375345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42430</v>
          </cell>
          <cell r="Z94">
            <v>42459</v>
          </cell>
          <cell r="AA94">
            <v>71345.811709783608</v>
          </cell>
          <cell r="AB94">
            <v>9608.7794642532808</v>
          </cell>
          <cell r="AC94">
            <v>0.13467895639535676</v>
          </cell>
          <cell r="AD94">
            <v>29793.933281070145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42430</v>
          </cell>
          <cell r="Z95">
            <v>42459</v>
          </cell>
          <cell r="AA95">
            <v>41551.878428713462</v>
          </cell>
          <cell r="AB95">
            <v>5584.4939377808223</v>
          </cell>
          <cell r="AC95">
            <v>0.13439811024095091</v>
          </cell>
          <cell r="AD95">
            <v>35092.678037737809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42430</v>
          </cell>
          <cell r="Z96">
            <v>42459</v>
          </cell>
          <cell r="AA96">
            <v>6459.2003909756522</v>
          </cell>
          <cell r="AB96">
            <v>869.91836780508117</v>
          </cell>
          <cell r="AC96">
            <v>0.13467895639535676</v>
          </cell>
          <cell r="AD96">
            <v>6459.2003909756522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42430</v>
          </cell>
          <cell r="Z97">
            <v>42459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42430</v>
          </cell>
          <cell r="Z98">
            <v>42459</v>
          </cell>
          <cell r="AA98">
            <v>0</v>
          </cell>
          <cell r="AB98">
            <v>0</v>
          </cell>
          <cell r="AC98">
            <v>0</v>
          </cell>
          <cell r="AD98">
            <v>-18637.492250276817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42430</v>
          </cell>
          <cell r="Z99">
            <v>42459</v>
          </cell>
          <cell r="AA99">
            <v>18637.492250276817</v>
          </cell>
          <cell r="AB99">
            <v>2478.5470513260443</v>
          </cell>
          <cell r="AC99">
            <v>0.13298715396054592</v>
          </cell>
          <cell r="AD99">
            <v>9693.2564836704332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42430</v>
          </cell>
          <cell r="Z100">
            <v>42459</v>
          </cell>
          <cell r="AA100">
            <v>8944.2357666063835</v>
          </cell>
          <cell r="AB100">
            <v>1204.6003388005715</v>
          </cell>
          <cell r="AC100">
            <v>0.13467895639535676</v>
          </cell>
          <cell r="AD100">
            <v>-15345.771027444272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42430</v>
          </cell>
          <cell r="Z101">
            <v>42459</v>
          </cell>
          <cell r="AA101">
            <v>24290.006794050656</v>
          </cell>
          <cell r="AB101">
            <v>3271.3527658588678</v>
          </cell>
          <cell r="AC101">
            <v>0.13467895639535676</v>
          </cell>
          <cell r="AD101">
            <v>-32026.751682437636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42430</v>
          </cell>
          <cell r="Z102">
            <v>42459</v>
          </cell>
          <cell r="AA102">
            <v>56316.758476488292</v>
          </cell>
          <cell r="AB102">
            <v>7489.405430071628</v>
          </cell>
          <cell r="AC102">
            <v>0.13298715396054592</v>
          </cell>
          <cell r="AD102">
            <v>47978.653540501065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42430</v>
          </cell>
          <cell r="Z103">
            <v>42459</v>
          </cell>
          <cell r="AA103">
            <v>8338.104935987225</v>
          </cell>
          <cell r="AB103">
            <v>1108.8608448613209</v>
          </cell>
          <cell r="AC103">
            <v>0.13298715396054592</v>
          </cell>
          <cell r="AD103">
            <v>0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42430</v>
          </cell>
          <cell r="Z104">
            <v>42459</v>
          </cell>
          <cell r="AA104">
            <v>82602.623817443004</v>
          </cell>
          <cell r="AB104">
            <v>10985.087851155349</v>
          </cell>
          <cell r="AC104">
            <v>0.13298715396054592</v>
          </cell>
          <cell r="AD104">
            <v>0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  <cell r="AD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42430</v>
          </cell>
          <cell r="Z106">
            <v>42459</v>
          </cell>
          <cell r="AA106">
            <v>90801.488590797278</v>
          </cell>
          <cell r="AB106">
            <v>12203.548473668419</v>
          </cell>
          <cell r="AC106">
            <v>0.13439811024095091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42430</v>
          </cell>
          <cell r="Z107">
            <v>42459</v>
          </cell>
          <cell r="AA107">
            <v>3637.5734672107542</v>
          </cell>
          <cell r="AB107">
            <v>488.88299985574901</v>
          </cell>
          <cell r="AC107">
            <v>0.13439811024095091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42430</v>
          </cell>
          <cell r="Z108">
            <v>42459</v>
          </cell>
          <cell r="AA108">
            <v>12379.875218063402</v>
          </cell>
          <cell r="AB108">
            <v>1646.3643716369445</v>
          </cell>
          <cell r="AC108">
            <v>0.13298715396054592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42430</v>
          </cell>
          <cell r="Z109">
            <v>42459</v>
          </cell>
          <cell r="AA109">
            <v>76354.240769104217</v>
          </cell>
          <cell r="AB109">
            <v>10261.865668250177</v>
          </cell>
          <cell r="AC109">
            <v>0.13439811024095091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42430</v>
          </cell>
          <cell r="Z110">
            <v>42459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42430</v>
          </cell>
          <cell r="Z111">
            <v>42459</v>
          </cell>
          <cell r="AA111">
            <v>172453.45211402205</v>
          </cell>
          <cell r="AB111">
            <v>22934.093787315083</v>
          </cell>
          <cell r="AC111">
            <v>0.13298715396054592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42430</v>
          </cell>
          <cell r="Z112">
            <v>42459</v>
          </cell>
          <cell r="AA112">
            <v>32184.906587880912</v>
          </cell>
          <cell r="AB112">
            <v>4334.629630937844</v>
          </cell>
          <cell r="AC112">
            <v>0.13467895639535676</v>
          </cell>
          <cell r="AE112" t="str">
            <v>1-44-38866-03717-00-9001-3-01</v>
          </cell>
          <cell r="AF112">
            <v>5236180951</v>
          </cell>
          <cell r="AG112">
            <v>42430</v>
          </cell>
          <cell r="AH112">
            <v>42459</v>
          </cell>
          <cell r="AL112">
            <v>0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42430</v>
          </cell>
          <cell r="Z113">
            <v>42459</v>
          </cell>
          <cell r="AA113">
            <v>0</v>
          </cell>
          <cell r="AB113">
            <v>0</v>
          </cell>
          <cell r="AC113">
            <v>0</v>
          </cell>
          <cell r="AE113" t="str">
            <v>1-44-38866-03717-00-9001-3-01</v>
          </cell>
          <cell r="AF113">
            <v>5236180952</v>
          </cell>
          <cell r="AG113">
            <v>42430</v>
          </cell>
          <cell r="AH113">
            <v>42459</v>
          </cell>
          <cell r="AL113">
            <v>0</v>
          </cell>
          <cell r="AM113">
            <v>0</v>
          </cell>
          <cell r="AN113">
            <v>0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42430</v>
          </cell>
          <cell r="Z114">
            <v>42459</v>
          </cell>
          <cell r="AA114">
            <v>0</v>
          </cell>
          <cell r="AB114">
            <v>0</v>
          </cell>
          <cell r="AC114">
            <v>0</v>
          </cell>
          <cell r="AE114" t="str">
            <v>1-44-38866-03717-00-9001-3-02</v>
          </cell>
          <cell r="AG114">
            <v>42430</v>
          </cell>
          <cell r="AH114">
            <v>42459</v>
          </cell>
          <cell r="AL114">
            <v>0</v>
          </cell>
          <cell r="AM114">
            <v>0</v>
          </cell>
          <cell r="AN114">
            <v>0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42430</v>
          </cell>
          <cell r="Z115">
            <v>42459</v>
          </cell>
          <cell r="AA115">
            <v>48442.661882779306</v>
          </cell>
          <cell r="AB115">
            <v>6524.207147385845</v>
          </cell>
          <cell r="AC115">
            <v>0.13467895639535676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42430</v>
          </cell>
          <cell r="Z116">
            <v>42459</v>
          </cell>
          <cell r="AA116">
            <v>3760</v>
          </cell>
          <cell r="AB116">
            <v>671.32</v>
          </cell>
          <cell r="AC116">
            <v>0.17854255319148937</v>
          </cell>
          <cell r="AE116" t="str">
            <v>1-63-00433-00909-00-9001-3-01</v>
          </cell>
          <cell r="AF116">
            <v>5236180925</v>
          </cell>
          <cell r="AG116">
            <v>42430</v>
          </cell>
          <cell r="AH116">
            <v>42459</v>
          </cell>
          <cell r="AI116">
            <v>3760</v>
          </cell>
          <cell r="AJ116">
            <v>671.32</v>
          </cell>
          <cell r="AL116">
            <v>671.32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42430</v>
          </cell>
          <cell r="Z118">
            <v>42459</v>
          </cell>
          <cell r="AA118">
            <v>46464.190324772462</v>
          </cell>
          <cell r="AB118">
            <v>6257.7486626955879</v>
          </cell>
          <cell r="AC118">
            <v>0.13467895639535676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42430</v>
          </cell>
          <cell r="Z119">
            <v>42459</v>
          </cell>
          <cell r="AA119">
            <v>30369.760747302189</v>
          </cell>
          <cell r="AB119">
            <v>4090.167683423329</v>
          </cell>
          <cell r="AC119">
            <v>0.13467895639535676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42432</v>
          </cell>
          <cell r="Z120">
            <v>42461</v>
          </cell>
          <cell r="AA120">
            <v>5940</v>
          </cell>
          <cell r="AB120">
            <v>1176.03</v>
          </cell>
          <cell r="AC120">
            <v>0.19798484848484849</v>
          </cell>
          <cell r="AE120" t="str">
            <v>1-44-43997-03440-00-9001-2-01</v>
          </cell>
          <cell r="AF120">
            <v>5236180234</v>
          </cell>
          <cell r="AG120">
            <v>42432</v>
          </cell>
          <cell r="AH120">
            <v>42461</v>
          </cell>
          <cell r="AI120">
            <v>340</v>
          </cell>
          <cell r="AJ120">
            <v>181.53</v>
          </cell>
          <cell r="AL120">
            <v>181.53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42430</v>
          </cell>
          <cell r="Z121">
            <v>42459</v>
          </cell>
          <cell r="AA121">
            <v>68061.643658931876</v>
          </cell>
          <cell r="AB121">
            <v>9051.3242840781877</v>
          </cell>
          <cell r="AC121">
            <v>0.13298715396054592</v>
          </cell>
          <cell r="AE121" t="str">
            <v>1-44-43997-03440-00-9001-2-01</v>
          </cell>
          <cell r="AF121">
            <v>5236180235</v>
          </cell>
          <cell r="AG121">
            <v>42432</v>
          </cell>
          <cell r="AH121">
            <v>42461</v>
          </cell>
          <cell r="AI121">
            <v>5600</v>
          </cell>
          <cell r="AJ121">
            <v>994.5</v>
          </cell>
          <cell r="AL121">
            <v>994.5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42430</v>
          </cell>
          <cell r="Z123">
            <v>42459</v>
          </cell>
          <cell r="AA123">
            <v>51814.960707008991</v>
          </cell>
          <cell r="AB123">
            <v>6963.832801231134</v>
          </cell>
          <cell r="AC123">
            <v>0.13439811024095091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42430</v>
          </cell>
          <cell r="Z124">
            <v>42459</v>
          </cell>
          <cell r="AA124">
            <v>512</v>
          </cell>
          <cell r="AB124">
            <v>80.930000000000007</v>
          </cell>
          <cell r="AC124">
            <v>0.15806640625000001</v>
          </cell>
          <cell r="AE124" t="str">
            <v>1-63-43981-02712-00-0000-0-01</v>
          </cell>
          <cell r="AF124">
            <v>5236180909</v>
          </cell>
          <cell r="AG124">
            <v>42430</v>
          </cell>
          <cell r="AH124">
            <v>42459</v>
          </cell>
          <cell r="AI124">
            <v>512</v>
          </cell>
          <cell r="AJ124">
            <v>80.930000000000007</v>
          </cell>
          <cell r="AL124">
            <v>80.930000000000007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42430</v>
          </cell>
          <cell r="Z125">
            <v>42459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42430</v>
          </cell>
          <cell r="AH125">
            <v>42459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42430</v>
          </cell>
          <cell r="Z126">
            <v>42459</v>
          </cell>
          <cell r="AA126">
            <v>25878.656425801866</v>
          </cell>
          <cell r="AB126">
            <v>3485.3104403409884</v>
          </cell>
          <cell r="AC126">
            <v>0.13467895639535676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42430</v>
          </cell>
          <cell r="Z127">
            <v>42459</v>
          </cell>
          <cell r="AA127">
            <v>42313.203106259323</v>
          </cell>
          <cell r="AB127">
            <v>5686.8145357227868</v>
          </cell>
          <cell r="AC127">
            <v>0.13439811024095091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42430</v>
          </cell>
          <cell r="Z128">
            <v>42459</v>
          </cell>
          <cell r="AA128">
            <v>25306.925110545479</v>
          </cell>
          <cell r="AB128">
            <v>3401.2029108665802</v>
          </cell>
          <cell r="AC128">
            <v>0.13439811024095091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42430</v>
          </cell>
          <cell r="Z129">
            <v>42459</v>
          </cell>
          <cell r="AA129">
            <v>225722.126267913</v>
          </cell>
          <cell r="AB129">
            <v>30336.627209976814</v>
          </cell>
          <cell r="AC129">
            <v>0.13439811024095091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42430</v>
          </cell>
          <cell r="Z130">
            <v>42459</v>
          </cell>
          <cell r="AA130">
            <v>683.88013279340021</v>
          </cell>
          <cell r="AB130">
            <v>91.912197478763545</v>
          </cell>
          <cell r="AC130">
            <v>0.13439811024095091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42430</v>
          </cell>
          <cell r="Z131">
            <v>42459</v>
          </cell>
          <cell r="AA131">
            <v>1397.8420309038709</v>
          </cell>
          <cell r="AB131">
            <v>187.86732736885315</v>
          </cell>
          <cell r="AC131">
            <v>0.13439811024095091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42430</v>
          </cell>
          <cell r="Z132">
            <v>42459</v>
          </cell>
          <cell r="AA132">
            <v>20611.861809857419</v>
          </cell>
          <cell r="AB132">
            <v>2741.1128399210052</v>
          </cell>
          <cell r="AC132">
            <v>0.13298715396054592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42430</v>
          </cell>
          <cell r="Z133">
            <v>42459</v>
          </cell>
          <cell r="AA133">
            <v>19327.448447265211</v>
          </cell>
          <cell r="AB133">
            <v>2570.3023623209729</v>
          </cell>
          <cell r="AC133">
            <v>0.13298715396054592</v>
          </cell>
          <cell r="AE133" t="str">
            <v>1-63-34103-03131-00-9002-0-01</v>
          </cell>
          <cell r="AF133">
            <v>5236180880</v>
          </cell>
          <cell r="AG133">
            <v>42430</v>
          </cell>
          <cell r="AH133">
            <v>42459</v>
          </cell>
          <cell r="AI133">
            <v>27280</v>
          </cell>
          <cell r="AJ133">
            <v>5574.15</v>
          </cell>
          <cell r="AL133">
            <v>5574.15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42430</v>
          </cell>
          <cell r="Z134">
            <v>42459</v>
          </cell>
          <cell r="AA134">
            <v>2133.2853322448477</v>
          </cell>
          <cell r="AB134">
            <v>283.69954492101994</v>
          </cell>
          <cell r="AC134">
            <v>0.13298715396054592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42430</v>
          </cell>
          <cell r="Z136">
            <v>42459</v>
          </cell>
          <cell r="AA136">
            <v>71600</v>
          </cell>
          <cell r="AB136">
            <v>12314.119999999999</v>
          </cell>
          <cell r="AC136">
            <v>0.1719849162011173</v>
          </cell>
          <cell r="AE136" t="str">
            <v>1-63-34103-03131-00-9001-0-01</v>
          </cell>
          <cell r="AF136">
            <v>5236180879</v>
          </cell>
          <cell r="AG136">
            <v>42430</v>
          </cell>
          <cell r="AH136">
            <v>42459</v>
          </cell>
          <cell r="AI136">
            <v>44320</v>
          </cell>
          <cell r="AJ136">
            <v>6739.97</v>
          </cell>
          <cell r="AL136">
            <v>6739.97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42432</v>
          </cell>
          <cell r="Z137">
            <v>42461</v>
          </cell>
          <cell r="AA137">
            <v>0</v>
          </cell>
          <cell r="AB137">
            <v>0</v>
          </cell>
          <cell r="AC137">
            <v>0</v>
          </cell>
          <cell r="AE137" t="str">
            <v>1-44-38866-03447-00-9001-4-01</v>
          </cell>
          <cell r="AF137">
            <v>5236180950</v>
          </cell>
          <cell r="AG137">
            <v>42432</v>
          </cell>
          <cell r="AH137">
            <v>42461</v>
          </cell>
          <cell r="AI137">
            <v>45040</v>
          </cell>
          <cell r="AJ137">
            <v>6059.21</v>
          </cell>
          <cell r="AL137">
            <v>6059.21</v>
          </cell>
          <cell r="AM137">
            <v>0</v>
          </cell>
          <cell r="AN137">
            <v>0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42432</v>
          </cell>
          <cell r="Z138">
            <v>42461</v>
          </cell>
          <cell r="AA138">
            <v>0</v>
          </cell>
          <cell r="AB138">
            <v>0</v>
          </cell>
          <cell r="AC138">
            <v>0</v>
          </cell>
          <cell r="AM138">
            <v>0</v>
          </cell>
          <cell r="AN138">
            <v>0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42432</v>
          </cell>
          <cell r="Z139">
            <v>42461</v>
          </cell>
          <cell r="AA139">
            <v>45040</v>
          </cell>
          <cell r="AB139">
            <v>6059.21</v>
          </cell>
          <cell r="AC139">
            <v>0.1345295293072824</v>
          </cell>
          <cell r="AE139" t="str">
            <v>1-44-38866-03447-00-9004-0-01</v>
          </cell>
          <cell r="AF139">
            <v>5236180944</v>
          </cell>
          <cell r="AG139">
            <v>42432</v>
          </cell>
          <cell r="AH139">
            <v>42461</v>
          </cell>
          <cell r="AL139">
            <v>0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42430</v>
          </cell>
          <cell r="Z140">
            <v>42459</v>
          </cell>
          <cell r="AA140">
            <v>18731.144714014157</v>
          </cell>
          <cell r="AB140">
            <v>2522.6910221738299</v>
          </cell>
          <cell r="AC140">
            <v>0.13467895639535676</v>
          </cell>
          <cell r="AE140" t="str">
            <v>1-44-38866-03447-00-9004-0-01</v>
          </cell>
          <cell r="AF140">
            <v>5236180945</v>
          </cell>
          <cell r="AG140">
            <v>42432</v>
          </cell>
          <cell r="AH140">
            <v>42461</v>
          </cell>
          <cell r="AL140">
            <v>0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42430</v>
          </cell>
          <cell r="Z141">
            <v>42459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42430</v>
          </cell>
          <cell r="Z142">
            <v>42459</v>
          </cell>
          <cell r="AA142">
            <v>21843.085457923466</v>
          </cell>
          <cell r="AB142">
            <v>2941.8039539277256</v>
          </cell>
          <cell r="AC142">
            <v>0.13467895639535676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42430</v>
          </cell>
          <cell r="Z143">
            <v>42459</v>
          </cell>
          <cell r="AA143">
            <v>41983.561699999998</v>
          </cell>
          <cell r="AB143">
            <v>5583.2362971425464</v>
          </cell>
          <cell r="AC143">
            <v>0.132986246784835</v>
          </cell>
          <cell r="AM143">
            <v>71681</v>
          </cell>
          <cell r="AN143">
            <v>9532.5871557837563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42430</v>
          </cell>
          <cell r="Z144">
            <v>42459</v>
          </cell>
          <cell r="AA144">
            <v>29697.438300000002</v>
          </cell>
          <cell r="AB144">
            <v>3949.3508586412104</v>
          </cell>
          <cell r="AC144">
            <v>0.13298624678483498</v>
          </cell>
          <cell r="AN144">
            <v>9532.5871557837563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42430</v>
          </cell>
          <cell r="Z145">
            <v>42459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42430</v>
          </cell>
          <cell r="Z146">
            <v>42459</v>
          </cell>
          <cell r="AA146">
            <v>28044</v>
          </cell>
          <cell r="AB146">
            <v>4224.2411857713732</v>
          </cell>
          <cell r="AC146">
            <v>0.15062905383580705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42430</v>
          </cell>
          <cell r="AH147">
            <v>42459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42430</v>
          </cell>
          <cell r="AH148">
            <v>42459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42430</v>
          </cell>
          <cell r="Z149">
            <v>42459</v>
          </cell>
          <cell r="AA149">
            <v>137021.00093474617</v>
          </cell>
          <cell r="AB149">
            <v>18415.363588953453</v>
          </cell>
          <cell r="AC149">
            <v>0.13439811024095089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42430</v>
          </cell>
          <cell r="Z151">
            <v>42459</v>
          </cell>
          <cell r="AA151">
            <v>117674.02557764528</v>
          </cell>
          <cell r="AB151">
            <v>15815.166662080848</v>
          </cell>
          <cell r="AC151">
            <v>0.13439811024095091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42430</v>
          </cell>
          <cell r="Z152">
            <v>42459</v>
          </cell>
          <cell r="AA152">
            <v>97237.607329478327</v>
          </cell>
          <cell r="AB152">
            <v>12931.352656680443</v>
          </cell>
          <cell r="AC152">
            <v>0.13298715396054592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42430</v>
          </cell>
          <cell r="Z153">
            <v>42459</v>
          </cell>
          <cell r="AA153">
            <v>5845.424</v>
          </cell>
          <cell r="AB153">
            <v>785.60807806368553</v>
          </cell>
          <cell r="AC153">
            <v>0.13439710756032164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42430</v>
          </cell>
          <cell r="Z154">
            <v>42459</v>
          </cell>
          <cell r="AA154">
            <v>59466.576000000001</v>
          </cell>
          <cell r="AB154">
            <v>7992.135810916041</v>
          </cell>
          <cell r="AC154">
            <v>0.13439710756032164</v>
          </cell>
          <cell r="AM154">
            <v>65312</v>
          </cell>
          <cell r="AN154">
            <v>8777.7438889797268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42430</v>
          </cell>
          <cell r="Z155">
            <v>42459</v>
          </cell>
          <cell r="AA155">
            <v>2921.451442335494</v>
          </cell>
          <cell r="AB155">
            <v>392.63755301059075</v>
          </cell>
          <cell r="AC155">
            <v>0.13439811024095091</v>
          </cell>
          <cell r="AN155">
            <v>8777.7438889797268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42430</v>
          </cell>
          <cell r="Z156">
            <v>42459</v>
          </cell>
          <cell r="AA156">
            <v>784.92606256855981</v>
          </cell>
          <cell r="AB156">
            <v>105.49257948808483</v>
          </cell>
          <cell r="AC156">
            <v>0.13439811024095091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42430</v>
          </cell>
          <cell r="Z157">
            <v>42459</v>
          </cell>
          <cell r="AA157">
            <v>80915.628449390017</v>
          </cell>
          <cell r="AB157">
            <v>10874.907552556944</v>
          </cell>
          <cell r="AC157">
            <v>0.13439811024095091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42430</v>
          </cell>
          <cell r="Z158">
            <v>42459</v>
          </cell>
          <cell r="AA158">
            <v>180143.04328818154</v>
          </cell>
          <cell r="AB158">
            <v>24261.477071935868</v>
          </cell>
          <cell r="AC158">
            <v>0.13467895639535676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42432</v>
          </cell>
          <cell r="Z159">
            <v>42461</v>
          </cell>
          <cell r="AA159">
            <v>10480</v>
          </cell>
          <cell r="AB159">
            <v>1631</v>
          </cell>
          <cell r="AC159">
            <v>0.15562977099236641</v>
          </cell>
          <cell r="AE159" t="str">
            <v>1-44-43997-03500-00-9001-1-01</v>
          </cell>
          <cell r="AF159">
            <v>5236180240</v>
          </cell>
          <cell r="AG159">
            <v>42432</v>
          </cell>
          <cell r="AH159">
            <v>42461</v>
          </cell>
          <cell r="AI159">
            <v>11360</v>
          </cell>
          <cell r="AJ159">
            <v>1702.75</v>
          </cell>
          <cell r="AL159">
            <v>1702.75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42430</v>
          </cell>
          <cell r="Z160">
            <v>42459</v>
          </cell>
          <cell r="AA160">
            <v>13901.69580654118</v>
          </cell>
          <cell r="AB160">
            <v>1868.3616455436866</v>
          </cell>
          <cell r="AC160">
            <v>0.13439811024095091</v>
          </cell>
          <cell r="AE160" t="str">
            <v>1-44-43997-03500-00-9001-1-01</v>
          </cell>
          <cell r="AF160">
            <v>5236180241</v>
          </cell>
          <cell r="AG160">
            <v>42432</v>
          </cell>
          <cell r="AH160">
            <v>42461</v>
          </cell>
          <cell r="AI160">
            <v>-880</v>
          </cell>
          <cell r="AJ160">
            <v>-71.749999999999972</v>
          </cell>
          <cell r="AL160">
            <v>-71.749999999999972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42430</v>
          </cell>
          <cell r="Z161">
            <v>42459</v>
          </cell>
          <cell r="AA161">
            <v>30254.399999999998</v>
          </cell>
          <cell r="AB161">
            <v>4535.44398</v>
          </cell>
          <cell r="AC161">
            <v>0.14991022727272729</v>
          </cell>
          <cell r="AE161" t="str">
            <v>1-63-00433-00746-00-0000-4-01</v>
          </cell>
          <cell r="AF161">
            <v>5236180919</v>
          </cell>
          <cell r="AG161">
            <v>42430</v>
          </cell>
          <cell r="AH161">
            <v>42459</v>
          </cell>
          <cell r="AI161">
            <v>52800</v>
          </cell>
          <cell r="AJ161">
            <v>7915.26</v>
          </cell>
          <cell r="AL161">
            <v>7915.26</v>
          </cell>
          <cell r="AM161">
            <v>52800</v>
          </cell>
          <cell r="AN161">
            <v>7915.26</v>
          </cell>
          <cell r="AO161" t="str">
            <v>#42</v>
          </cell>
          <cell r="AP161">
            <v>0.3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42430</v>
          </cell>
          <cell r="Z162">
            <v>42459</v>
          </cell>
          <cell r="AA162">
            <v>35360.315083266432</v>
          </cell>
          <cell r="AB162">
            <v>4752.3595247156009</v>
          </cell>
          <cell r="AC162">
            <v>0.13439811024095091</v>
          </cell>
          <cell r="AL162" t="str">
            <v>METER #APMYV00125-000015</v>
          </cell>
          <cell r="AM162">
            <v>52799.999999999993</v>
          </cell>
          <cell r="AN162">
            <v>7915.2599999999993</v>
          </cell>
          <cell r="AO162" t="str">
            <v>#52</v>
          </cell>
          <cell r="AP162">
            <v>0.127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42430</v>
          </cell>
          <cell r="Z163">
            <v>42459</v>
          </cell>
          <cell r="AC163">
            <v>0</v>
          </cell>
          <cell r="AO163" t="str">
            <v>#261</v>
          </cell>
          <cell r="AP163">
            <v>0.57299999999999995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42430</v>
          </cell>
          <cell r="Z164">
            <v>42459</v>
          </cell>
          <cell r="AA164">
            <v>76756.87601441193</v>
          </cell>
          <cell r="AB164">
            <v>10337.53595778879</v>
          </cell>
          <cell r="AC164">
            <v>0.13467895639535676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42430</v>
          </cell>
          <cell r="Z165">
            <v>42459</v>
          </cell>
          <cell r="AA165">
            <v>6416.4279688661254</v>
          </cell>
          <cell r="AB165">
            <v>864.15782263286849</v>
          </cell>
          <cell r="AC165">
            <v>0.13467895639535676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42430</v>
          </cell>
          <cell r="Z166">
            <v>42459</v>
          </cell>
          <cell r="AA166">
            <v>3560</v>
          </cell>
          <cell r="AB166">
            <v>646.15</v>
          </cell>
          <cell r="AC166">
            <v>0.18150280898876403</v>
          </cell>
          <cell r="AE166" t="str">
            <v>1-63-96497-01102-00-0000-1-01</v>
          </cell>
          <cell r="AF166">
            <v>5236180896</v>
          </cell>
          <cell r="AG166">
            <v>42430</v>
          </cell>
          <cell r="AH166">
            <v>42459</v>
          </cell>
          <cell r="AI166">
            <v>3560</v>
          </cell>
          <cell r="AJ166">
            <v>646.15</v>
          </cell>
          <cell r="AL166">
            <v>646.15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42430</v>
          </cell>
          <cell r="Z167">
            <v>42459</v>
          </cell>
          <cell r="AA167">
            <v>3080</v>
          </cell>
          <cell r="AB167">
            <v>596.80999999999995</v>
          </cell>
          <cell r="AC167">
            <v>0.19376948051948051</v>
          </cell>
          <cell r="AE167" t="str">
            <v>1-63-43981-02653-00-0000-0-01</v>
          </cell>
          <cell r="AF167">
            <v>5236180908</v>
          </cell>
          <cell r="AG167">
            <v>42430</v>
          </cell>
          <cell r="AH167">
            <v>42459</v>
          </cell>
          <cell r="AI167">
            <v>3080</v>
          </cell>
          <cell r="AJ167">
            <v>596.80999999999995</v>
          </cell>
          <cell r="AL167">
            <v>596.80999999999995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42430</v>
          </cell>
          <cell r="Z168">
            <v>42459</v>
          </cell>
          <cell r="AA168">
            <v>66960</v>
          </cell>
          <cell r="AB168">
            <v>10904.09</v>
          </cell>
          <cell r="AC168">
            <v>0.16284483273596176</v>
          </cell>
          <cell r="AE168" t="str">
            <v>1-63-34103-03500-00-9001-6-01</v>
          </cell>
          <cell r="AF168">
            <v>5236180888</v>
          </cell>
          <cell r="AG168">
            <v>42430</v>
          </cell>
          <cell r="AH168">
            <v>42459</v>
          </cell>
          <cell r="AI168">
            <v>43920</v>
          </cell>
          <cell r="AJ168">
            <v>7336.5</v>
          </cell>
          <cell r="AL168">
            <v>7336.5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42430</v>
          </cell>
          <cell r="Z169">
            <v>42459</v>
          </cell>
          <cell r="AA169">
            <v>25122.233904765893</v>
          </cell>
          <cell r="AB169">
            <v>3383.4362446139189</v>
          </cell>
          <cell r="AC169">
            <v>0.13467895639535676</v>
          </cell>
          <cell r="AE169" t="str">
            <v>1-63-34103-03500-00-0000-4-01</v>
          </cell>
          <cell r="AF169">
            <v>5236180887</v>
          </cell>
          <cell r="AG169">
            <v>42430</v>
          </cell>
          <cell r="AH169">
            <v>42459</v>
          </cell>
          <cell r="AI169">
            <v>23040</v>
          </cell>
          <cell r="AJ169">
            <v>3567.59</v>
          </cell>
          <cell r="AL169">
            <v>3567.59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42430</v>
          </cell>
          <cell r="Z170">
            <v>42459</v>
          </cell>
          <cell r="AA170">
            <v>150697.17238930298</v>
          </cell>
          <cell r="AB170">
            <v>20040.788065955167</v>
          </cell>
          <cell r="AC170">
            <v>0.13298715396054592</v>
          </cell>
          <cell r="AE170" t="str">
            <v>1-63-34103-03500-00-0000-4-02</v>
          </cell>
          <cell r="AG170">
            <v>42430</v>
          </cell>
          <cell r="AH170">
            <v>42459</v>
          </cell>
          <cell r="AL170">
            <v>0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42430</v>
          </cell>
          <cell r="Z171">
            <v>42459</v>
          </cell>
          <cell r="AA171">
            <v>45136.716038013205</v>
          </cell>
          <cell r="AB171">
            <v>6002.6034050207045</v>
          </cell>
          <cell r="AC171">
            <v>0.13298715396054592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42432</v>
          </cell>
          <cell r="Z172">
            <v>42461</v>
          </cell>
          <cell r="AA172">
            <v>1475542.97</v>
          </cell>
          <cell r="AB172">
            <v>187802.06208396913</v>
          </cell>
          <cell r="AC172">
            <v>0.12727657947092461</v>
          </cell>
          <cell r="AE172" t="str">
            <v>1-44-38866-03430-00-0000-1-01</v>
          </cell>
          <cell r="AF172">
            <v>5236180933</v>
          </cell>
          <cell r="AG172">
            <v>42432</v>
          </cell>
          <cell r="AH172">
            <v>42461</v>
          </cell>
          <cell r="AI172">
            <v>169920</v>
          </cell>
          <cell r="AJ172">
            <v>24245.67</v>
          </cell>
          <cell r="AL172">
            <v>24245.67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42432</v>
          </cell>
          <cell r="Z173">
            <v>42461</v>
          </cell>
          <cell r="AA173">
            <v>16767</v>
          </cell>
          <cell r="AB173">
            <v>2134.046407988993</v>
          </cell>
          <cell r="AC173">
            <v>0.12727657947092461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42430</v>
          </cell>
          <cell r="Z174">
            <v>42459</v>
          </cell>
          <cell r="AA174">
            <v>18132</v>
          </cell>
          <cell r="AB174">
            <v>1325.6953634685888</v>
          </cell>
          <cell r="AC174">
            <v>7.3113576189531695E-2</v>
          </cell>
          <cell r="AE174" t="str">
            <v>1-44-38866-03434-00-9003-0-01</v>
          </cell>
          <cell r="AF174">
            <v>5236180939</v>
          </cell>
          <cell r="AG174">
            <v>42432</v>
          </cell>
          <cell r="AH174">
            <v>42461</v>
          </cell>
          <cell r="AI174">
            <v>963523.97</v>
          </cell>
          <cell r="AJ174">
            <v>117872.04</v>
          </cell>
          <cell r="AL174">
            <v>117872.04</v>
          </cell>
          <cell r="AM174">
            <v>0.12727657947092461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42430</v>
          </cell>
          <cell r="Z175">
            <v>42459</v>
          </cell>
          <cell r="AA175">
            <v>467613.1</v>
          </cell>
          <cell r="AB175">
            <v>70436.118814228626</v>
          </cell>
          <cell r="AC175">
            <v>0.15062905383580705</v>
          </cell>
          <cell r="AE175" t="str">
            <v>1-63-34103-03400-00-9002-0-01</v>
          </cell>
          <cell r="AF175">
            <v>5236180883</v>
          </cell>
          <cell r="AG175">
            <v>42430</v>
          </cell>
          <cell r="AH175">
            <v>42459</v>
          </cell>
          <cell r="AI175">
            <v>495657.1</v>
          </cell>
          <cell r="AJ175">
            <v>74660.36</v>
          </cell>
          <cell r="AL175">
            <v>74660.36</v>
          </cell>
          <cell r="AM175">
            <v>495657.1</v>
          </cell>
          <cell r="AN175">
            <v>0.15062905383580705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42430</v>
          </cell>
          <cell r="Z176">
            <v>42459</v>
          </cell>
          <cell r="AA176">
            <v>294455.59982022934</v>
          </cell>
          <cell r="AB176">
            <v>39574.276165704512</v>
          </cell>
          <cell r="AC176">
            <v>0.13439811024095091</v>
          </cell>
          <cell r="AE176" t="str">
            <v>1-44-38866-03434-00-9003-3-01</v>
          </cell>
          <cell r="AF176">
            <v>5236180938</v>
          </cell>
          <cell r="AG176">
            <v>42432</v>
          </cell>
          <cell r="AH176">
            <v>42461</v>
          </cell>
          <cell r="AI176">
            <v>407400</v>
          </cell>
          <cell r="AJ176">
            <v>53995.64</v>
          </cell>
          <cell r="AL176">
            <v>53995.64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42430</v>
          </cell>
          <cell r="Z177">
            <v>42459</v>
          </cell>
          <cell r="AA177">
            <v>417831.58097901632</v>
          </cell>
          <cell r="AB177">
            <v>56273.121275275917</v>
          </cell>
          <cell r="AC177">
            <v>0.13467895639535676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42430</v>
          </cell>
          <cell r="Z178">
            <v>42459</v>
          </cell>
          <cell r="AA178">
            <v>11618.288545552814</v>
          </cell>
          <cell r="AB178">
            <v>1564.7389764151803</v>
          </cell>
          <cell r="AC178">
            <v>0.13467895639535676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42430</v>
          </cell>
          <cell r="Z179">
            <v>42459</v>
          </cell>
          <cell r="AA179">
            <v>11729.242749440893</v>
          </cell>
          <cell r="AB179">
            <v>1579.6821728025045</v>
          </cell>
          <cell r="AC179">
            <v>0.13467895639535676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42430</v>
          </cell>
          <cell r="Z180">
            <v>42459</v>
          </cell>
          <cell r="AA180">
            <v>112126.84583680524</v>
          </cell>
          <cell r="AB180">
            <v>15101.126581203982</v>
          </cell>
          <cell r="AC180">
            <v>0.13467895639535676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42430</v>
          </cell>
          <cell r="Z181">
            <v>42459</v>
          </cell>
          <cell r="AA181">
            <v>2059.6231976216559</v>
          </cell>
          <cell r="AB181">
            <v>273.90342728282303</v>
          </cell>
          <cell r="AC181">
            <v>0.13298715396054592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42430</v>
          </cell>
          <cell r="Z182">
            <v>42459</v>
          </cell>
          <cell r="AA182">
            <v>308072.62120904832</v>
          </cell>
          <cell r="AB182">
            <v>40969.701107756649</v>
          </cell>
          <cell r="AC182">
            <v>0.13298715396054592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42430</v>
          </cell>
          <cell r="Z183">
            <v>42459</v>
          </cell>
          <cell r="AA183">
            <v>231865.44678227973</v>
          </cell>
          <cell r="AB183">
            <v>31162.277877712168</v>
          </cell>
          <cell r="AC183">
            <v>0.13439811024095091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42430</v>
          </cell>
          <cell r="Z184">
            <v>42459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42430</v>
          </cell>
          <cell r="Z185">
            <v>42459</v>
          </cell>
          <cell r="AA185">
            <v>32243.842186002123</v>
          </cell>
          <cell r="AB185">
            <v>4342.5670157873446</v>
          </cell>
          <cell r="AC185">
            <v>0.13467895639535676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42430</v>
          </cell>
          <cell r="Z186">
            <v>42459</v>
          </cell>
          <cell r="AA186">
            <v>6468.7289008515363</v>
          </cell>
          <cell r="AB186">
            <v>871.2016575711682</v>
          </cell>
          <cell r="AC186">
            <v>0.13467895639535676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42430</v>
          </cell>
          <cell r="Z187">
            <v>42459</v>
          </cell>
          <cell r="AA187">
            <v>8056.2492277285655</v>
          </cell>
          <cell r="AB187">
            <v>1085.0072384513821</v>
          </cell>
          <cell r="AC187">
            <v>0.13467895639535676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42430</v>
          </cell>
          <cell r="Z188">
            <v>42459</v>
          </cell>
          <cell r="AA188">
            <v>3730.0939994129999</v>
          </cell>
          <cell r="AB188">
            <v>502.36516709752533</v>
          </cell>
          <cell r="AC188">
            <v>0.13467895639535676</v>
          </cell>
        </row>
        <row r="189">
          <cell r="R189">
            <v>3160</v>
          </cell>
          <cell r="S189" t="str">
            <v>Campus Develpmt &amp; Facilities</v>
          </cell>
          <cell r="Y189">
            <v>42432</v>
          </cell>
          <cell r="Z189">
            <v>42461</v>
          </cell>
          <cell r="AA189">
            <v>48534</v>
          </cell>
          <cell r="AB189">
            <v>6177.241508041855</v>
          </cell>
          <cell r="AC189">
            <v>0.12727657947092461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42430</v>
          </cell>
          <cell r="Z190">
            <v>42459</v>
          </cell>
          <cell r="AA190">
            <v>148738.27462369436</v>
          </cell>
          <cell r="AB190">
            <v>20031.915602365134</v>
          </cell>
          <cell r="AC190">
            <v>0.13467895639535676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42430</v>
          </cell>
          <cell r="Z191">
            <v>42459</v>
          </cell>
          <cell r="AA191">
            <v>103715.46292663114</v>
          </cell>
          <cell r="AB191">
            <v>13792.824236313187</v>
          </cell>
          <cell r="AC191">
            <v>0.13298715396054592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42430</v>
          </cell>
          <cell r="Z192">
            <v>42459</v>
          </cell>
          <cell r="AA192">
            <v>109949.22389697166</v>
          </cell>
          <cell r="AB192">
            <v>14621.834366229104</v>
          </cell>
          <cell r="AC192">
            <v>0.13298715396054592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42430</v>
          </cell>
          <cell r="Z193">
            <v>42459</v>
          </cell>
          <cell r="AA193">
            <v>77082.962796831111</v>
          </cell>
          <cell r="AB193">
            <v>10381.452985339325</v>
          </cell>
          <cell r="AC193">
            <v>0.13467895639535676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42430</v>
          </cell>
          <cell r="Z194">
            <v>42459</v>
          </cell>
          <cell r="AA194">
            <v>69636.592445900824</v>
          </cell>
          <cell r="AB194">
            <v>9260.7722408908012</v>
          </cell>
          <cell r="AC194">
            <v>0.13298715396054592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42430</v>
          </cell>
          <cell r="Z195">
            <v>42459</v>
          </cell>
          <cell r="AA195">
            <v>2574.5103010538151</v>
          </cell>
          <cell r="AB195">
            <v>342.37679777925513</v>
          </cell>
          <cell r="AC195">
            <v>0.13298715396054592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42430</v>
          </cell>
          <cell r="Z196">
            <v>42459</v>
          </cell>
          <cell r="AA196">
            <v>11980.155309879685</v>
          </cell>
          <cell r="AB196">
            <v>1593.2067586662213</v>
          </cell>
          <cell r="AC196">
            <v>0.13298715396054592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42430</v>
          </cell>
          <cell r="Z197">
            <v>42459</v>
          </cell>
          <cell r="AA197">
            <v>92483.187279533493</v>
          </cell>
          <cell r="AB197">
            <v>12429.565599429252</v>
          </cell>
          <cell r="AC197">
            <v>0.13439811024095091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42430</v>
          </cell>
          <cell r="Z198">
            <v>42459</v>
          </cell>
          <cell r="AA198">
            <v>108016.17881696581</v>
          </cell>
          <cell r="AB198">
            <v>14517.170308448838</v>
          </cell>
          <cell r="AC198">
            <v>0.13439811024095091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42430</v>
          </cell>
          <cell r="Z199">
            <v>42459</v>
          </cell>
          <cell r="AA199">
            <v>45181.931454594946</v>
          </cell>
          <cell r="AB199">
            <v>6072.3662045337396</v>
          </cell>
          <cell r="AC199">
            <v>0.13439811024095091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42430</v>
          </cell>
          <cell r="Z200">
            <v>42459</v>
          </cell>
          <cell r="AA200">
            <v>71785.012628709213</v>
          </cell>
          <cell r="AB200">
            <v>9647.7700409213139</v>
          </cell>
          <cell r="AC200">
            <v>0.13439811024095091</v>
          </cell>
        </row>
        <row r="201">
          <cell r="R201" t="str">
            <v>5010</v>
          </cell>
          <cell r="S201" t="str">
            <v>Brian Kennedy Field</v>
          </cell>
          <cell r="Y201">
            <v>42430</v>
          </cell>
          <cell r="Z201">
            <v>42459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42430</v>
          </cell>
          <cell r="Z202">
            <v>42459</v>
          </cell>
          <cell r="AA202">
            <v>1149.6527873729244</v>
          </cell>
          <cell r="AB202">
            <v>152.88905223553385</v>
          </cell>
          <cell r="AC202">
            <v>0.13298715396054592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42430</v>
          </cell>
          <cell r="Z203">
            <v>42459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42430</v>
          </cell>
          <cell r="Z205">
            <v>42459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42430</v>
          </cell>
          <cell r="AH205">
            <v>42459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42430</v>
          </cell>
          <cell r="Z206">
            <v>42459</v>
          </cell>
          <cell r="AC206">
            <v>0</v>
          </cell>
          <cell r="AE206" t="str">
            <v>1-63-43981-03000-00-0000-3-01</v>
          </cell>
          <cell r="AG206">
            <v>42430</v>
          </cell>
          <cell r="AH206">
            <v>42459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42440</v>
          </cell>
          <cell r="AH209">
            <v>42472</v>
          </cell>
          <cell r="AI209">
            <v>0</v>
          </cell>
          <cell r="AJ209">
            <v>110</v>
          </cell>
          <cell r="AL209">
            <v>110</v>
          </cell>
        </row>
        <row r="212">
          <cell r="AA212">
            <v>11444862.376829151</v>
          </cell>
          <cell r="AB212">
            <v>1538161.0599999998</v>
          </cell>
          <cell r="AC212">
            <v>0.13439751474112124</v>
          </cell>
        </row>
        <row r="216">
          <cell r="Z216" t="str">
            <v>ALLOCATED DWP PAYMENT:</v>
          </cell>
          <cell r="AA216">
            <v>11444862.376829151</v>
          </cell>
          <cell r="AB216">
            <v>1538161.0599999998</v>
          </cell>
          <cell r="AD216" t="str">
            <v>DOES NOT INCLUDE $110 ENERGY INFORMATION SYSTEM CHARGES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3984712.0482563297</v>
          </cell>
          <cell r="AB218">
            <v>535284.37440964137</v>
          </cell>
          <cell r="AC218">
            <v>0.13433451851153874</v>
          </cell>
          <cell r="AO218">
            <v>23812.694409641379</v>
          </cell>
        </row>
        <row r="219">
          <cell r="S219">
            <v>1656479</v>
          </cell>
          <cell r="Z219" t="str">
            <v>Jefferson 1</v>
          </cell>
          <cell r="AA219">
            <v>2933716.0145162866</v>
          </cell>
          <cell r="AB219">
            <v>390149.70327064313</v>
          </cell>
          <cell r="AC219">
            <v>0.13298823108308638</v>
          </cell>
          <cell r="AO219">
            <v>-23872.476729356858</v>
          </cell>
        </row>
        <row r="220">
          <cell r="S220">
            <v>1134280</v>
          </cell>
          <cell r="Z220" t="str">
            <v>Jefferson 2</v>
          </cell>
          <cell r="AA220">
            <v>2201081.2440565294</v>
          </cell>
          <cell r="AB220">
            <v>295319.41231971578</v>
          </cell>
          <cell r="AC220">
            <v>0.13417015528942974</v>
          </cell>
          <cell r="AO220">
            <v>103.78231971577043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42459</v>
          </cell>
          <cell r="Z9">
            <v>42488</v>
          </cell>
          <cell r="AA9">
            <v>36355.398753589463</v>
          </cell>
          <cell r="AB9">
            <v>4620.1677574303476</v>
          </cell>
          <cell r="AC9">
            <v>0.12708340207585225</v>
          </cell>
          <cell r="AD9">
            <v>-3615.986925552912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42459</v>
          </cell>
          <cell r="Z10">
            <v>42488</v>
          </cell>
          <cell r="AA10">
            <v>40450.151816408732</v>
          </cell>
          <cell r="AB10">
            <v>5140.5429073139367</v>
          </cell>
          <cell r="AC10">
            <v>0.12708340207585225</v>
          </cell>
          <cell r="AD10">
            <v>8094.8930817446562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42459</v>
          </cell>
          <cell r="Z11">
            <v>42339</v>
          </cell>
          <cell r="AA11">
            <v>4383.5945651758193</v>
          </cell>
          <cell r="AB11">
            <v>557.08211066375941</v>
          </cell>
          <cell r="AC11">
            <v>0.12708340207585225</v>
          </cell>
          <cell r="AD11">
            <v>72.941598995614186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42459</v>
          </cell>
          <cell r="Z12">
            <v>42488</v>
          </cell>
          <cell r="AC12">
            <v>0</v>
          </cell>
          <cell r="AD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42459</v>
          </cell>
          <cell r="Z13">
            <v>42488</v>
          </cell>
          <cell r="AA13">
            <v>84558.449821003043</v>
          </cell>
          <cell r="AB13">
            <v>10767.155504845263</v>
          </cell>
          <cell r="AC13">
            <v>0.12733388002781082</v>
          </cell>
          <cell r="AD13">
            <v>10224.920903469814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42459</v>
          </cell>
          <cell r="Z14">
            <v>42488</v>
          </cell>
          <cell r="AA14">
            <v>35723.843390747097</v>
          </cell>
          <cell r="AB14">
            <v>4548.8555884496936</v>
          </cell>
          <cell r="AC14">
            <v>0.12733388002781082</v>
          </cell>
          <cell r="AD14">
            <v>4319.7805418062853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42459</v>
          </cell>
          <cell r="Z15">
            <v>42488</v>
          </cell>
          <cell r="AA15">
            <v>115533.44141319013</v>
          </cell>
          <cell r="AB15">
            <v>14711.321368107261</v>
          </cell>
          <cell r="AC15">
            <v>0.12733388002781082</v>
          </cell>
          <cell r="AD15">
            <v>12727.172192311395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42459</v>
          </cell>
          <cell r="Z16">
            <v>42488</v>
          </cell>
          <cell r="AC16">
            <v>0</v>
          </cell>
          <cell r="AD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42459</v>
          </cell>
          <cell r="Z17">
            <v>42488</v>
          </cell>
          <cell r="AA17">
            <v>174898.81284747619</v>
          </cell>
          <cell r="AB17">
            <v>22226.736155685052</v>
          </cell>
          <cell r="AC17">
            <v>0.12708340207585225</v>
          </cell>
          <cell r="AD17">
            <v>2801.3534872959426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42459</v>
          </cell>
          <cell r="Z18">
            <v>42488</v>
          </cell>
          <cell r="AA18">
            <v>114952.83172538868</v>
          </cell>
          <cell r="AB18">
            <v>14608.596933915354</v>
          </cell>
          <cell r="AC18">
            <v>0.12708340207585225</v>
          </cell>
          <cell r="AD18">
            <v>22961.99333883723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42459</v>
          </cell>
          <cell r="Z19">
            <v>42488</v>
          </cell>
          <cell r="AA19">
            <v>48741.771063161323</v>
          </cell>
          <cell r="AB19">
            <v>6194.2700899088713</v>
          </cell>
          <cell r="AC19">
            <v>0.12708340207585225</v>
          </cell>
          <cell r="AD19">
            <v>1837.3385253841188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42459</v>
          </cell>
          <cell r="Z20">
            <v>42488</v>
          </cell>
          <cell r="AA20">
            <v>25548.952221805292</v>
          </cell>
          <cell r="AB20">
            <v>3178.4531202483759</v>
          </cell>
          <cell r="AC20">
            <v>0.12440639806495306</v>
          </cell>
          <cell r="AD20">
            <v>-1.6378829918248812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42459</v>
          </cell>
          <cell r="Z21">
            <v>42488</v>
          </cell>
          <cell r="AA21">
            <v>1785.8052128281829</v>
          </cell>
          <cell r="AB21">
            <v>227.39350672330301</v>
          </cell>
          <cell r="AC21">
            <v>0.12733388002781082</v>
          </cell>
          <cell r="AD21">
            <v>449.908128229147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42459</v>
          </cell>
          <cell r="Z22">
            <v>42488</v>
          </cell>
          <cell r="AA22">
            <v>9437.6508924466343</v>
          </cell>
          <cell r="AB22">
            <v>1201.7327064831613</v>
          </cell>
          <cell r="AC22">
            <v>0.12733388002781082</v>
          </cell>
          <cell r="AD22">
            <v>-970.30515420491065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42459</v>
          </cell>
          <cell r="Z23">
            <v>42488</v>
          </cell>
          <cell r="AA23">
            <v>88009.582763553786</v>
          </cell>
          <cell r="AB23">
            <v>11206.601652912044</v>
          </cell>
          <cell r="AC23">
            <v>0.12733388002781082</v>
          </cell>
          <cell r="AD23">
            <v>1904.2504191340558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42459</v>
          </cell>
          <cell r="Z24">
            <v>42488</v>
          </cell>
          <cell r="AC24">
            <v>0</v>
          </cell>
          <cell r="AD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42459</v>
          </cell>
          <cell r="Z25">
            <v>42488</v>
          </cell>
          <cell r="AA25">
            <v>147554.30531709583</v>
          </cell>
          <cell r="AB25">
            <v>18751.703110635553</v>
          </cell>
          <cell r="AC25">
            <v>0.12708340207585225</v>
          </cell>
          <cell r="AD25">
            <v>-3118.8567805108323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42459</v>
          </cell>
          <cell r="Z26">
            <v>42488</v>
          </cell>
          <cell r="AA26">
            <v>115451.47849811366</v>
          </cell>
          <cell r="AB26">
            <v>14671.966662227389</v>
          </cell>
          <cell r="AC26">
            <v>0.12708340207585225</v>
          </cell>
          <cell r="AD26">
            <v>2208.6729620018305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42459</v>
          </cell>
          <cell r="Z27">
            <v>42488</v>
          </cell>
          <cell r="AA27">
            <v>4476.0459807519883</v>
          </cell>
          <cell r="AB27">
            <v>556.84875803846512</v>
          </cell>
          <cell r="AC27">
            <v>0.12440639806495307</v>
          </cell>
          <cell r="AD27">
            <v>545.62891538031045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42459</v>
          </cell>
          <cell r="Z28">
            <v>42488</v>
          </cell>
          <cell r="AA28">
            <v>41111.351181768085</v>
          </cell>
          <cell r="AB28">
            <v>5224.5703721141972</v>
          </cell>
          <cell r="AC28">
            <v>0.12708340207585225</v>
          </cell>
          <cell r="AD28">
            <v>-942.63671271647763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42459</v>
          </cell>
          <cell r="Z29">
            <v>42488</v>
          </cell>
          <cell r="AA29">
            <v>289968.01546242769</v>
          </cell>
          <cell r="AB29">
            <v>36073.876357723246</v>
          </cell>
          <cell r="AC29">
            <v>0.12440639806495307</v>
          </cell>
          <cell r="AD29">
            <v>23176.477119039395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42459</v>
          </cell>
          <cell r="Z30">
            <v>42488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42459</v>
          </cell>
          <cell r="Z31">
            <v>42488</v>
          </cell>
          <cell r="AA31">
            <v>47129.96423381647</v>
          </cell>
          <cell r="AB31">
            <v>5863.2690912591725</v>
          </cell>
          <cell r="AC31">
            <v>0.12440639806495306</v>
          </cell>
          <cell r="AD31">
            <v>912.99486115147738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42459</v>
          </cell>
          <cell r="Z32">
            <v>42488</v>
          </cell>
          <cell r="AA32">
            <v>84633.34970453821</v>
          </cell>
          <cell r="AB32">
            <v>10755.494009528042</v>
          </cell>
          <cell r="AC32">
            <v>0.12708340207585225</v>
          </cell>
          <cell r="AD32">
            <v>-2295.0315969912481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42459</v>
          </cell>
          <cell r="Z33">
            <v>42488</v>
          </cell>
          <cell r="AA33">
            <v>141205.28676266276</v>
          </cell>
          <cell r="AB33">
            <v>17944.848232895489</v>
          </cell>
          <cell r="AC33">
            <v>0.12708340207585225</v>
          </cell>
          <cell r="AD33">
            <v>8498.2189865914697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42459</v>
          </cell>
          <cell r="Z34">
            <v>42488</v>
          </cell>
          <cell r="AD34">
            <v>0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42459</v>
          </cell>
          <cell r="Z35">
            <v>42488</v>
          </cell>
          <cell r="AA35">
            <v>105403.56167649932</v>
          </cell>
          <cell r="AB35">
            <v>13112.877451390405</v>
          </cell>
          <cell r="AC35">
            <v>0.12440639806495306</v>
          </cell>
          <cell r="AD35">
            <v>-834.21239385874651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42459</v>
          </cell>
          <cell r="Z36">
            <v>42488</v>
          </cell>
          <cell r="AA36">
            <v>125080.48199072958</v>
          </cell>
          <cell r="AB36">
            <v>15926.983087628312</v>
          </cell>
          <cell r="AC36">
            <v>0.12733388002781082</v>
          </cell>
          <cell r="AD36">
            <v>9891.3848244788969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42459</v>
          </cell>
          <cell r="Z37">
            <v>42488</v>
          </cell>
          <cell r="AA37">
            <v>174138.50815112446</v>
          </cell>
          <cell r="AB37">
            <v>21663.944563485864</v>
          </cell>
          <cell r="AC37">
            <v>0.12440639806495306</v>
          </cell>
          <cell r="AD37">
            <v>25146.782442107651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42459</v>
          </cell>
          <cell r="Z38">
            <v>42488</v>
          </cell>
          <cell r="AA38">
            <v>51767.020764583358</v>
          </cell>
          <cell r="AB38">
            <v>6440.1485918754479</v>
          </cell>
          <cell r="AC38">
            <v>0.12440639806495306</v>
          </cell>
          <cell r="AD38">
            <v>1548.2157087140513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42459</v>
          </cell>
          <cell r="Z39">
            <v>42488</v>
          </cell>
          <cell r="AA39">
            <v>18876.160930859871</v>
          </cell>
          <cell r="AB39">
            <v>2348.3151907026681</v>
          </cell>
          <cell r="AC39">
            <v>0.12440639806495307</v>
          </cell>
          <cell r="AD39">
            <v>-234.11509107970778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42459</v>
          </cell>
          <cell r="Z40">
            <v>42488</v>
          </cell>
          <cell r="AA40">
            <v>48938.297218165935</v>
          </cell>
          <cell r="AB40">
            <v>6088.2372843441362</v>
          </cell>
          <cell r="AC40">
            <v>0.12440639806495306</v>
          </cell>
          <cell r="AD40">
            <v>-606.77974549998908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42459</v>
          </cell>
          <cell r="Z41">
            <v>42488</v>
          </cell>
          <cell r="AA41">
            <v>30869.397059434214</v>
          </cell>
          <cell r="AB41">
            <v>3930.7201016968525</v>
          </cell>
          <cell r="AC41">
            <v>0.12733388002781082</v>
          </cell>
          <cell r="AD41">
            <v>1789.2318968897234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42459</v>
          </cell>
          <cell r="Z42">
            <v>42488</v>
          </cell>
          <cell r="AA42">
            <v>8046.6203999999998</v>
          </cell>
          <cell r="AB42">
            <v>2379.6030000000001</v>
          </cell>
          <cell r="AC42">
            <v>0.29572701105671645</v>
          </cell>
          <cell r="AD42">
            <v>-7793.3796000000002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42459</v>
          </cell>
          <cell r="Z43">
            <v>42488</v>
          </cell>
          <cell r="AA43">
            <v>43224.45035528548</v>
          </cell>
          <cell r="AB43">
            <v>5493.1102040084597</v>
          </cell>
          <cell r="AC43">
            <v>0.12708340207585225</v>
          </cell>
          <cell r="AD43">
            <v>-997.18474531798711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42459</v>
          </cell>
          <cell r="Z44">
            <v>42488</v>
          </cell>
          <cell r="AA44">
            <v>13567.689252923561</v>
          </cell>
          <cell r="AB44">
            <v>1724.2281085695045</v>
          </cell>
          <cell r="AC44">
            <v>0.12708340207585225</v>
          </cell>
          <cell r="AD44">
            <v>663.65199293522346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42459</v>
          </cell>
          <cell r="Z45">
            <v>42488</v>
          </cell>
          <cell r="AA45">
            <v>6693.4580916521963</v>
          </cell>
          <cell r="AB45">
            <v>852.30398961362027</v>
          </cell>
          <cell r="AC45">
            <v>0.12733388002781082</v>
          </cell>
          <cell r="AD45">
            <v>-259.17794778501047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42459</v>
          </cell>
          <cell r="Z46">
            <v>42488</v>
          </cell>
          <cell r="AA46">
            <v>2819.3517000758966</v>
          </cell>
          <cell r="AB46">
            <v>358.99899113366871</v>
          </cell>
          <cell r="AC46">
            <v>0.12733388002781082</v>
          </cell>
          <cell r="AD46">
            <v>117.20746238426591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42459</v>
          </cell>
          <cell r="Z47">
            <v>42488</v>
          </cell>
          <cell r="AA47">
            <v>170480.52507752457</v>
          </cell>
          <cell r="AB47">
            <v>21208.868065116734</v>
          </cell>
          <cell r="AC47">
            <v>0.12440639806495306</v>
          </cell>
          <cell r="AD47">
            <v>18495.349698764505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42459</v>
          </cell>
          <cell r="Z48">
            <v>42488</v>
          </cell>
          <cell r="AA48">
            <v>11584.874657389069</v>
          </cell>
          <cell r="AB48">
            <v>1441.2325281597311</v>
          </cell>
          <cell r="AC48">
            <v>0.12440639806495304</v>
          </cell>
          <cell r="AD48">
            <v>11147.314099338008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42459</v>
          </cell>
          <cell r="Z49">
            <v>42488</v>
          </cell>
          <cell r="AA49">
            <v>45559.204602647653</v>
          </cell>
          <cell r="AB49">
            <v>5667.8565433196254</v>
          </cell>
          <cell r="AC49">
            <v>0.12440639806495306</v>
          </cell>
          <cell r="AD49">
            <v>-564.88317488839675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42459</v>
          </cell>
          <cell r="Z50">
            <v>42488</v>
          </cell>
          <cell r="AA50">
            <v>3406.4026359999998</v>
          </cell>
          <cell r="AB50">
            <v>1007.36527</v>
          </cell>
          <cell r="AC50">
            <v>0.29572701105671645</v>
          </cell>
          <cell r="AD50">
            <v>-3299.1973640000006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42459</v>
          </cell>
          <cell r="Z51">
            <v>42488</v>
          </cell>
          <cell r="AA51">
            <v>59596.769842193098</v>
          </cell>
          <cell r="AB51">
            <v>7414.2194723732646</v>
          </cell>
          <cell r="AC51">
            <v>0.12440639806495306</v>
          </cell>
          <cell r="AD51">
            <v>3321.0677229719513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42459</v>
          </cell>
          <cell r="Z52">
            <v>42488</v>
          </cell>
          <cell r="AA52">
            <v>74850.35109659149</v>
          </cell>
          <cell r="AB52">
            <v>9311.8625738240571</v>
          </cell>
          <cell r="AC52">
            <v>0.12440639806495307</v>
          </cell>
          <cell r="AD52">
            <v>8397.8324637380138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42459</v>
          </cell>
          <cell r="Z53">
            <v>42488</v>
          </cell>
          <cell r="AC53">
            <v>0</v>
          </cell>
          <cell r="AD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  <cell r="AD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42459</v>
          </cell>
          <cell r="Z55">
            <v>42488</v>
          </cell>
          <cell r="AA55">
            <v>381060.55518662563</v>
          </cell>
          <cell r="AB55">
            <v>48426.471750029428</v>
          </cell>
          <cell r="AC55">
            <v>0.12708340207585225</v>
          </cell>
          <cell r="AD55">
            <v>-2778.2099915791187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42459</v>
          </cell>
          <cell r="Z56">
            <v>42488</v>
          </cell>
          <cell r="AA56">
            <v>4100.4166216890089</v>
          </cell>
          <cell r="AB56">
            <v>521.09489421261208</v>
          </cell>
          <cell r="AC56">
            <v>0.12708340207585225</v>
          </cell>
          <cell r="AD56">
            <v>141.38428999956022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42459</v>
          </cell>
          <cell r="Z57">
            <v>42488</v>
          </cell>
          <cell r="AA57">
            <v>68826.33297191569</v>
          </cell>
          <cell r="AB57">
            <v>8562.4361770551477</v>
          </cell>
          <cell r="AC57">
            <v>0.12440639806495307</v>
          </cell>
          <cell r="AD57">
            <v>4792.4750070655427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42459</v>
          </cell>
          <cell r="Z58">
            <v>42488</v>
          </cell>
          <cell r="AA58">
            <v>422421.6649391767</v>
          </cell>
          <cell r="AB58">
            <v>52551.957799683441</v>
          </cell>
          <cell r="AC58">
            <v>0.12440639806495306</v>
          </cell>
          <cell r="AD58">
            <v>46515.341377116798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42459</v>
          </cell>
          <cell r="Z59">
            <v>42488</v>
          </cell>
          <cell r="AA59">
            <v>20741.558664832548</v>
          </cell>
          <cell r="AB59">
            <v>2635.907839482792</v>
          </cell>
          <cell r="AC59">
            <v>0.12708340207585225</v>
          </cell>
          <cell r="AD59">
            <v>44.104056263171515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42459</v>
          </cell>
          <cell r="Z60">
            <v>42488</v>
          </cell>
          <cell r="AA60">
            <v>41437.470735789611</v>
          </cell>
          <cell r="AB60">
            <v>5266.0147545227128</v>
          </cell>
          <cell r="AC60">
            <v>0.12708340207585225</v>
          </cell>
          <cell r="AD60">
            <v>-8550.9027798522584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42459</v>
          </cell>
          <cell r="Z61">
            <v>42488</v>
          </cell>
          <cell r="AA61">
            <v>139237.24232079412</v>
          </cell>
          <cell r="AB61">
            <v>17694.74244978635</v>
          </cell>
          <cell r="AC61">
            <v>0.12708340207585225</v>
          </cell>
          <cell r="AD61">
            <v>594.78623264085036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42459</v>
          </cell>
          <cell r="Z62">
            <v>42488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42459</v>
          </cell>
          <cell r="Z63">
            <v>42488</v>
          </cell>
          <cell r="AA63">
            <v>20550.181093473107</v>
          </cell>
          <cell r="AB63">
            <v>2611.5869266334198</v>
          </cell>
          <cell r="AC63">
            <v>0.12708340207585225</v>
          </cell>
          <cell r="AD63">
            <v>1256.9688914069811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42459</v>
          </cell>
          <cell r="Z64">
            <v>42488</v>
          </cell>
          <cell r="AA64">
            <v>41565.703852287967</v>
          </cell>
          <cell r="AB64">
            <v>5282.3110552261123</v>
          </cell>
          <cell r="AC64">
            <v>0.12708340207585225</v>
          </cell>
          <cell r="AD64">
            <v>1771.7685866383108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42459</v>
          </cell>
          <cell r="Z65">
            <v>42488</v>
          </cell>
          <cell r="AA65">
            <v>6062.5439124997065</v>
          </cell>
          <cell r="AB65">
            <v>770.44870563471068</v>
          </cell>
          <cell r="AC65">
            <v>0.12708340207585225</v>
          </cell>
          <cell r="AD65">
            <v>258.36330020494825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42444</v>
          </cell>
          <cell r="Z66">
            <v>42473</v>
          </cell>
          <cell r="AA66">
            <v>15360</v>
          </cell>
          <cell r="AB66">
            <v>2685.79</v>
          </cell>
          <cell r="AC66">
            <v>0.17485611979166665</v>
          </cell>
          <cell r="AD66">
            <v>1280</v>
          </cell>
          <cell r="AE66" t="str">
            <v>1-52-34746-03601-00-9002-0-02</v>
          </cell>
          <cell r="AF66">
            <v>5236180930</v>
          </cell>
          <cell r="AG66">
            <v>42444</v>
          </cell>
          <cell r="AH66">
            <v>42473</v>
          </cell>
          <cell r="AI66">
            <v>10240</v>
          </cell>
          <cell r="AJ66">
            <v>1620.66</v>
          </cell>
          <cell r="AL66">
            <v>1620.66</v>
          </cell>
          <cell r="AM66">
            <v>2685.79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42459</v>
          </cell>
          <cell r="Z67">
            <v>42488</v>
          </cell>
          <cell r="AA67">
            <v>8410.4751798916805</v>
          </cell>
          <cell r="AB67">
            <v>1046.316923145012</v>
          </cell>
          <cell r="AC67">
            <v>0.12440639806495304</v>
          </cell>
          <cell r="AD67">
            <v>286.17739404426084</v>
          </cell>
          <cell r="AE67" t="str">
            <v>1-52-34746-03601-00-9003-0-01</v>
          </cell>
          <cell r="AF67">
            <v>5236180931</v>
          </cell>
          <cell r="AG67">
            <v>42444</v>
          </cell>
          <cell r="AH67">
            <v>42473</v>
          </cell>
          <cell r="AI67">
            <v>5120</v>
          </cell>
          <cell r="AJ67">
            <v>1065.1300000000001</v>
          </cell>
          <cell r="AL67">
            <v>1065.1300000000001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42459</v>
          </cell>
          <cell r="Z68">
            <v>42488</v>
          </cell>
          <cell r="AA68">
            <v>22178.059947717735</v>
          </cell>
          <cell r="AB68">
            <v>2759.0925541641645</v>
          </cell>
          <cell r="AC68">
            <v>0.12440639806495306</v>
          </cell>
          <cell r="AD68">
            <v>2250.6951106583656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42459</v>
          </cell>
          <cell r="Z69">
            <v>42488</v>
          </cell>
          <cell r="AA69">
            <v>40493.128286067331</v>
          </cell>
          <cell r="AB69">
            <v>5037.6042364517025</v>
          </cell>
          <cell r="AC69">
            <v>0.12440639806495306</v>
          </cell>
          <cell r="AD69">
            <v>-265.73865464470146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42459</v>
          </cell>
          <cell r="Z70">
            <v>42488</v>
          </cell>
          <cell r="AA70">
            <v>36257.173916638407</v>
          </cell>
          <cell r="AB70">
            <v>4616.7666336487064</v>
          </cell>
          <cell r="AC70">
            <v>0.12733388002781082</v>
          </cell>
          <cell r="AD70">
            <v>198.61044721450162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42459</v>
          </cell>
          <cell r="Z71">
            <v>42488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42459</v>
          </cell>
          <cell r="Z72">
            <v>42488</v>
          </cell>
          <cell r="AA72">
            <v>44428.759657033719</v>
          </cell>
          <cell r="AB72">
            <v>5646.1579272262197</v>
          </cell>
          <cell r="AC72">
            <v>0.12708340207585225</v>
          </cell>
          <cell r="AD72">
            <v>5908.0991121850602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42459</v>
          </cell>
          <cell r="Z73">
            <v>42488</v>
          </cell>
          <cell r="AA73">
            <v>42057.165513014028</v>
          </cell>
          <cell r="AB73">
            <v>5344.767675061029</v>
          </cell>
          <cell r="AC73">
            <v>0.12708340207585225</v>
          </cell>
          <cell r="AD73">
            <v>2855.8250231716593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42459</v>
          </cell>
          <cell r="Z74">
            <v>42488</v>
          </cell>
          <cell r="AA74">
            <v>34599.188319594847</v>
          </cell>
          <cell r="AB74">
            <v>4396.9825607172024</v>
          </cell>
          <cell r="AC74">
            <v>0.12708340207585225</v>
          </cell>
          <cell r="AD74">
            <v>-1998.5593811160652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42459</v>
          </cell>
          <cell r="Z75">
            <v>42488</v>
          </cell>
          <cell r="AA75">
            <v>1441.8406513595578</v>
          </cell>
          <cell r="AB75">
            <v>183.23401522603538</v>
          </cell>
          <cell r="AC75">
            <v>0.12708340207585225</v>
          </cell>
          <cell r="AD75">
            <v>1441.8406513595578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42459</v>
          </cell>
          <cell r="Z76">
            <v>42488</v>
          </cell>
          <cell r="AA76">
            <v>17341.539336289145</v>
          </cell>
          <cell r="AB76">
            <v>2208.1654893446039</v>
          </cell>
          <cell r="AC76">
            <v>0.12733388002781082</v>
          </cell>
          <cell r="AD76">
            <v>2121.1211498787343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42459</v>
          </cell>
          <cell r="Z78">
            <v>42488</v>
          </cell>
          <cell r="AA78">
            <v>17506.229527813393</v>
          </cell>
          <cell r="AB78">
            <v>2224.7512059152664</v>
          </cell>
          <cell r="AC78">
            <v>0.12708340207585225</v>
          </cell>
          <cell r="AD78">
            <v>2327.9788079765312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42459</v>
          </cell>
          <cell r="Z79">
            <v>42488</v>
          </cell>
          <cell r="AA79">
            <v>20689.234143334539</v>
          </cell>
          <cell r="AB79">
            <v>2629.2582612788337</v>
          </cell>
          <cell r="AC79">
            <v>0.12708340207585225</v>
          </cell>
          <cell r="AD79">
            <v>2751.2214697414383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42459</v>
          </cell>
          <cell r="Z80">
            <v>42488</v>
          </cell>
          <cell r="AA80">
            <v>49998.912070783968</v>
          </cell>
          <cell r="AB80">
            <v>6354.0318460466215</v>
          </cell>
          <cell r="AC80">
            <v>0.12708340207585225</v>
          </cell>
          <cell r="AD80">
            <v>6648.768112730635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42459</v>
          </cell>
          <cell r="Z81">
            <v>42488</v>
          </cell>
          <cell r="AC81">
            <v>0</v>
          </cell>
          <cell r="AD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42459</v>
          </cell>
          <cell r="Z82">
            <v>42488</v>
          </cell>
          <cell r="AA82">
            <v>14539.87717174201</v>
          </cell>
          <cell r="AB82">
            <v>1847.7770567499954</v>
          </cell>
          <cell r="AC82">
            <v>0.12708340207585225</v>
          </cell>
          <cell r="AD82">
            <v>880.75560041720564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42459</v>
          </cell>
          <cell r="Z83">
            <v>42488</v>
          </cell>
          <cell r="AA83">
            <v>223179.81211643637</v>
          </cell>
          <cell r="AB83">
            <v>28418.351420663668</v>
          </cell>
          <cell r="AC83">
            <v>0.12733388002781082</v>
          </cell>
          <cell r="AD83">
            <v>13569.675583194767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42459</v>
          </cell>
          <cell r="Z84">
            <v>42488</v>
          </cell>
          <cell r="AA84">
            <v>134678.85943363953</v>
          </cell>
          <cell r="AB84">
            <v>16754.911797635217</v>
          </cell>
          <cell r="AC84">
            <v>0.12440639806495306</v>
          </cell>
          <cell r="AD84">
            <v>2635.332615505351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42459</v>
          </cell>
          <cell r="Z85">
            <v>42488</v>
          </cell>
          <cell r="AA85">
            <v>2669.4720000000002</v>
          </cell>
          <cell r="AB85">
            <v>339.2522242687279</v>
          </cell>
          <cell r="AC85">
            <v>0.12708588974476145</v>
          </cell>
          <cell r="AD85">
            <v>-154.1568000000002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42459</v>
          </cell>
          <cell r="Z86">
            <v>42488</v>
          </cell>
          <cell r="AA86">
            <v>10785.528</v>
          </cell>
          <cell r="AB86">
            <v>1370.6884222470376</v>
          </cell>
          <cell r="AC86">
            <v>0.12708588974476145</v>
          </cell>
          <cell r="AD86">
            <v>-622.84319999999934</v>
          </cell>
          <cell r="AM86">
            <v>13455</v>
          </cell>
          <cell r="AN86">
            <v>1709.9406465157654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42459</v>
          </cell>
          <cell r="Z87">
            <v>42488</v>
          </cell>
          <cell r="AA87">
            <v>12119.999</v>
          </cell>
          <cell r="AB87">
            <v>2144.8200000000002</v>
          </cell>
          <cell r="AC87">
            <v>0.17696536113575589</v>
          </cell>
          <cell r="AD87">
            <v>1079.9989999999998</v>
          </cell>
          <cell r="AE87" t="str">
            <v>1-63-86192-02715-00-9001-0-01</v>
          </cell>
          <cell r="AF87">
            <v>5236180897</v>
          </cell>
          <cell r="AG87">
            <v>42459</v>
          </cell>
          <cell r="AH87">
            <v>42488</v>
          </cell>
          <cell r="AI87">
            <v>12119.999</v>
          </cell>
          <cell r="AJ87">
            <v>2144.8200000000002</v>
          </cell>
          <cell r="AL87">
            <v>2144.8200000000002</v>
          </cell>
          <cell r="AM87" t="str">
            <v>Meter #96116409</v>
          </cell>
          <cell r="AN87">
            <v>1709.9406465157654</v>
          </cell>
          <cell r="AO87">
            <v>1709.9406465157654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42459</v>
          </cell>
          <cell r="Z88">
            <v>42488</v>
          </cell>
          <cell r="AA88">
            <v>24250.091119269426</v>
          </cell>
          <cell r="AB88">
            <v>3081.7840800861704</v>
          </cell>
          <cell r="AC88">
            <v>0.12708340207585225</v>
          </cell>
          <cell r="AD88">
            <v>226.76133517894414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42459</v>
          </cell>
          <cell r="Z89">
            <v>42488</v>
          </cell>
          <cell r="AC89">
            <v>0</v>
          </cell>
          <cell r="AD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42459</v>
          </cell>
          <cell r="Z90">
            <v>42488</v>
          </cell>
          <cell r="AA90">
            <v>29652.365504433168</v>
          </cell>
          <cell r="AB90">
            <v>3768.323487900012</v>
          </cell>
          <cell r="AC90">
            <v>0.12708340207585225</v>
          </cell>
          <cell r="AD90">
            <v>1156.133232718279</v>
          </cell>
          <cell r="AM90">
            <v>29652</v>
          </cell>
          <cell r="AN90">
            <v>3768.323487900012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42459</v>
          </cell>
          <cell r="Z91">
            <v>42488</v>
          </cell>
          <cell r="AA91">
            <v>0</v>
          </cell>
          <cell r="AB91">
            <v>0</v>
          </cell>
          <cell r="AC91">
            <v>0</v>
          </cell>
          <cell r="AN91">
            <v>3768.323487900012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42459</v>
          </cell>
          <cell r="Z92">
            <v>42488</v>
          </cell>
          <cell r="AA92">
            <v>47053.016151227159</v>
          </cell>
          <cell r="AB92">
            <v>5979.6573704279708</v>
          </cell>
          <cell r="AC92">
            <v>0.12708340207585225</v>
          </cell>
          <cell r="AD92">
            <v>-24292.795558556449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42459</v>
          </cell>
          <cell r="Z93">
            <v>42488</v>
          </cell>
          <cell r="AA93">
            <v>9032.0904953338086</v>
          </cell>
          <cell r="AB93">
            <v>1150.0911275331655</v>
          </cell>
          <cell r="AC93">
            <v>0.12733388002781082</v>
          </cell>
          <cell r="AD93">
            <v>-62313.721214449797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42459</v>
          </cell>
          <cell r="Z94">
            <v>42488</v>
          </cell>
          <cell r="AA94">
            <v>81288.665628500734</v>
          </cell>
          <cell r="AB94">
            <v>10350.801196760342</v>
          </cell>
          <cell r="AC94">
            <v>0.12733388002781082</v>
          </cell>
          <cell r="AD94">
            <v>39736.787199787272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42459</v>
          </cell>
          <cell r="Z95">
            <v>42488</v>
          </cell>
          <cell r="AA95">
            <v>43908.726609770776</v>
          </cell>
          <cell r="AB95">
            <v>5580.0703583881723</v>
          </cell>
          <cell r="AC95">
            <v>0.12708340207585225</v>
          </cell>
          <cell r="AD95">
            <v>37449.526218795123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42459</v>
          </cell>
          <cell r="Z96">
            <v>42488</v>
          </cell>
          <cell r="AA96">
            <v>6485.0967867134959</v>
          </cell>
          <cell r="AB96">
            <v>825.7725362081178</v>
          </cell>
          <cell r="AC96">
            <v>0.12733388002781082</v>
          </cell>
          <cell r="AD96">
            <v>6485.0967867134959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42459</v>
          </cell>
          <cell r="Z97">
            <v>42488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42459</v>
          </cell>
          <cell r="Z98">
            <v>42488</v>
          </cell>
          <cell r="AA98">
            <v>0</v>
          </cell>
          <cell r="AB98">
            <v>0</v>
          </cell>
          <cell r="AC98">
            <v>0</v>
          </cell>
          <cell r="AD98">
            <v>-18637.492250276817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42459</v>
          </cell>
          <cell r="Z99">
            <v>42488</v>
          </cell>
          <cell r="AA99">
            <v>18916.452993082014</v>
          </cell>
          <cell r="AB99">
            <v>2353.3277810343338</v>
          </cell>
          <cell r="AC99">
            <v>0.12440639806495307</v>
          </cell>
          <cell r="AD99">
            <v>9972.21722647563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42459</v>
          </cell>
          <cell r="Z100">
            <v>42488</v>
          </cell>
          <cell r="AA100">
            <v>9136.2711478031579</v>
          </cell>
          <cell r="AB100">
            <v>1163.3568542359167</v>
          </cell>
          <cell r="AC100">
            <v>0.12733388002781082</v>
          </cell>
          <cell r="AD100">
            <v>-15153.735646247498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42459</v>
          </cell>
          <cell r="Z101">
            <v>42488</v>
          </cell>
          <cell r="AA101">
            <v>23313.620824342859</v>
          </cell>
          <cell r="AB101">
            <v>2968.6137970607456</v>
          </cell>
          <cell r="AC101">
            <v>0.12733388002781082</v>
          </cell>
          <cell r="AD101">
            <v>-33003.137652145437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42459</v>
          </cell>
          <cell r="Z102">
            <v>42488</v>
          </cell>
          <cell r="AA102">
            <v>55315.718518731432</v>
          </cell>
          <cell r="AB102">
            <v>6881.6292972901983</v>
          </cell>
          <cell r="AC102">
            <v>0.12440639806495306</v>
          </cell>
          <cell r="AD102">
            <v>46977.613582744205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42459</v>
          </cell>
          <cell r="Z103">
            <v>42488</v>
          </cell>
          <cell r="AA103">
            <v>8290.150939283094</v>
          </cell>
          <cell r="AB103">
            <v>1031.3478177709972</v>
          </cell>
          <cell r="AC103">
            <v>0.12440639806495307</v>
          </cell>
          <cell r="AD103">
            <v>-47.953996704130986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42459</v>
          </cell>
          <cell r="Z104">
            <v>42488</v>
          </cell>
          <cell r="AA104">
            <v>83294.33728713759</v>
          </cell>
          <cell r="AB104">
            <v>10362.348481100102</v>
          </cell>
          <cell r="AC104">
            <v>0.12440639806495306</v>
          </cell>
          <cell r="AD104">
            <v>691.71346969458682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  <cell r="AD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42459</v>
          </cell>
          <cell r="Z106">
            <v>42488</v>
          </cell>
          <cell r="AA106">
            <v>95542.209394944133</v>
          </cell>
          <cell r="AB106">
            <v>12141.829011752954</v>
          </cell>
          <cell r="AC106">
            <v>0.12708340207585225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42459</v>
          </cell>
          <cell r="Z107">
            <v>42488</v>
          </cell>
          <cell r="AA107">
            <v>3796.3595880406347</v>
          </cell>
          <cell r="AB107">
            <v>482.45429195148478</v>
          </cell>
          <cell r="AC107">
            <v>0.12708340207585225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42459</v>
          </cell>
          <cell r="Z108">
            <v>42488</v>
          </cell>
          <cell r="AA108">
            <v>11633.919007099776</v>
          </cell>
          <cell r="AB108">
            <v>1447.3339590526782</v>
          </cell>
          <cell r="AC108">
            <v>0.12440639806495306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42459</v>
          </cell>
          <cell r="Z109">
            <v>42488</v>
          </cell>
          <cell r="AA109">
            <v>77444.180230608006</v>
          </cell>
          <cell r="AB109">
            <v>9841.8698946811255</v>
          </cell>
          <cell r="AC109">
            <v>0.12708340207585225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42459</v>
          </cell>
          <cell r="Z110">
            <v>42488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42459</v>
          </cell>
          <cell r="Z111">
            <v>42488</v>
          </cell>
          <cell r="AA111">
            <v>201339.90802065853</v>
          </cell>
          <cell r="AB111">
            <v>25047.972743579081</v>
          </cell>
          <cell r="AC111">
            <v>0.12440639806495306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42459</v>
          </cell>
          <cell r="Z112">
            <v>42488</v>
          </cell>
          <cell r="AA112">
            <v>36670.175788927612</v>
          </cell>
          <cell r="AB112">
            <v>4669.3557645060419</v>
          </cell>
          <cell r="AC112">
            <v>0.12733388002781082</v>
          </cell>
          <cell r="AE112" t="str">
            <v>1-44-38866-03717-00-9001-3-01</v>
          </cell>
          <cell r="AF112">
            <v>5236180951</v>
          </cell>
          <cell r="AG112">
            <v>42459</v>
          </cell>
          <cell r="AH112">
            <v>42488</v>
          </cell>
          <cell r="AL112">
            <v>0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42459</v>
          </cell>
          <cell r="Z113">
            <v>42488</v>
          </cell>
          <cell r="AA113">
            <v>0</v>
          </cell>
          <cell r="AB113">
            <v>0</v>
          </cell>
          <cell r="AC113">
            <v>0</v>
          </cell>
          <cell r="AE113" t="str">
            <v>1-44-38866-03717-00-9001-3-01</v>
          </cell>
          <cell r="AF113">
            <v>5236180952</v>
          </cell>
          <cell r="AG113">
            <v>42459</v>
          </cell>
          <cell r="AH113">
            <v>42488</v>
          </cell>
          <cell r="AL113">
            <v>0</v>
          </cell>
          <cell r="AM113">
            <v>0</v>
          </cell>
          <cell r="AN113">
            <v>0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42459</v>
          </cell>
          <cell r="Z114">
            <v>42488</v>
          </cell>
          <cell r="AA114">
            <v>0</v>
          </cell>
          <cell r="AB114">
            <v>0</v>
          </cell>
          <cell r="AC114">
            <v>0</v>
          </cell>
          <cell r="AE114" t="str">
            <v>1-44-38866-03717-00-9001-3-02</v>
          </cell>
          <cell r="AG114">
            <v>42459</v>
          </cell>
          <cell r="AH114">
            <v>42488</v>
          </cell>
          <cell r="AL114">
            <v>0</v>
          </cell>
          <cell r="AM114">
            <v>0</v>
          </cell>
          <cell r="AN114">
            <v>0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42459</v>
          </cell>
          <cell r="Z115">
            <v>42488</v>
          </cell>
          <cell r="AA115">
            <v>49291.885079844629</v>
          </cell>
          <cell r="AB115">
            <v>6276.5269811015742</v>
          </cell>
          <cell r="AC115">
            <v>0.12733388002781082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42459</v>
          </cell>
          <cell r="Z116">
            <v>42488</v>
          </cell>
          <cell r="AA116">
            <v>2027.586</v>
          </cell>
          <cell r="AB116">
            <v>698.02</v>
          </cell>
          <cell r="AC116">
            <v>0.34426159975458498</v>
          </cell>
          <cell r="AE116" t="str">
            <v>1-63-00433-00909-00-9001-3-01</v>
          </cell>
          <cell r="AF116">
            <v>5236180925</v>
          </cell>
          <cell r="AG116">
            <v>42459</v>
          </cell>
          <cell r="AH116">
            <v>42488</v>
          </cell>
          <cell r="AI116">
            <v>2027.586</v>
          </cell>
          <cell r="AJ116">
            <v>698.02</v>
          </cell>
          <cell r="AL116">
            <v>698.02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42459</v>
          </cell>
          <cell r="Z118">
            <v>42488</v>
          </cell>
          <cell r="AA118">
            <v>48295.025065216476</v>
          </cell>
          <cell r="AB118">
            <v>6149.5929275943909</v>
          </cell>
          <cell r="AC118">
            <v>0.12733388002781082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42459</v>
          </cell>
          <cell r="Z119">
            <v>42488</v>
          </cell>
          <cell r="AA119">
            <v>29706.145659862159</v>
          </cell>
          <cell r="AB119">
            <v>3782.5987875415613</v>
          </cell>
          <cell r="AC119">
            <v>0.12733388002781082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42461</v>
          </cell>
          <cell r="Z120">
            <v>42492</v>
          </cell>
          <cell r="AA120">
            <v>4006.451</v>
          </cell>
          <cell r="AB120">
            <v>1229.3400000000001</v>
          </cell>
          <cell r="AC120">
            <v>0.30684014355847611</v>
          </cell>
          <cell r="AE120" t="str">
            <v>1-44-43997-03440-00-9001-2-01</v>
          </cell>
          <cell r="AF120">
            <v>5236180234</v>
          </cell>
          <cell r="AG120">
            <v>42461</v>
          </cell>
          <cell r="AH120">
            <v>42492</v>
          </cell>
          <cell r="AI120">
            <v>197.41900000000001</v>
          </cell>
          <cell r="AJ120">
            <v>179.44</v>
          </cell>
          <cell r="AL120">
            <v>179.44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42459</v>
          </cell>
          <cell r="Z121">
            <v>42488</v>
          </cell>
          <cell r="AA121">
            <v>65303.734381359645</v>
          </cell>
          <cell r="AB121">
            <v>8124.2023745753895</v>
          </cell>
          <cell r="AC121">
            <v>0.12440639806495306</v>
          </cell>
          <cell r="AE121" t="str">
            <v>1-44-43997-03440-00-9001-2-01</v>
          </cell>
          <cell r="AF121">
            <v>5236180235</v>
          </cell>
          <cell r="AG121">
            <v>42461</v>
          </cell>
          <cell r="AH121">
            <v>42492</v>
          </cell>
          <cell r="AI121">
            <v>3809.0320000000002</v>
          </cell>
          <cell r="AJ121">
            <v>1049.9000000000001</v>
          </cell>
          <cell r="AL121">
            <v>1049.9000000000001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42459</v>
          </cell>
          <cell r="Z123">
            <v>42488</v>
          </cell>
          <cell r="AA123">
            <v>53470.081942826466</v>
          </cell>
          <cell r="AB123">
            <v>6795.1599225689833</v>
          </cell>
          <cell r="AC123">
            <v>0.12708340207585225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42459</v>
          </cell>
          <cell r="Z124">
            <v>42488</v>
          </cell>
          <cell r="AA124">
            <v>226.89599999999999</v>
          </cell>
          <cell r="AB124">
            <v>71.75</v>
          </cell>
          <cell r="AC124">
            <v>0.31622417318947887</v>
          </cell>
          <cell r="AE124" t="str">
            <v>1-63-43981-02712-00-0000-0-01</v>
          </cell>
          <cell r="AF124">
            <v>5236180909</v>
          </cell>
          <cell r="AG124">
            <v>42459</v>
          </cell>
          <cell r="AH124">
            <v>42488</v>
          </cell>
          <cell r="AI124">
            <v>226.89599999999999</v>
          </cell>
          <cell r="AJ124">
            <v>71.75</v>
          </cell>
          <cell r="AL124">
            <v>71.75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42459</v>
          </cell>
          <cell r="Z125">
            <v>42488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42459</v>
          </cell>
          <cell r="AH125">
            <v>42488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42459</v>
          </cell>
          <cell r="Z126">
            <v>42488</v>
          </cell>
          <cell r="AA126">
            <v>28182.057128987337</v>
          </cell>
          <cell r="AB126">
            <v>3588.5306813993843</v>
          </cell>
          <cell r="AC126">
            <v>0.12733388002781082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42459</v>
          </cell>
          <cell r="Z127">
            <v>42488</v>
          </cell>
          <cell r="AA127">
            <v>42216.083284284243</v>
          </cell>
          <cell r="AB127">
            <v>5364.9634860843598</v>
          </cell>
          <cell r="AC127">
            <v>0.12708340207585225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42459</v>
          </cell>
          <cell r="Z128">
            <v>42488</v>
          </cell>
          <cell r="AA128">
            <v>26727.940390143714</v>
          </cell>
          <cell r="AB128">
            <v>3396.6775952600451</v>
          </cell>
          <cell r="AC128">
            <v>0.12708340207585225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42459</v>
          </cell>
          <cell r="Z129">
            <v>42488</v>
          </cell>
          <cell r="AA129">
            <v>292854.17608111905</v>
          </cell>
          <cell r="AB129">
            <v>37216.905008509282</v>
          </cell>
          <cell r="AC129">
            <v>0.12708340207585225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42459</v>
          </cell>
          <cell r="Z130">
            <v>42488</v>
          </cell>
          <cell r="AA130">
            <v>702.02770765909167</v>
          </cell>
          <cell r="AB130">
            <v>89.216069440829216</v>
          </cell>
          <cell r="AC130">
            <v>0.12708340207585225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42459</v>
          </cell>
          <cell r="Z131">
            <v>42488</v>
          </cell>
          <cell r="AA131">
            <v>1421.5532763037861</v>
          </cell>
          <cell r="AB131">
            <v>180.65582658475915</v>
          </cell>
          <cell r="AC131">
            <v>0.12708340207585225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42459</v>
          </cell>
          <cell r="Z132">
            <v>42488</v>
          </cell>
          <cell r="AA132">
            <v>19979.579949913958</v>
          </cell>
          <cell r="AB132">
            <v>2485.5875764195507</v>
          </cell>
          <cell r="AC132">
            <v>0.12440639806495306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42459</v>
          </cell>
          <cell r="Z133">
            <v>42488</v>
          </cell>
          <cell r="AA133">
            <v>19456.01968933663</v>
          </cell>
          <cell r="AB133">
            <v>2420.453330231177</v>
          </cell>
          <cell r="AC133">
            <v>0.12440639806495306</v>
          </cell>
          <cell r="AE133" t="str">
            <v>1-63-34103-03131-00-9002-0-01</v>
          </cell>
          <cell r="AF133">
            <v>5236180880</v>
          </cell>
          <cell r="AG133">
            <v>42459</v>
          </cell>
          <cell r="AH133">
            <v>42488</v>
          </cell>
          <cell r="AI133">
            <v>16877.241000000002</v>
          </cell>
          <cell r="AJ133">
            <v>6262.8</v>
          </cell>
          <cell r="AL133">
            <v>6262.8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42459</v>
          </cell>
          <cell r="Z134">
            <v>42488</v>
          </cell>
          <cell r="AA134">
            <v>2228.6793321111727</v>
          </cell>
          <cell r="AB134">
            <v>277.26196814975629</v>
          </cell>
          <cell r="AC134">
            <v>0.12440639806495307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42459</v>
          </cell>
          <cell r="Z136">
            <v>42488</v>
          </cell>
          <cell r="AA136">
            <v>37925.516000000003</v>
          </cell>
          <cell r="AB136">
            <v>12667.3</v>
          </cell>
          <cell r="AC136">
            <v>0.3340046843396936</v>
          </cell>
          <cell r="AE136" t="str">
            <v>1-63-34103-03131-00-9001-0-01</v>
          </cell>
          <cell r="AF136">
            <v>5236180879</v>
          </cell>
          <cell r="AG136">
            <v>42459</v>
          </cell>
          <cell r="AH136">
            <v>42488</v>
          </cell>
          <cell r="AI136">
            <v>21048.275000000001</v>
          </cell>
          <cell r="AJ136">
            <v>6404.5</v>
          </cell>
          <cell r="AL136">
            <v>6404.5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42461</v>
          </cell>
          <cell r="Z137">
            <v>42492</v>
          </cell>
          <cell r="AA137">
            <v>40976.478000000003</v>
          </cell>
          <cell r="AB137">
            <v>17758.604865000001</v>
          </cell>
          <cell r="AC137">
            <v>0.43338534036527004</v>
          </cell>
          <cell r="AE137" t="str">
            <v>1-44-38866-03447-00-9001-4-01</v>
          </cell>
          <cell r="AF137">
            <v>5236180950</v>
          </cell>
          <cell r="AG137">
            <v>42461</v>
          </cell>
          <cell r="AH137">
            <v>42492</v>
          </cell>
          <cell r="AI137">
            <v>30170.322</v>
          </cell>
          <cell r="AJ137">
            <v>6495.27</v>
          </cell>
          <cell r="AL137">
            <v>6495.27</v>
          </cell>
          <cell r="AM137">
            <v>122868</v>
          </cell>
          <cell r="AN137">
            <v>53249.189999999995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42461</v>
          </cell>
          <cell r="Z138">
            <v>42492</v>
          </cell>
          <cell r="AA138">
            <v>81891.521999999997</v>
          </cell>
          <cell r="AB138">
            <v>35490.585134999994</v>
          </cell>
          <cell r="AC138">
            <v>0.43338534036526999</v>
          </cell>
          <cell r="AM138">
            <v>122868</v>
          </cell>
          <cell r="AN138">
            <v>53249.189999999995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42461</v>
          </cell>
          <cell r="Z139">
            <v>42492</v>
          </cell>
          <cell r="AA139">
            <v>30170.322</v>
          </cell>
          <cell r="AB139">
            <v>6495.27</v>
          </cell>
          <cell r="AC139">
            <v>0.21528673111278032</v>
          </cell>
          <cell r="AE139" t="str">
            <v>1-44-38866-03447-00-9004-0-01</v>
          </cell>
          <cell r="AF139">
            <v>5236180944</v>
          </cell>
          <cell r="AG139">
            <v>42461</v>
          </cell>
          <cell r="AH139">
            <v>42492</v>
          </cell>
          <cell r="AI139">
            <v>42768</v>
          </cell>
          <cell r="AJ139">
            <v>18817.099999999999</v>
          </cell>
          <cell r="AL139">
            <v>18817.099999999999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42459</v>
          </cell>
          <cell r="Z140">
            <v>42488</v>
          </cell>
          <cell r="AA140">
            <v>19228.771855771418</v>
          </cell>
          <cell r="AB140">
            <v>2448.4741285649429</v>
          </cell>
          <cell r="AC140">
            <v>0.12733388002781082</v>
          </cell>
          <cell r="AE140" t="str">
            <v>1-44-38866-03447-00-9004-0-01</v>
          </cell>
          <cell r="AF140">
            <v>5236180945</v>
          </cell>
          <cell r="AG140">
            <v>42461</v>
          </cell>
          <cell r="AH140">
            <v>42492</v>
          </cell>
          <cell r="AI140">
            <v>80100</v>
          </cell>
          <cell r="AJ140">
            <v>34432.089999999997</v>
          </cell>
          <cell r="AL140">
            <v>34432.089999999997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42459</v>
          </cell>
          <cell r="Z141">
            <v>42488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42459</v>
          </cell>
          <cell r="Z142">
            <v>42488</v>
          </cell>
          <cell r="AA142">
            <v>22788.550335897333</v>
          </cell>
          <cell r="AB142">
            <v>2901.7545344788791</v>
          </cell>
          <cell r="AC142">
            <v>0.12733388002781082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42459</v>
          </cell>
          <cell r="Z143">
            <v>42488</v>
          </cell>
          <cell r="AA143">
            <v>46566.664199999999</v>
          </cell>
          <cell r="AB143">
            <v>5793.1978810922074</v>
          </cell>
          <cell r="AC143">
            <v>0.12440654662766691</v>
          </cell>
          <cell r="AM143">
            <v>79506</v>
          </cell>
          <cell r="AN143">
            <v>9891.0668961792853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42459</v>
          </cell>
          <cell r="Z144">
            <v>42488</v>
          </cell>
          <cell r="AA144">
            <v>32939.335800000001</v>
          </cell>
          <cell r="AB144">
            <v>4097.869015087078</v>
          </cell>
          <cell r="AC144">
            <v>0.12440654662766691</v>
          </cell>
          <cell r="AN144">
            <v>9891.0668961792853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42459</v>
          </cell>
          <cell r="Z145">
            <v>42488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42459</v>
          </cell>
          <cell r="Z146">
            <v>42488</v>
          </cell>
          <cell r="AA146">
            <v>28044</v>
          </cell>
          <cell r="AB146">
            <v>3984.0221317661717</v>
          </cell>
          <cell r="AC146">
            <v>0.14206326243639181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42459</v>
          </cell>
          <cell r="AH147">
            <v>42488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42459</v>
          </cell>
          <cell r="AH148">
            <v>42488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42459</v>
          </cell>
          <cell r="Z149">
            <v>42488</v>
          </cell>
          <cell r="AA149">
            <v>140181.11244526389</v>
          </cell>
          <cell r="AB149">
            <v>17814.692676321727</v>
          </cell>
          <cell r="AC149">
            <v>0.12708340207585225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42459</v>
          </cell>
          <cell r="Z151">
            <v>42488</v>
          </cell>
          <cell r="AA151">
            <v>118932.96111914286</v>
          </cell>
          <cell r="AB151">
            <v>15114.405317975734</v>
          </cell>
          <cell r="AC151">
            <v>0.12708340207585225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42459</v>
          </cell>
          <cell r="Z152">
            <v>42488</v>
          </cell>
          <cell r="AA152">
            <v>96506.427772468582</v>
          </cell>
          <cell r="AB152">
            <v>12006.017069288368</v>
          </cell>
          <cell r="AC152">
            <v>0.12440639806495306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42459</v>
          </cell>
          <cell r="Z153">
            <v>42488</v>
          </cell>
          <cell r="AA153">
            <v>5975.0199999999995</v>
          </cell>
          <cell r="AB153">
            <v>759.32686713293606</v>
          </cell>
          <cell r="AC153">
            <v>0.1270835691149044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42459</v>
          </cell>
          <cell r="Z154">
            <v>42488</v>
          </cell>
          <cell r="AA154">
            <v>60784.979999999996</v>
          </cell>
          <cell r="AB154">
            <v>7724.7722069780821</v>
          </cell>
          <cell r="AC154">
            <v>0.12708356911490443</v>
          </cell>
          <cell r="AM154">
            <v>66760</v>
          </cell>
          <cell r="AN154">
            <v>8484.0990741110181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42459</v>
          </cell>
          <cell r="Z155">
            <v>42488</v>
          </cell>
          <cell r="AA155">
            <v>2899.9112027637329</v>
          </cell>
          <cell r="AB155">
            <v>368.53058136509179</v>
          </cell>
          <cell r="AC155">
            <v>0.12708340207585225</v>
          </cell>
          <cell r="AN155">
            <v>8484.0990741110181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42459</v>
          </cell>
          <cell r="Z156">
            <v>42488</v>
          </cell>
          <cell r="AA156">
            <v>1024.596971045858</v>
          </cell>
          <cell r="AB156">
            <v>130.20926883712113</v>
          </cell>
          <cell r="AC156">
            <v>0.12708340207585225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42459</v>
          </cell>
          <cell r="Z157">
            <v>42488</v>
          </cell>
          <cell r="AA157">
            <v>83635.54897471187</v>
          </cell>
          <cell r="AB157">
            <v>10628.690098187941</v>
          </cell>
          <cell r="AC157">
            <v>0.12708340207585225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42459</v>
          </cell>
          <cell r="Z158">
            <v>42488</v>
          </cell>
          <cell r="AA158">
            <v>202290.62390455877</v>
          </cell>
          <cell r="AB158">
            <v>25758.450035014088</v>
          </cell>
          <cell r="AC158">
            <v>0.12733388002781082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42461</v>
          </cell>
          <cell r="Z159">
            <v>42492</v>
          </cell>
          <cell r="AA159">
            <v>7254.1930000000002</v>
          </cell>
          <cell r="AB159">
            <v>1778.98</v>
          </cell>
          <cell r="AC159">
            <v>0.24523472149141881</v>
          </cell>
          <cell r="AE159" t="str">
            <v>1-44-43997-03500-00-9001-1-01</v>
          </cell>
          <cell r="AF159">
            <v>5236180240</v>
          </cell>
          <cell r="AG159">
            <v>42461</v>
          </cell>
          <cell r="AH159">
            <v>42492</v>
          </cell>
          <cell r="AI159">
            <v>7014.1930000000002</v>
          </cell>
          <cell r="AJ159">
            <v>1708.57</v>
          </cell>
          <cell r="AL159">
            <v>1708.57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42459</v>
          </cell>
          <cell r="Z160">
            <v>42488</v>
          </cell>
          <cell r="AA160">
            <v>31205.95578005827</v>
          </cell>
          <cell r="AB160">
            <v>3965.7590255584109</v>
          </cell>
          <cell r="AC160">
            <v>0.12708340207585225</v>
          </cell>
          <cell r="AE160" t="str">
            <v>1-44-43997-03500-00-9001-1-01</v>
          </cell>
          <cell r="AF160">
            <v>5236180241</v>
          </cell>
          <cell r="AG160">
            <v>42461</v>
          </cell>
          <cell r="AH160">
            <v>42492</v>
          </cell>
          <cell r="AI160">
            <v>240</v>
          </cell>
          <cell r="AJ160">
            <v>70.41</v>
          </cell>
          <cell r="AL160">
            <v>70.41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42459</v>
          </cell>
          <cell r="Z161">
            <v>42488</v>
          </cell>
          <cell r="AA161">
            <v>15369.044963999999</v>
          </cell>
          <cell r="AB161">
            <v>4545.0417299999999</v>
          </cell>
          <cell r="AC161">
            <v>0.29572701105671645</v>
          </cell>
          <cell r="AE161" t="str">
            <v>1-63-00433-00746-00-0000-4-01</v>
          </cell>
          <cell r="AF161">
            <v>5236180919</v>
          </cell>
          <cell r="AG161">
            <v>42459</v>
          </cell>
          <cell r="AH161">
            <v>42488</v>
          </cell>
          <cell r="AI161">
            <v>26822.067999999999</v>
          </cell>
          <cell r="AJ161">
            <v>7932.01</v>
          </cell>
          <cell r="AL161">
            <v>7932.01</v>
          </cell>
          <cell r="AM161">
            <v>26822.067999999999</v>
          </cell>
          <cell r="AN161">
            <v>7932.01</v>
          </cell>
          <cell r="AO161" t="str">
            <v>#42</v>
          </cell>
          <cell r="AP161">
            <v>0.3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42459</v>
          </cell>
          <cell r="Z162">
            <v>42488</v>
          </cell>
          <cell r="AA162">
            <v>36111.104945626212</v>
          </cell>
          <cell r="AB162">
            <v>4589.1220692083125</v>
          </cell>
          <cell r="AC162">
            <v>0.12708340207585225</v>
          </cell>
          <cell r="AL162" t="str">
            <v>METER #APMYV00125-000015</v>
          </cell>
          <cell r="AM162">
            <v>26822.067999999999</v>
          </cell>
          <cell r="AN162">
            <v>7932.01</v>
          </cell>
          <cell r="AO162" t="str">
            <v>#52</v>
          </cell>
          <cell r="AP162">
            <v>0.127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42459</v>
          </cell>
          <cell r="Z163">
            <v>42488</v>
          </cell>
          <cell r="AC163">
            <v>0</v>
          </cell>
          <cell r="AO163" t="str">
            <v>#261</v>
          </cell>
          <cell r="AP163">
            <v>0.57299999999999995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42459</v>
          </cell>
          <cell r="Z164">
            <v>42488</v>
          </cell>
          <cell r="AA164">
            <v>77942.010997426405</v>
          </cell>
          <cell r="AB164">
            <v>9924.6586774726056</v>
          </cell>
          <cell r="AC164">
            <v>0.12733388002781082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42459</v>
          </cell>
          <cell r="Z165">
            <v>42488</v>
          </cell>
          <cell r="AA165">
            <v>6525.6528264247791</v>
          </cell>
          <cell r="AB165">
            <v>830.93669410311736</v>
          </cell>
          <cell r="AC165">
            <v>0.12733388002781082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42459</v>
          </cell>
          <cell r="Z166">
            <v>42488</v>
          </cell>
          <cell r="AA166">
            <v>3760</v>
          </cell>
          <cell r="AB166">
            <v>645.66</v>
          </cell>
          <cell r="AC166">
            <v>0.17171808510638298</v>
          </cell>
          <cell r="AE166" t="str">
            <v>1-63-96497-01102-00-0000-1-01</v>
          </cell>
          <cell r="AF166">
            <v>5236180896</v>
          </cell>
          <cell r="AG166">
            <v>42459</v>
          </cell>
          <cell r="AH166">
            <v>42488</v>
          </cell>
          <cell r="AI166">
            <v>3760</v>
          </cell>
          <cell r="AJ166">
            <v>645.66</v>
          </cell>
          <cell r="AL166">
            <v>645.66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42459</v>
          </cell>
          <cell r="Z167">
            <v>42488</v>
          </cell>
          <cell r="AA167">
            <v>3360</v>
          </cell>
          <cell r="AB167">
            <v>624.54999999999995</v>
          </cell>
          <cell r="AC167">
            <v>0.18587797619047619</v>
          </cell>
          <cell r="AE167" t="str">
            <v>1-63-43981-02653-00-0000-0-01</v>
          </cell>
          <cell r="AF167">
            <v>5236180908</v>
          </cell>
          <cell r="AG167">
            <v>42459</v>
          </cell>
          <cell r="AH167">
            <v>42488</v>
          </cell>
          <cell r="AI167">
            <v>3360</v>
          </cell>
          <cell r="AJ167">
            <v>624.54999999999995</v>
          </cell>
          <cell r="AL167">
            <v>624.54999999999995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42459</v>
          </cell>
          <cell r="Z168">
            <v>42488</v>
          </cell>
          <cell r="AA168">
            <v>34526.895000000004</v>
          </cell>
          <cell r="AB168">
            <v>10998.14</v>
          </cell>
          <cell r="AC168">
            <v>0.31853834525230251</v>
          </cell>
          <cell r="AE168" t="str">
            <v>1-63-34103-03500-00-9001-6-01</v>
          </cell>
          <cell r="AF168">
            <v>5236180888</v>
          </cell>
          <cell r="AG168">
            <v>42459</v>
          </cell>
          <cell r="AH168">
            <v>42488</v>
          </cell>
          <cell r="AI168">
            <v>21550.344000000001</v>
          </cell>
          <cell r="AJ168">
            <v>7186.14</v>
          </cell>
          <cell r="AL168">
            <v>7186.14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42459</v>
          </cell>
          <cell r="Z169">
            <v>42488</v>
          </cell>
          <cell r="AA169">
            <v>23449.502161063596</v>
          </cell>
          <cell r="AB169">
            <v>2985.9160948887625</v>
          </cell>
          <cell r="AC169">
            <v>0.12733388002781082</v>
          </cell>
          <cell r="AE169" t="str">
            <v>1-63-34103-03500-00-0000-4-01</v>
          </cell>
          <cell r="AF169">
            <v>5236180887</v>
          </cell>
          <cell r="AG169">
            <v>42459</v>
          </cell>
          <cell r="AH169">
            <v>42488</v>
          </cell>
          <cell r="AI169">
            <v>12976.550999999999</v>
          </cell>
          <cell r="AJ169">
            <v>3812</v>
          </cell>
          <cell r="AL169">
            <v>3812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42459</v>
          </cell>
          <cell r="Z170">
            <v>42488</v>
          </cell>
          <cell r="AA170">
            <v>158607.77112625481</v>
          </cell>
          <cell r="AB170">
            <v>19731.821510927824</v>
          </cell>
          <cell r="AC170">
            <v>0.12440639806495306</v>
          </cell>
          <cell r="AE170" t="str">
            <v>1-63-34103-03500-00-0000-4-02</v>
          </cell>
          <cell r="AG170">
            <v>42459</v>
          </cell>
          <cell r="AH170">
            <v>42488</v>
          </cell>
          <cell r="AL170">
            <v>0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42459</v>
          </cell>
          <cell r="Z171">
            <v>42488</v>
          </cell>
          <cell r="AA171">
            <v>50456.464274966522</v>
          </cell>
          <cell r="AB171">
            <v>6277.1069795415679</v>
          </cell>
          <cell r="AC171">
            <v>0.12440639806495304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42459</v>
          </cell>
          <cell r="Z172">
            <v>42488</v>
          </cell>
          <cell r="AA172">
            <v>1202015.325</v>
          </cell>
          <cell r="AB172">
            <v>169574.96</v>
          </cell>
          <cell r="AC172">
            <v>0</v>
          </cell>
          <cell r="AE172" t="str">
            <v>1-44-38866-03430-00-0000-1-01</v>
          </cell>
          <cell r="AF172">
            <v>5236180933</v>
          </cell>
          <cell r="AG172">
            <v>42459</v>
          </cell>
          <cell r="AH172">
            <v>42488</v>
          </cell>
          <cell r="AL172">
            <v>0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42459</v>
          </cell>
          <cell r="Z173">
            <v>42488</v>
          </cell>
          <cell r="AA173">
            <v>16767</v>
          </cell>
          <cell r="AB173">
            <v>0</v>
          </cell>
          <cell r="AC173">
            <v>0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42459</v>
          </cell>
          <cell r="Z174">
            <v>42488</v>
          </cell>
          <cell r="AA174">
            <v>18132</v>
          </cell>
          <cell r="AB174">
            <v>1283.1747929189805</v>
          </cell>
          <cell r="AC174">
            <v>7.0768519353572715E-2</v>
          </cell>
          <cell r="AE174" t="str">
            <v>1-44-38866-03434-00-9003-0-01</v>
          </cell>
          <cell r="AF174">
            <v>5236180939</v>
          </cell>
          <cell r="AG174">
            <v>42461</v>
          </cell>
          <cell r="AH174">
            <v>42492</v>
          </cell>
          <cell r="AI174">
            <v>1019613.1</v>
          </cell>
          <cell r="AJ174">
            <v>116509.81</v>
          </cell>
          <cell r="AL174">
            <v>116509.81</v>
          </cell>
          <cell r="AM174">
            <v>0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42459</v>
          </cell>
          <cell r="Z175">
            <v>42488</v>
          </cell>
          <cell r="AA175">
            <v>499588.54000000004</v>
          </cell>
          <cell r="AB175">
            <v>70973.177868233819</v>
          </cell>
          <cell r="AC175">
            <v>0.14206326243639178</v>
          </cell>
          <cell r="AE175" t="str">
            <v>1-63-34103-03400-00-0000-2-02</v>
          </cell>
          <cell r="AF175">
            <v>5236180883</v>
          </cell>
          <cell r="AG175">
            <v>42459</v>
          </cell>
          <cell r="AH175">
            <v>42488</v>
          </cell>
          <cell r="AI175">
            <v>527632.54</v>
          </cell>
          <cell r="AJ175">
            <v>74957.2</v>
          </cell>
          <cell r="AL175">
            <v>74957.2</v>
          </cell>
          <cell r="AM175">
            <v>527632.54</v>
          </cell>
          <cell r="AN175">
            <v>0.14206326243639181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42459</v>
          </cell>
          <cell r="Z176">
            <v>42488</v>
          </cell>
          <cell r="AA176">
            <v>292357.98069954664</v>
          </cell>
          <cell r="AB176">
            <v>37153.846811324736</v>
          </cell>
          <cell r="AC176">
            <v>0.12708340207585225</v>
          </cell>
          <cell r="AE176" t="str">
            <v>1-44-38866-03434-00-9003-3-01</v>
          </cell>
          <cell r="AF176">
            <v>5236180938</v>
          </cell>
          <cell r="AG176">
            <v>42461</v>
          </cell>
          <cell r="AH176">
            <v>42492</v>
          </cell>
          <cell r="AI176">
            <v>247703.22500000001</v>
          </cell>
          <cell r="AJ176">
            <v>53065.15</v>
          </cell>
          <cell r="AL176">
            <v>53065.15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42459</v>
          </cell>
          <cell r="Z177">
            <v>42488</v>
          </cell>
          <cell r="AA177">
            <v>419679.92652724514</v>
          </cell>
          <cell r="AB177">
            <v>53439.473414500695</v>
          </cell>
          <cell r="AC177">
            <v>0.12733388002781082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42459</v>
          </cell>
          <cell r="Z178">
            <v>42488</v>
          </cell>
          <cell r="AA178">
            <v>11565.243060126048</v>
          </cell>
          <cell r="AB178">
            <v>1472.6472723105619</v>
          </cell>
          <cell r="AC178">
            <v>0.12733388002781082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42459</v>
          </cell>
          <cell r="Z179">
            <v>42488</v>
          </cell>
          <cell r="AA179">
            <v>11707.003162236126</v>
          </cell>
          <cell r="AB179">
            <v>1490.6981361453768</v>
          </cell>
          <cell r="AC179">
            <v>0.12733388002781082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42459</v>
          </cell>
          <cell r="Z180">
            <v>42488</v>
          </cell>
          <cell r="AA180">
            <v>119181.10371514912</v>
          </cell>
          <cell r="AB180">
            <v>15175.792362046875</v>
          </cell>
          <cell r="AC180">
            <v>0.12733388002781082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42459</v>
          </cell>
          <cell r="Z181">
            <v>42488</v>
          </cell>
          <cell r="AA181">
            <v>2312.1020362814766</v>
          </cell>
          <cell r="AB181">
            <v>287.64028629242193</v>
          </cell>
          <cell r="AC181">
            <v>0.12440639806495307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42459</v>
          </cell>
          <cell r="Z182">
            <v>42488</v>
          </cell>
          <cell r="AA182">
            <v>312158.37592229148</v>
          </cell>
          <cell r="AB182">
            <v>38834.499174297853</v>
          </cell>
          <cell r="AC182">
            <v>0.12440639806495306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42459</v>
          </cell>
          <cell r="Z183">
            <v>42488</v>
          </cell>
          <cell r="AA183">
            <v>241445.03785177079</v>
          </cell>
          <cell r="AB183">
            <v>30683.656824535952</v>
          </cell>
          <cell r="AC183">
            <v>0.12708340207585225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42459</v>
          </cell>
          <cell r="Z184">
            <v>42488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42459</v>
          </cell>
          <cell r="Z185">
            <v>42488</v>
          </cell>
          <cell r="AA185">
            <v>33969.738862170299</v>
          </cell>
          <cell r="AB185">
            <v>4325.4986528516556</v>
          </cell>
          <cell r="AC185">
            <v>0.12733388002781082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42459</v>
          </cell>
          <cell r="Z186">
            <v>42488</v>
          </cell>
          <cell r="AA186">
            <v>6667.9338317972051</v>
          </cell>
          <cell r="AB186">
            <v>849.05388657144624</v>
          </cell>
          <cell r="AC186">
            <v>0.12733388002781082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42459</v>
          </cell>
          <cell r="Z187">
            <v>42488</v>
          </cell>
          <cell r="AA187">
            <v>8295.7565266307956</v>
          </cell>
          <cell r="AB187">
            <v>1056.3308663019343</v>
          </cell>
          <cell r="AC187">
            <v>0.12733388002781082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42459</v>
          </cell>
          <cell r="Z188">
            <v>42488</v>
          </cell>
          <cell r="AA188">
            <v>4198.6291240183245</v>
          </cell>
          <cell r="AB188">
            <v>534.62773715902176</v>
          </cell>
          <cell r="AC188">
            <v>0.12733388002781082</v>
          </cell>
        </row>
        <row r="189">
          <cell r="R189">
            <v>3160</v>
          </cell>
          <cell r="S189" t="str">
            <v>Campus Develpmt &amp; Facilities</v>
          </cell>
          <cell r="Y189">
            <v>42459</v>
          </cell>
          <cell r="Z189">
            <v>42488</v>
          </cell>
          <cell r="AA189">
            <v>48534</v>
          </cell>
          <cell r="AB189">
            <v>0</v>
          </cell>
          <cell r="AC189">
            <v>0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42459</v>
          </cell>
          <cell r="Z190">
            <v>42488</v>
          </cell>
          <cell r="AA190">
            <v>150880.59733050875</v>
          </cell>
          <cell r="AB190">
            <v>19212.211879007435</v>
          </cell>
          <cell r="AC190">
            <v>0.12733388002781082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42459</v>
          </cell>
          <cell r="Z191">
            <v>42488</v>
          </cell>
          <cell r="AA191">
            <v>107982.33250815315</v>
          </cell>
          <cell r="AB191">
            <v>13433.693041991422</v>
          </cell>
          <cell r="AC191">
            <v>0.12440639806495306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42459</v>
          </cell>
          <cell r="Z192">
            <v>42488</v>
          </cell>
          <cell r="AA192">
            <v>111431.52227301682</v>
          </cell>
          <cell r="AB192">
            <v>13862.794316880612</v>
          </cell>
          <cell r="AC192">
            <v>0.12440639806495306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42459</v>
          </cell>
          <cell r="Z193">
            <v>42488</v>
          </cell>
          <cell r="AA193">
            <v>83316.318784561328</v>
          </cell>
          <cell r="AB193">
            <v>10608.990140472173</v>
          </cell>
          <cell r="AC193">
            <v>0.12733388002781082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42459</v>
          </cell>
          <cell r="Z194">
            <v>42488</v>
          </cell>
          <cell r="AA194">
            <v>68841.550913224637</v>
          </cell>
          <cell r="AB194">
            <v>8564.3293863193576</v>
          </cell>
          <cell r="AC194">
            <v>0.12440639806495307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42459</v>
          </cell>
          <cell r="Z195">
            <v>42488</v>
          </cell>
          <cell r="AA195">
            <v>2200.7666314719604</v>
          </cell>
          <cell r="AB195">
            <v>273.78944960296656</v>
          </cell>
          <cell r="AC195">
            <v>0.12440639806495306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42459</v>
          </cell>
          <cell r="Z196">
            <v>42488</v>
          </cell>
          <cell r="AA196">
            <v>11774.192155227347</v>
          </cell>
          <cell r="AB196">
            <v>1464.7848361564609</v>
          </cell>
          <cell r="AC196">
            <v>0.12440639806495306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42459</v>
          </cell>
          <cell r="Z197">
            <v>42488</v>
          </cell>
          <cell r="AA197">
            <v>96054.803738019953</v>
          </cell>
          <cell r="AB197">
            <v>12206.971244755865</v>
          </cell>
          <cell r="AC197">
            <v>0.12708340207585225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42459</v>
          </cell>
          <cell r="Z198">
            <v>42488</v>
          </cell>
          <cell r="AA198">
            <v>107229.08991873889</v>
          </cell>
          <cell r="AB198">
            <v>13627.037548370809</v>
          </cell>
          <cell r="AC198">
            <v>0.12708340207585225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42459</v>
          </cell>
          <cell r="Z199">
            <v>42488</v>
          </cell>
          <cell r="AA199">
            <v>46019.458922864993</v>
          </cell>
          <cell r="AB199">
            <v>5848.3094016076184</v>
          </cell>
          <cell r="AC199">
            <v>0.12708340207585225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42459</v>
          </cell>
          <cell r="Z200">
            <v>42488</v>
          </cell>
          <cell r="AA200">
            <v>77230.993731063601</v>
          </cell>
          <cell r="AB200">
            <v>9814.7774290423804</v>
          </cell>
          <cell r="AC200">
            <v>0.12708340207585225</v>
          </cell>
        </row>
        <row r="201">
          <cell r="R201" t="str">
            <v>5010</v>
          </cell>
          <cell r="S201" t="str">
            <v>Brian Kennedy Field</v>
          </cell>
          <cell r="Y201">
            <v>42459</v>
          </cell>
          <cell r="Z201">
            <v>42488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42459</v>
          </cell>
          <cell r="Z202">
            <v>42488</v>
          </cell>
          <cell r="AA202">
            <v>917.17664925233203</v>
          </cell>
          <cell r="AB202">
            <v>114.10264332276545</v>
          </cell>
          <cell r="AC202">
            <v>0.12440639806495306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42459</v>
          </cell>
          <cell r="Z203">
            <v>42488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42459</v>
          </cell>
          <cell r="Z205">
            <v>42488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42459</v>
          </cell>
          <cell r="AH205">
            <v>42488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42459</v>
          </cell>
          <cell r="Z206">
            <v>42488</v>
          </cell>
          <cell r="AC206">
            <v>0</v>
          </cell>
          <cell r="AE206" t="str">
            <v>1-63-43981-03000-00-0000-3-01</v>
          </cell>
          <cell r="AG206">
            <v>42459</v>
          </cell>
          <cell r="AH206">
            <v>42488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42472</v>
          </cell>
          <cell r="AH209">
            <v>42501</v>
          </cell>
          <cell r="AI209">
            <v>0</v>
          </cell>
          <cell r="AJ209">
            <v>110</v>
          </cell>
          <cell r="AL209">
            <v>110</v>
          </cell>
        </row>
        <row r="212">
          <cell r="AA212">
            <v>11707796.849239752</v>
          </cell>
          <cell r="AB212">
            <v>1558016.1700000004</v>
          </cell>
          <cell r="AC212">
            <v>0.13307509432068515</v>
          </cell>
        </row>
        <row r="216">
          <cell r="Z216" t="str">
            <v>ALLOCATED DWP PAYMENT:</v>
          </cell>
          <cell r="AA216">
            <v>11707796.849239752</v>
          </cell>
          <cell r="AB216">
            <v>1558016.1700000004</v>
          </cell>
          <cell r="AD216" t="str">
            <v>DOES NOT INCLUDE $110 ENERGY INFORMATION SYSTEM CHARGES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4159700.7643460841</v>
          </cell>
          <cell r="AB218">
            <v>528146.37763375917</v>
          </cell>
          <cell r="AC218">
            <v>0.12696739682831132</v>
          </cell>
          <cell r="AO218">
            <v>22359.697633759177</v>
          </cell>
        </row>
        <row r="219">
          <cell r="S219">
            <v>1656479</v>
          </cell>
          <cell r="Z219" t="str">
            <v>Jefferson 1</v>
          </cell>
          <cell r="AA219">
            <v>3133766.0354582467</v>
          </cell>
          <cell r="AB219">
            <v>389867.6639048144</v>
          </cell>
          <cell r="AC219">
            <v>0.12440866979011869</v>
          </cell>
          <cell r="AO219">
            <v>-22365.776095185603</v>
          </cell>
        </row>
        <row r="220">
          <cell r="S220">
            <v>1134280</v>
          </cell>
          <cell r="Z220" t="str">
            <v>Jefferson 2</v>
          </cell>
          <cell r="AA220">
            <v>2318953.2584354258</v>
          </cell>
          <cell r="AB220">
            <v>294249.14846142643</v>
          </cell>
          <cell r="AC220">
            <v>0.12688877940556392</v>
          </cell>
          <cell r="AO220">
            <v>59.868461426405702</v>
          </cell>
        </row>
        <row r="221">
          <cell r="S221">
            <v>8943554</v>
          </cell>
          <cell r="W221">
            <v>0</v>
          </cell>
          <cell r="AA221">
            <v>9612420.0582397562</v>
          </cell>
          <cell r="AB221">
            <v>1212263.19</v>
          </cell>
          <cell r="AC221">
            <v>0.12611425454309491</v>
          </cell>
          <cell r="AD221">
            <v>1212263.19</v>
          </cell>
          <cell r="AO221">
            <v>53.789999999979045</v>
          </cell>
        </row>
      </sheetData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"/>
      <sheetName val="GAS"/>
      <sheetName val="WATER"/>
      <sheetName val="Jun14(E) NOV13JUN(G&amp;W) SWO"/>
    </sheetNames>
    <sheetDataSet>
      <sheetData sheetId="0">
        <row r="8">
          <cell r="C8" t="str">
            <v>Maint. Type: NO CHARGE</v>
          </cell>
        </row>
        <row r="10">
          <cell r="D10" t="str">
            <v>Bldg#</v>
          </cell>
          <cell r="E10" t="str">
            <v>Bldg</v>
          </cell>
          <cell r="F10" t="str">
            <v>Bldg Desc</v>
          </cell>
          <cell r="G10" t="str">
            <v>Part Number</v>
          </cell>
          <cell r="H10" t="str">
            <v>Amount</v>
          </cell>
        </row>
        <row r="11">
          <cell r="C11" t="str">
            <v>ABA-EGW-14</v>
          </cell>
          <cell r="D11">
            <v>1130</v>
          </cell>
          <cell r="E11" t="str">
            <v>ABA</v>
          </cell>
          <cell r="F11" t="str">
            <v>ANNA BING ARNOLD CHILD CARE CENTER</v>
          </cell>
          <cell r="G11" t="str">
            <v>ELECTRIC</v>
          </cell>
          <cell r="H11">
            <v>26390.13</v>
          </cell>
        </row>
        <row r="12">
          <cell r="D12">
            <v>1130</v>
          </cell>
          <cell r="E12" t="str">
            <v>ABA</v>
          </cell>
          <cell r="F12" t="str">
            <v>ANNA BING ARNOLD CHILD CARE CENTER</v>
          </cell>
          <cell r="G12" t="str">
            <v>WATER</v>
          </cell>
          <cell r="H12">
            <v>5057.96</v>
          </cell>
        </row>
        <row r="13">
          <cell r="H13">
            <v>31448.09</v>
          </cell>
        </row>
        <row r="14">
          <cell r="C14" t="str">
            <v>Bldg#</v>
          </cell>
        </row>
        <row r="20">
          <cell r="D20" t="str">
            <v>Bldg Desc</v>
          </cell>
          <cell r="E20" t="str">
            <v>Part Number</v>
          </cell>
          <cell r="F20" t="str">
            <v>Amount</v>
          </cell>
        </row>
        <row r="21">
          <cell r="C21" t="str">
            <v>ACB-EGW-14</v>
          </cell>
          <cell r="D21">
            <v>1480</v>
          </cell>
          <cell r="E21" t="str">
            <v>ACB</v>
          </cell>
          <cell r="F21" t="str">
            <v>AHMANSON CENTER FOR BIOLOGICAL RESEARCH</v>
          </cell>
          <cell r="G21" t="str">
            <v>ELECTRIC</v>
          </cell>
          <cell r="H21">
            <v>282502.42</v>
          </cell>
        </row>
        <row r="22">
          <cell r="D22">
            <v>1480</v>
          </cell>
          <cell r="E22" t="str">
            <v>ACB</v>
          </cell>
          <cell r="F22" t="str">
            <v>AHMANSON CENTER FOR BIOLOGICAL RESEARCH</v>
          </cell>
          <cell r="G22" t="str">
            <v>GAS</v>
          </cell>
          <cell r="H22">
            <v>7809.61</v>
          </cell>
        </row>
        <row r="23">
          <cell r="D23">
            <v>1480</v>
          </cell>
          <cell r="E23" t="str">
            <v>ACB</v>
          </cell>
          <cell r="F23" t="str">
            <v>AHMANSON CENTER FOR BIOLOGICAL RESEARCH</v>
          </cell>
          <cell r="G23" t="str">
            <v>WATER</v>
          </cell>
          <cell r="H23">
            <v>44189.11</v>
          </cell>
        </row>
        <row r="24">
          <cell r="C24" t="str">
            <v>Bldg#</v>
          </cell>
          <cell r="H24">
            <v>334501.14</v>
          </cell>
        </row>
        <row r="31">
          <cell r="D31" t="str">
            <v>Bldg Desc</v>
          </cell>
          <cell r="E31" t="str">
            <v>Part Number</v>
          </cell>
          <cell r="F31" t="str">
            <v>Amount</v>
          </cell>
        </row>
        <row r="32">
          <cell r="C32" t="str">
            <v>ACC-EGW-14</v>
          </cell>
          <cell r="D32">
            <v>440</v>
          </cell>
          <cell r="E32" t="str">
            <v>ACC</v>
          </cell>
          <cell r="F32" t="str">
            <v>ELAINE &amp; KENNETH LEVENTHAL SCHOOL OF ACCOUNTING</v>
          </cell>
          <cell r="G32" t="str">
            <v>ELECTRIC</v>
          </cell>
          <cell r="H32">
            <v>73232.25</v>
          </cell>
        </row>
        <row r="33">
          <cell r="D33">
            <v>440</v>
          </cell>
          <cell r="E33" t="str">
            <v>ACC</v>
          </cell>
          <cell r="F33" t="str">
            <v>ELAINE &amp; KENNETH LEVENTHAL SCHOOL OF ACCOUNTING</v>
          </cell>
          <cell r="G33" t="str">
            <v>GAS</v>
          </cell>
          <cell r="H33">
            <v>4716.87</v>
          </cell>
        </row>
        <row r="34">
          <cell r="D34">
            <v>440</v>
          </cell>
          <cell r="E34" t="str">
            <v>ACC</v>
          </cell>
          <cell r="F34" t="str">
            <v>ELAINE &amp; KENNETH LEVENTHAL SCHOOL OF ACCOUNTING</v>
          </cell>
          <cell r="G34" t="str">
            <v>WATER</v>
          </cell>
          <cell r="H34">
            <v>6164</v>
          </cell>
        </row>
        <row r="35">
          <cell r="C35" t="str">
            <v>Bldg#</v>
          </cell>
          <cell r="H35">
            <v>84113.12</v>
          </cell>
        </row>
        <row r="42">
          <cell r="D42" t="str">
            <v>Bldg Desc</v>
          </cell>
          <cell r="E42" t="str">
            <v>Part Number</v>
          </cell>
          <cell r="F42" t="str">
            <v>Amount</v>
          </cell>
        </row>
        <row r="43">
          <cell r="C43" t="str">
            <v>ADM-EGW-14</v>
          </cell>
          <cell r="D43">
            <v>10</v>
          </cell>
          <cell r="E43" t="str">
            <v>ADM</v>
          </cell>
          <cell r="F43" t="str">
            <v>GEORGE FINLEY BOVARD ADMINISTRATION BUILDING &amp; KENNETH NORRIS JR. AUDITORIUM</v>
          </cell>
          <cell r="G43" t="str">
            <v>ELECTRIC</v>
          </cell>
          <cell r="H43">
            <v>71582.66</v>
          </cell>
        </row>
        <row r="44">
          <cell r="D44">
            <v>10</v>
          </cell>
          <cell r="E44" t="str">
            <v>ADM</v>
          </cell>
          <cell r="F44" t="str">
            <v>GEORGE FINLEY BOVARD ADMINISTRATION BUILDING &amp; KENNETH NORRIS JR. AUDITORIUM</v>
          </cell>
          <cell r="G44" t="str">
            <v>GAS</v>
          </cell>
          <cell r="H44">
            <v>13981.34</v>
          </cell>
        </row>
        <row r="45">
          <cell r="D45">
            <v>10</v>
          </cell>
          <cell r="E45" t="str">
            <v>ADM</v>
          </cell>
          <cell r="F45" t="str">
            <v>GEORGE FINLEY BOVARD ADMINISTRATION BUILDING &amp; KENNETH NORRIS JR. AUDITORIUM</v>
          </cell>
          <cell r="G45" t="str">
            <v>WATER</v>
          </cell>
          <cell r="H45">
            <v>9791.85</v>
          </cell>
        </row>
        <row r="46">
          <cell r="C46" t="str">
            <v>Bldg#</v>
          </cell>
          <cell r="H46">
            <v>95355.85</v>
          </cell>
        </row>
        <row r="53">
          <cell r="D53" t="str">
            <v>Bldg Desc</v>
          </cell>
          <cell r="E53" t="str">
            <v>Part Number</v>
          </cell>
          <cell r="F53" t="str">
            <v>Amount</v>
          </cell>
        </row>
        <row r="54">
          <cell r="C54" t="str">
            <v>ADM1-EL-14</v>
          </cell>
          <cell r="D54">
            <v>11</v>
          </cell>
          <cell r="E54" t="str">
            <v>ADM1</v>
          </cell>
          <cell r="F54" t="str">
            <v>BOVARD AUDITORIUM</v>
          </cell>
          <cell r="G54" t="str">
            <v>ELECTRIC</v>
          </cell>
          <cell r="H54">
            <v>51937.1</v>
          </cell>
        </row>
        <row r="55">
          <cell r="H55">
            <v>51937.1</v>
          </cell>
        </row>
        <row r="57">
          <cell r="C57" t="str">
            <v>Bldg#</v>
          </cell>
        </row>
        <row r="62">
          <cell r="D62" t="str">
            <v>Bldg Desc</v>
          </cell>
          <cell r="E62" t="str">
            <v>Part Number</v>
          </cell>
          <cell r="F62" t="str">
            <v>Amount</v>
          </cell>
        </row>
        <row r="63">
          <cell r="C63" t="str">
            <v>ADM9-EL-14</v>
          </cell>
          <cell r="D63">
            <v>19</v>
          </cell>
          <cell r="E63" t="str">
            <v>ADM9</v>
          </cell>
          <cell r="F63" t="str">
            <v>BOVARD CELL TOWER</v>
          </cell>
          <cell r="G63" t="str">
            <v>ELECTRIC</v>
          </cell>
          <cell r="H63">
            <v>4175.57</v>
          </cell>
        </row>
        <row r="64">
          <cell r="H64">
            <v>4175.57</v>
          </cell>
        </row>
        <row r="66">
          <cell r="C66" t="str">
            <v>Bldg#</v>
          </cell>
        </row>
        <row r="71">
          <cell r="D71" t="str">
            <v>Bldg Desc</v>
          </cell>
          <cell r="E71" t="str">
            <v>Part Number</v>
          </cell>
          <cell r="F71" t="str">
            <v>Amount</v>
          </cell>
        </row>
        <row r="72">
          <cell r="C72" t="str">
            <v>AHF-EGW-14</v>
          </cell>
          <cell r="D72">
            <v>370</v>
          </cell>
          <cell r="E72" t="str">
            <v>AHF</v>
          </cell>
          <cell r="F72" t="str">
            <v>ALLAN HANCOCK FOUNDATION</v>
          </cell>
          <cell r="G72" t="str">
            <v>ELECTRIC</v>
          </cell>
          <cell r="H72">
            <v>368718.19</v>
          </cell>
        </row>
        <row r="73">
          <cell r="D73">
            <v>370</v>
          </cell>
          <cell r="E73" t="str">
            <v>AHF</v>
          </cell>
          <cell r="F73" t="str">
            <v>ALLAN HANCOCK FOUNDATION</v>
          </cell>
          <cell r="G73" t="str">
            <v>GAS</v>
          </cell>
          <cell r="H73">
            <v>16434.169999999998</v>
          </cell>
        </row>
        <row r="74">
          <cell r="D74">
            <v>370</v>
          </cell>
          <cell r="E74" t="str">
            <v>AHF</v>
          </cell>
          <cell r="F74" t="str">
            <v>ALLAN HANCOCK FOUNDATION</v>
          </cell>
          <cell r="G74" t="str">
            <v>WATER</v>
          </cell>
          <cell r="H74">
            <v>28626.34</v>
          </cell>
        </row>
        <row r="75">
          <cell r="C75" t="str">
            <v>Bldg#</v>
          </cell>
          <cell r="H75">
            <v>413778.7</v>
          </cell>
        </row>
        <row r="82">
          <cell r="D82" t="str">
            <v>Bldg Desc</v>
          </cell>
          <cell r="E82" t="str">
            <v>Part Number</v>
          </cell>
          <cell r="F82" t="str">
            <v>Amount</v>
          </cell>
        </row>
        <row r="83">
          <cell r="C83" t="str">
            <v>AHN-ELC-14</v>
          </cell>
          <cell r="D83">
            <v>140</v>
          </cell>
          <cell r="E83" t="str">
            <v>AHN</v>
          </cell>
          <cell r="F83" t="str">
            <v>DOSAN AHN CHANG HO FAMILY HOUSE</v>
          </cell>
          <cell r="G83" t="str">
            <v>ELECTRIC</v>
          </cell>
          <cell r="H83">
            <v>6041.86</v>
          </cell>
        </row>
        <row r="84">
          <cell r="H84">
            <v>6041.86</v>
          </cell>
        </row>
        <row r="86">
          <cell r="C86" t="str">
            <v>Bldg#</v>
          </cell>
        </row>
        <row r="91">
          <cell r="D91" t="str">
            <v>Bldg Desc</v>
          </cell>
          <cell r="E91" t="str">
            <v>Part Number</v>
          </cell>
          <cell r="F91" t="str">
            <v>Amount</v>
          </cell>
        </row>
        <row r="92">
          <cell r="C92" t="str">
            <v>AHN-GAS-14</v>
          </cell>
          <cell r="D92">
            <v>140</v>
          </cell>
          <cell r="E92" t="str">
            <v>AHN</v>
          </cell>
          <cell r="F92" t="str">
            <v>DOSAN AHN CHANG HO FAMILY HOUSE</v>
          </cell>
          <cell r="G92" t="str">
            <v>GAS</v>
          </cell>
          <cell r="H92">
            <v>0</v>
          </cell>
        </row>
        <row r="93">
          <cell r="H93">
            <v>0</v>
          </cell>
        </row>
        <row r="100">
          <cell r="D100" t="str">
            <v>Bldg Desc</v>
          </cell>
          <cell r="E100" t="str">
            <v>Part Number</v>
          </cell>
          <cell r="F100" t="str">
            <v>Amount</v>
          </cell>
        </row>
        <row r="101">
          <cell r="C101" t="str">
            <v>AHN-WTR-14 - AHN: UTILITIES FY14 - WATER</v>
          </cell>
          <cell r="D101">
            <v>140</v>
          </cell>
          <cell r="E101" t="str">
            <v>AHN</v>
          </cell>
          <cell r="F101" t="str">
            <v>DOSAN AHN CHANG HO FAMILY HOUSE</v>
          </cell>
          <cell r="G101" t="str">
            <v>WATER</v>
          </cell>
          <cell r="H101">
            <v>1071.57</v>
          </cell>
        </row>
        <row r="102">
          <cell r="H102">
            <v>1071.57</v>
          </cell>
        </row>
        <row r="104">
          <cell r="C104" t="str">
            <v>Bldg#</v>
          </cell>
        </row>
        <row r="109">
          <cell r="D109" t="str">
            <v>Bldg Desc</v>
          </cell>
          <cell r="E109" t="str">
            <v>Part Number</v>
          </cell>
          <cell r="F109" t="str">
            <v>Amount</v>
          </cell>
        </row>
        <row r="110">
          <cell r="C110" t="str">
            <v>ALM-EGW-14</v>
          </cell>
          <cell r="D110">
            <v>460</v>
          </cell>
          <cell r="E110" t="str">
            <v>ALM</v>
          </cell>
          <cell r="F110" t="str">
            <v>WIDNEY ALUMNI HOUSE</v>
          </cell>
          <cell r="G110" t="str">
            <v>ELECTRIC</v>
          </cell>
          <cell r="H110">
            <v>12466.76</v>
          </cell>
        </row>
        <row r="111">
          <cell r="D111">
            <v>460</v>
          </cell>
          <cell r="E111" t="str">
            <v>ALM</v>
          </cell>
          <cell r="F111" t="str">
            <v>WIDNEY ALUMNI HOUSE</v>
          </cell>
          <cell r="G111" t="str">
            <v>GAS</v>
          </cell>
          <cell r="H111">
            <v>494.97</v>
          </cell>
        </row>
        <row r="112">
          <cell r="D112">
            <v>460</v>
          </cell>
          <cell r="E112" t="str">
            <v>ALM</v>
          </cell>
          <cell r="F112" t="str">
            <v>WIDNEY ALUMNI HOUSE</v>
          </cell>
          <cell r="G112" t="str">
            <v>WATER</v>
          </cell>
          <cell r="H112">
            <v>1240.53</v>
          </cell>
        </row>
        <row r="113">
          <cell r="C113" t="str">
            <v>Bldg#</v>
          </cell>
          <cell r="H113">
            <v>14202.26</v>
          </cell>
        </row>
        <row r="120">
          <cell r="D120" t="str">
            <v>Bldg Desc</v>
          </cell>
          <cell r="E120" t="str">
            <v>Part Number</v>
          </cell>
          <cell r="F120" t="str">
            <v>Amount</v>
          </cell>
        </row>
        <row r="121">
          <cell r="C121" t="str">
            <v>ASC-EGW-14</v>
          </cell>
          <cell r="D121">
            <v>320</v>
          </cell>
          <cell r="E121" t="str">
            <v>ASC</v>
          </cell>
          <cell r="F121" t="str">
            <v>ANNENBERG SCHOOL FOR COMMUNICATION</v>
          </cell>
          <cell r="G121" t="str">
            <v>ELECTRIC</v>
          </cell>
          <cell r="H121">
            <v>207873.98</v>
          </cell>
        </row>
        <row r="122">
          <cell r="D122">
            <v>320</v>
          </cell>
          <cell r="E122" t="str">
            <v>ASC</v>
          </cell>
          <cell r="F122" t="str">
            <v>ANNENBERG SCHOOL FOR COMMUNICATION</v>
          </cell>
          <cell r="G122" t="str">
            <v>GAS</v>
          </cell>
          <cell r="H122">
            <v>13392.28</v>
          </cell>
        </row>
        <row r="123">
          <cell r="D123">
            <v>320</v>
          </cell>
          <cell r="E123" t="str">
            <v>ASC</v>
          </cell>
          <cell r="F123" t="str">
            <v>ANNENBERG SCHOOL FOR COMMUNICATION</v>
          </cell>
          <cell r="G123" t="str">
            <v>WATER</v>
          </cell>
          <cell r="H123">
            <v>5377.96</v>
          </cell>
        </row>
        <row r="124">
          <cell r="C124" t="str">
            <v>Bldg#</v>
          </cell>
          <cell r="H124">
            <v>226644.22</v>
          </cell>
        </row>
        <row r="131">
          <cell r="D131" t="str">
            <v>Bldg Desc</v>
          </cell>
          <cell r="E131" t="str">
            <v>Part Number</v>
          </cell>
          <cell r="F131" t="str">
            <v>Amount</v>
          </cell>
        </row>
        <row r="132">
          <cell r="C132" t="str">
            <v>BCC-NELC14</v>
          </cell>
          <cell r="D132">
            <v>2660</v>
          </cell>
          <cell r="E132" t="str">
            <v>BCC</v>
          </cell>
          <cell r="F132" t="str">
            <v>ELI &amp; EDYTH BROAD CIRM CENTER FOR REGENERATIVE MEDICINE &amp; STEM CELL RESCH.</v>
          </cell>
          <cell r="G132" t="str">
            <v>ELECTRIC</v>
          </cell>
          <cell r="H132">
            <v>415666.43</v>
          </cell>
        </row>
        <row r="133">
          <cell r="H133">
            <v>415666.43</v>
          </cell>
        </row>
        <row r="135">
          <cell r="C135" t="str">
            <v>Bldg#</v>
          </cell>
        </row>
        <row r="140">
          <cell r="D140" t="str">
            <v>Bldg Desc</v>
          </cell>
          <cell r="E140" t="str">
            <v>Part Number</v>
          </cell>
          <cell r="F140" t="str">
            <v>Amount</v>
          </cell>
        </row>
        <row r="141">
          <cell r="C141" t="str">
            <v>BCC-NGAS14</v>
          </cell>
          <cell r="D141">
            <v>2660</v>
          </cell>
          <cell r="E141" t="str">
            <v>BCC</v>
          </cell>
          <cell r="F141" t="str">
            <v>ELI &amp; EDYTH BROAD CIRM CENTER FOR REGENERATIVE MEDICINE &amp; STEM CELL RESCH.</v>
          </cell>
          <cell r="G141" t="str">
            <v>GAS</v>
          </cell>
          <cell r="H141">
            <v>28442.84</v>
          </cell>
        </row>
        <row r="142">
          <cell r="H142">
            <v>28442.84</v>
          </cell>
        </row>
        <row r="144">
          <cell r="C144" t="str">
            <v>Bldg#</v>
          </cell>
        </row>
        <row r="149">
          <cell r="D149" t="str">
            <v>Bldg Desc</v>
          </cell>
          <cell r="E149" t="str">
            <v>Part Number</v>
          </cell>
          <cell r="F149" t="str">
            <v>Amount</v>
          </cell>
        </row>
        <row r="150">
          <cell r="C150" t="str">
            <v>BCC-NWTR14</v>
          </cell>
          <cell r="D150">
            <v>2660</v>
          </cell>
          <cell r="E150" t="str">
            <v>BCC</v>
          </cell>
          <cell r="F150" t="str">
            <v>ELI &amp; EDYTH BROAD CIRM CENTER FOR REGENERATIVE MEDICINE &amp; STEM CELL RESCH.</v>
          </cell>
          <cell r="G150" t="str">
            <v>WATER</v>
          </cell>
          <cell r="H150">
            <v>6108.46</v>
          </cell>
        </row>
        <row r="151">
          <cell r="H151">
            <v>6108.46</v>
          </cell>
        </row>
        <row r="153">
          <cell r="C153" t="str">
            <v>Bldg#</v>
          </cell>
        </row>
        <row r="158">
          <cell r="D158" t="str">
            <v>Bldg Desc</v>
          </cell>
          <cell r="E158" t="str">
            <v>Part Number</v>
          </cell>
          <cell r="F158" t="str">
            <v>Amount</v>
          </cell>
        </row>
        <row r="159">
          <cell r="C159" t="str">
            <v>BDF-EGW-14</v>
          </cell>
          <cell r="D159">
            <v>730</v>
          </cell>
          <cell r="E159" t="str">
            <v>BDF</v>
          </cell>
          <cell r="F159" t="str">
            <v>JOHN G. BROOKS MEMORIAL PAVILION &amp; DEDEAUX FIELD</v>
          </cell>
          <cell r="G159" t="str">
            <v>ELECTRIC</v>
          </cell>
          <cell r="H159">
            <v>56251.18</v>
          </cell>
        </row>
        <row r="160">
          <cell r="D160">
            <v>730</v>
          </cell>
          <cell r="E160" t="str">
            <v>BDF</v>
          </cell>
          <cell r="F160" t="str">
            <v>JOHN G. BROOKS MEMORIAL PAVILION &amp; DEDEAUX FIELD</v>
          </cell>
          <cell r="G160" t="str">
            <v>GAS</v>
          </cell>
          <cell r="H160">
            <v>912.88</v>
          </cell>
        </row>
        <row r="161">
          <cell r="D161">
            <v>730</v>
          </cell>
          <cell r="E161" t="str">
            <v>BDF</v>
          </cell>
          <cell r="F161" t="str">
            <v>JOHN G. BROOKS MEMORIAL PAVILION &amp; DEDEAUX FIELD</v>
          </cell>
          <cell r="G161" t="str">
            <v>WATER</v>
          </cell>
          <cell r="H161">
            <v>4941.49</v>
          </cell>
        </row>
        <row r="162">
          <cell r="C162" t="str">
            <v>Bldg#</v>
          </cell>
          <cell r="H162">
            <v>62105.55</v>
          </cell>
        </row>
        <row r="169">
          <cell r="D169" t="str">
            <v>Bldg Desc</v>
          </cell>
          <cell r="E169" t="str">
            <v>Part Number</v>
          </cell>
          <cell r="F169" t="str">
            <v>Amount</v>
          </cell>
        </row>
        <row r="170">
          <cell r="C170" t="str">
            <v>BDX-EXW-14</v>
          </cell>
          <cell r="D170">
            <v>5020</v>
          </cell>
          <cell r="E170" t="str">
            <v>BDX</v>
          </cell>
          <cell r="F170" t="str">
            <v>DEDEAUX FIELD</v>
          </cell>
          <cell r="G170" t="str">
            <v>ELECTRIC</v>
          </cell>
          <cell r="H170">
            <v>2000.33</v>
          </cell>
        </row>
        <row r="171">
          <cell r="D171">
            <v>5020</v>
          </cell>
          <cell r="E171" t="str">
            <v>BDX</v>
          </cell>
          <cell r="F171" t="str">
            <v>DEDEAUX FIELD</v>
          </cell>
          <cell r="G171" t="str">
            <v>WATER</v>
          </cell>
          <cell r="H171">
            <v>22497.360000000001</v>
          </cell>
        </row>
        <row r="172">
          <cell r="H172">
            <v>24497.69</v>
          </cell>
        </row>
        <row r="173">
          <cell r="C173" t="str">
            <v>Bldg#</v>
          </cell>
        </row>
        <row r="179">
          <cell r="D179" t="str">
            <v>Bldg Desc</v>
          </cell>
          <cell r="E179" t="str">
            <v>Part Number</v>
          </cell>
          <cell r="F179" t="str">
            <v>Amount</v>
          </cell>
        </row>
        <row r="180">
          <cell r="C180" t="str">
            <v>BHE-EGW-14</v>
          </cell>
          <cell r="D180">
            <v>230</v>
          </cell>
          <cell r="E180" t="str">
            <v>BHE</v>
          </cell>
          <cell r="F180" t="str">
            <v>BIEGLER HALL OF ENGINEERING</v>
          </cell>
          <cell r="G180" t="str">
            <v>ELECTRIC</v>
          </cell>
          <cell r="H180">
            <v>65360.86</v>
          </cell>
        </row>
        <row r="181">
          <cell r="D181">
            <v>230</v>
          </cell>
          <cell r="E181" t="str">
            <v>BHE</v>
          </cell>
          <cell r="F181" t="str">
            <v>BIEGLER HALL OF ENGINEERING</v>
          </cell>
          <cell r="G181" t="str">
            <v>GAS</v>
          </cell>
          <cell r="H181">
            <v>4086.08</v>
          </cell>
        </row>
        <row r="182">
          <cell r="D182">
            <v>230</v>
          </cell>
          <cell r="E182" t="str">
            <v>BHE</v>
          </cell>
          <cell r="F182" t="str">
            <v>BIEGLER HALL OF ENGINEERING</v>
          </cell>
          <cell r="G182" t="str">
            <v>WATER</v>
          </cell>
          <cell r="H182">
            <v>9348.1</v>
          </cell>
        </row>
        <row r="183">
          <cell r="C183" t="str">
            <v>Bldg#</v>
          </cell>
          <cell r="H183">
            <v>78795.039999999994</v>
          </cell>
        </row>
        <row r="190">
          <cell r="D190" t="str">
            <v>Bldg Desc</v>
          </cell>
          <cell r="E190" t="str">
            <v>Part Number</v>
          </cell>
          <cell r="F190" t="str">
            <v>Amount</v>
          </cell>
        </row>
        <row r="191">
          <cell r="C191" t="str">
            <v>BIT-EGW-14</v>
          </cell>
          <cell r="D191">
            <v>840</v>
          </cell>
          <cell r="E191" t="str">
            <v>BIT</v>
          </cell>
          <cell r="F191" t="str">
            <v>BING THEATRE</v>
          </cell>
          <cell r="G191" t="str">
            <v>ELECTRIC</v>
          </cell>
          <cell r="H191">
            <v>38014.620000000003</v>
          </cell>
        </row>
        <row r="192">
          <cell r="D192">
            <v>840</v>
          </cell>
          <cell r="E192" t="str">
            <v>BIT</v>
          </cell>
          <cell r="F192" t="str">
            <v>BING THEATRE</v>
          </cell>
          <cell r="G192" t="str">
            <v>GAS</v>
          </cell>
          <cell r="H192">
            <v>2745.76</v>
          </cell>
        </row>
        <row r="193">
          <cell r="D193">
            <v>840</v>
          </cell>
          <cell r="E193" t="str">
            <v>BIT</v>
          </cell>
          <cell r="F193" t="str">
            <v>BING THEATRE</v>
          </cell>
          <cell r="G193" t="str">
            <v>WATER</v>
          </cell>
          <cell r="H193">
            <v>3990.08</v>
          </cell>
        </row>
        <row r="194">
          <cell r="C194" t="str">
            <v>Bldg#</v>
          </cell>
          <cell r="H194">
            <v>44750.46</v>
          </cell>
        </row>
        <row r="201">
          <cell r="D201" t="str">
            <v>Bldg Desc</v>
          </cell>
          <cell r="E201" t="str">
            <v>Part Number</v>
          </cell>
          <cell r="F201" t="str">
            <v>Amount</v>
          </cell>
        </row>
        <row r="202">
          <cell r="C202" t="str">
            <v>BKF-EXW-14</v>
          </cell>
          <cell r="D202">
            <v>5010</v>
          </cell>
          <cell r="E202" t="str">
            <v>BKF</v>
          </cell>
          <cell r="F202" t="str">
            <v>BRIAN KENNEDY FIELD</v>
          </cell>
          <cell r="G202" t="str">
            <v>WATER</v>
          </cell>
          <cell r="H202">
            <v>19800.400000000001</v>
          </cell>
        </row>
        <row r="203">
          <cell r="H203">
            <v>19800.400000000001</v>
          </cell>
        </row>
        <row r="206">
          <cell r="C206" t="str">
            <v>Bldg#</v>
          </cell>
        </row>
        <row r="210">
          <cell r="D210" t="str">
            <v>Bldg Desc</v>
          </cell>
          <cell r="E210" t="str">
            <v>Part Number</v>
          </cell>
          <cell r="F210" t="str">
            <v>Amount</v>
          </cell>
        </row>
        <row r="211">
          <cell r="C211" t="str">
            <v>BKS-EGW-14</v>
          </cell>
          <cell r="D211">
            <v>2540</v>
          </cell>
          <cell r="E211" t="str">
            <v>BKS</v>
          </cell>
          <cell r="F211" t="str">
            <v>PERTUSATI UNIVERSITY BOOKSTORE</v>
          </cell>
          <cell r="G211" t="str">
            <v>ELECTRIC</v>
          </cell>
          <cell r="H211">
            <v>9577.2000000000007</v>
          </cell>
        </row>
        <row r="212">
          <cell r="D212">
            <v>2540</v>
          </cell>
          <cell r="E212" t="str">
            <v>BKS</v>
          </cell>
          <cell r="F212" t="str">
            <v>PERTUSATI UNIVERSITY BOOKSTORE</v>
          </cell>
          <cell r="G212" t="str">
            <v>GAS</v>
          </cell>
          <cell r="H212">
            <v>0</v>
          </cell>
        </row>
        <row r="213">
          <cell r="H213">
            <v>9577.2000000000007</v>
          </cell>
        </row>
        <row r="214">
          <cell r="C214" t="str">
            <v>Bldg#</v>
          </cell>
        </row>
        <row r="220">
          <cell r="D220" t="str">
            <v>Bldg Desc</v>
          </cell>
          <cell r="E220" t="str">
            <v>Part Number</v>
          </cell>
          <cell r="F220" t="str">
            <v>Amount</v>
          </cell>
        </row>
        <row r="221">
          <cell r="C221" t="str">
            <v>BKS-ELC-14</v>
          </cell>
          <cell r="D221">
            <v>2540</v>
          </cell>
          <cell r="E221" t="str">
            <v>BKS</v>
          </cell>
          <cell r="F221" t="str">
            <v>PERTUSATI UNIVERSITY BOOKSTORE</v>
          </cell>
          <cell r="G221" t="str">
            <v>ELECTRIC</v>
          </cell>
          <cell r="H221">
            <v>93071.78</v>
          </cell>
        </row>
        <row r="222">
          <cell r="H222">
            <v>93071.78</v>
          </cell>
        </row>
        <row r="224">
          <cell r="C224" t="str">
            <v>Bldg#</v>
          </cell>
        </row>
        <row r="229">
          <cell r="D229" t="str">
            <v>Bldg Desc</v>
          </cell>
          <cell r="E229" t="str">
            <v>Part Number</v>
          </cell>
          <cell r="F229" t="str">
            <v>Amount</v>
          </cell>
        </row>
        <row r="230">
          <cell r="C230" t="str">
            <v>BKS-GAS-14</v>
          </cell>
          <cell r="D230">
            <v>2540</v>
          </cell>
          <cell r="E230" t="str">
            <v>BKS</v>
          </cell>
          <cell r="F230" t="str">
            <v>PERTUSATI UNIVERSITY BOOKSTORE</v>
          </cell>
          <cell r="G230" t="str">
            <v>GAS</v>
          </cell>
          <cell r="H230">
            <v>8129.78</v>
          </cell>
        </row>
        <row r="231">
          <cell r="H231">
            <v>8129.78</v>
          </cell>
        </row>
        <row r="233">
          <cell r="C233" t="str">
            <v>Bldg#</v>
          </cell>
        </row>
        <row r="238">
          <cell r="D238" t="str">
            <v>Bldg Desc</v>
          </cell>
          <cell r="E238" t="str">
            <v>Part Number</v>
          </cell>
          <cell r="F238" t="str">
            <v>Amount</v>
          </cell>
        </row>
        <row r="239">
          <cell r="C239" t="str">
            <v>BKS-WTR-14</v>
          </cell>
          <cell r="D239">
            <v>2540</v>
          </cell>
          <cell r="E239" t="str">
            <v>BKS</v>
          </cell>
          <cell r="F239" t="str">
            <v>PERTUSATI UNIVERSITY BOOKSTORE</v>
          </cell>
          <cell r="G239" t="str">
            <v>WATER</v>
          </cell>
          <cell r="H239">
            <v>3168.13</v>
          </cell>
        </row>
        <row r="240">
          <cell r="H240">
            <v>3168.13</v>
          </cell>
        </row>
        <row r="242">
          <cell r="C242" t="str">
            <v>Bldg#</v>
          </cell>
        </row>
        <row r="247">
          <cell r="D247" t="str">
            <v>Bldg Desc</v>
          </cell>
          <cell r="E247" t="str">
            <v>Part Number</v>
          </cell>
          <cell r="F247" t="str">
            <v>Amount</v>
          </cell>
        </row>
        <row r="248">
          <cell r="C248" t="str">
            <v>BKS8-EL-14</v>
          </cell>
          <cell r="D248">
            <v>2548</v>
          </cell>
          <cell r="E248" t="str">
            <v>BKS8</v>
          </cell>
          <cell r="F248" t="str">
            <v>PERTUSATI UNIV BOOKSTORE CELL TOWER</v>
          </cell>
          <cell r="G248" t="str">
            <v>ELECTRIC</v>
          </cell>
          <cell r="H248">
            <v>4357.67</v>
          </cell>
        </row>
        <row r="249">
          <cell r="H249">
            <v>4357.67</v>
          </cell>
        </row>
        <row r="251">
          <cell r="C251" t="str">
            <v>Bldg#</v>
          </cell>
        </row>
        <row r="256">
          <cell r="D256" t="str">
            <v>Bldg Desc</v>
          </cell>
          <cell r="E256" t="str">
            <v>Part Number</v>
          </cell>
          <cell r="F256" t="str">
            <v>Amount</v>
          </cell>
        </row>
        <row r="257">
          <cell r="C257" t="str">
            <v>BKS9-EL-14</v>
          </cell>
          <cell r="D257">
            <v>2549</v>
          </cell>
          <cell r="E257" t="str">
            <v>BKS9</v>
          </cell>
          <cell r="F257" t="str">
            <v>PERTUSATI UNIV BOOKSTORE CELL TOWER</v>
          </cell>
          <cell r="G257" t="str">
            <v>ELECTRIC</v>
          </cell>
          <cell r="H257">
            <v>2713.29</v>
          </cell>
        </row>
        <row r="258">
          <cell r="H258">
            <v>2713.29</v>
          </cell>
        </row>
        <row r="260">
          <cell r="C260" t="str">
            <v>Bldg#</v>
          </cell>
        </row>
        <row r="265">
          <cell r="D265" t="str">
            <v>Bldg Desc</v>
          </cell>
          <cell r="E265" t="str">
            <v>Part Number</v>
          </cell>
          <cell r="F265" t="str">
            <v>Amount</v>
          </cell>
        </row>
        <row r="266">
          <cell r="C266" t="str">
            <v>BMH-EGW-14</v>
          </cell>
          <cell r="D266">
            <v>1440</v>
          </cell>
          <cell r="E266" t="str">
            <v>BMH</v>
          </cell>
          <cell r="F266" t="str">
            <v>MRS. WILLIS H. BOOTH FERRIS REHEARSAL HALL</v>
          </cell>
          <cell r="G266" t="str">
            <v>ELECTRIC</v>
          </cell>
          <cell r="H266">
            <v>24210.13</v>
          </cell>
        </row>
        <row r="267">
          <cell r="D267">
            <v>1440</v>
          </cell>
          <cell r="E267" t="str">
            <v>BMH</v>
          </cell>
          <cell r="F267" t="str">
            <v>MRS. WILLIS H. BOOTH FERRIS REHEARSAL HALL</v>
          </cell>
          <cell r="G267" t="str">
            <v>GAS</v>
          </cell>
          <cell r="H267">
            <v>0</v>
          </cell>
        </row>
        <row r="268">
          <cell r="D268">
            <v>1440</v>
          </cell>
          <cell r="E268" t="str">
            <v>BMH</v>
          </cell>
          <cell r="F268" t="str">
            <v>MRS. WILLIS H. BOOTH FERRIS REHEARSAL HALL</v>
          </cell>
          <cell r="G268" t="str">
            <v>WATER</v>
          </cell>
          <cell r="H268">
            <v>2017.77</v>
          </cell>
        </row>
        <row r="269">
          <cell r="C269" t="str">
            <v>Bldg#</v>
          </cell>
          <cell r="H269">
            <v>26227.9</v>
          </cell>
        </row>
        <row r="276">
          <cell r="C276" t="str">
            <v>BMT-EGW-14</v>
          </cell>
          <cell r="D276" t="str">
            <v>Bldg Desc</v>
          </cell>
          <cell r="E276" t="str">
            <v>Part Number</v>
          </cell>
          <cell r="F276" t="str">
            <v>Amount</v>
          </cell>
        </row>
        <row r="277">
          <cell r="D277">
            <v>680</v>
          </cell>
          <cell r="E277" t="str">
            <v>BMT</v>
          </cell>
          <cell r="F277" t="str">
            <v>JOHN E. BISHOP MEDICAL TEACHING &amp; RESEARCH BUILDING</v>
          </cell>
          <cell r="G277" t="str">
            <v>ELECTRIC</v>
          </cell>
          <cell r="H277">
            <v>104929.16</v>
          </cell>
        </row>
        <row r="278">
          <cell r="D278">
            <v>680</v>
          </cell>
          <cell r="E278" t="str">
            <v>BMT</v>
          </cell>
          <cell r="F278" t="str">
            <v>JOHN E. BISHOP MEDICAL TEACHING &amp; RESEARCH BUILDING</v>
          </cell>
          <cell r="G278" t="str">
            <v>GAS</v>
          </cell>
          <cell r="H278">
            <v>7733.5</v>
          </cell>
        </row>
        <row r="279">
          <cell r="C279" t="str">
            <v>Bldg#</v>
          </cell>
          <cell r="D279">
            <v>680</v>
          </cell>
          <cell r="E279" t="str">
            <v>BMT</v>
          </cell>
          <cell r="F279" t="str">
            <v>JOHN E. BISHOP MEDICAL TEACHING &amp; RESEARCH BUILDING</v>
          </cell>
          <cell r="G279" t="str">
            <v>WATER</v>
          </cell>
          <cell r="H279">
            <v>1532.95</v>
          </cell>
        </row>
        <row r="280">
          <cell r="H280">
            <v>114195.61</v>
          </cell>
        </row>
        <row r="287">
          <cell r="D287" t="str">
            <v>Bldg Desc</v>
          </cell>
          <cell r="E287" t="str">
            <v>Part Number</v>
          </cell>
          <cell r="F287" t="str">
            <v>Amount</v>
          </cell>
        </row>
        <row r="288">
          <cell r="C288" t="str">
            <v>BRI-EGW-14</v>
          </cell>
          <cell r="D288">
            <v>80</v>
          </cell>
          <cell r="E288" t="str">
            <v>BRI</v>
          </cell>
          <cell r="F288" t="str">
            <v>BRIDGE MEMORIAL HALL</v>
          </cell>
          <cell r="G288" t="str">
            <v>ELECTRIC</v>
          </cell>
          <cell r="H288">
            <v>50718.38</v>
          </cell>
        </row>
        <row r="289">
          <cell r="D289">
            <v>80</v>
          </cell>
          <cell r="E289" t="str">
            <v>BRI</v>
          </cell>
          <cell r="F289" t="str">
            <v>BRIDGE MEMORIAL HALL</v>
          </cell>
          <cell r="G289" t="str">
            <v>GAS</v>
          </cell>
          <cell r="H289">
            <v>4360.9799999999996</v>
          </cell>
        </row>
        <row r="290">
          <cell r="C290" t="str">
            <v>Bldg#</v>
          </cell>
          <cell r="D290">
            <v>80</v>
          </cell>
          <cell r="E290" t="str">
            <v>BRI</v>
          </cell>
          <cell r="F290" t="str">
            <v>BRIDGE MEMORIAL HALL</v>
          </cell>
          <cell r="G290" t="str">
            <v>WATER</v>
          </cell>
          <cell r="H290">
            <v>4669.95</v>
          </cell>
        </row>
        <row r="291">
          <cell r="H291">
            <v>59749.31</v>
          </cell>
        </row>
        <row r="298">
          <cell r="D298" t="str">
            <v>Bldg Desc</v>
          </cell>
          <cell r="E298" t="str">
            <v>Part Number</v>
          </cell>
          <cell r="F298" t="str">
            <v>Amount</v>
          </cell>
        </row>
        <row r="299">
          <cell r="C299" t="str">
            <v>BSR-ELC-14</v>
          </cell>
          <cell r="D299">
            <v>880</v>
          </cell>
          <cell r="E299" t="str">
            <v>BSR</v>
          </cell>
          <cell r="F299" t="str">
            <v>CECELE &amp; MICHAEL BIRNKRANT RESIDENCE HALL</v>
          </cell>
          <cell r="G299" t="str">
            <v>ELECTRIC</v>
          </cell>
          <cell r="H299">
            <v>81581.22</v>
          </cell>
        </row>
        <row r="300">
          <cell r="H300">
            <v>81581.22</v>
          </cell>
        </row>
        <row r="302">
          <cell r="C302" t="str">
            <v>Bldg#</v>
          </cell>
        </row>
        <row r="307">
          <cell r="D307" t="str">
            <v>Bldg Desc</v>
          </cell>
          <cell r="E307" t="str">
            <v>Part Number</v>
          </cell>
          <cell r="F307" t="str">
            <v>Amount</v>
          </cell>
        </row>
        <row r="308">
          <cell r="C308" t="str">
            <v>BSR-GAS-14</v>
          </cell>
          <cell r="D308">
            <v>880</v>
          </cell>
          <cell r="E308" t="str">
            <v>BSR</v>
          </cell>
          <cell r="F308" t="str">
            <v>CECELE &amp; MICHAEL BIRNKRANT RESIDENCE HALL</v>
          </cell>
          <cell r="G308" t="str">
            <v>GAS</v>
          </cell>
          <cell r="H308">
            <v>4142.46</v>
          </cell>
        </row>
        <row r="309">
          <cell r="H309">
            <v>4142.46</v>
          </cell>
        </row>
        <row r="310">
          <cell r="C310" t="str">
            <v>Bldg#</v>
          </cell>
        </row>
        <row r="316">
          <cell r="D316" t="str">
            <v>Bldg Desc</v>
          </cell>
          <cell r="E316" t="str">
            <v>Part Number</v>
          </cell>
          <cell r="F316" t="str">
            <v>Amount</v>
          </cell>
        </row>
        <row r="317">
          <cell r="C317" t="str">
            <v>BSR-WTR-14</v>
          </cell>
          <cell r="D317">
            <v>880</v>
          </cell>
          <cell r="E317" t="str">
            <v>BSR</v>
          </cell>
          <cell r="F317" t="str">
            <v>CECELE &amp; MICHAEL BIRNKRANT RESIDENCE HALL</v>
          </cell>
          <cell r="G317" t="str">
            <v>WATER</v>
          </cell>
          <cell r="H317">
            <v>18624.599999999999</v>
          </cell>
        </row>
        <row r="318">
          <cell r="H318">
            <v>18624.599999999999</v>
          </cell>
        </row>
        <row r="320">
          <cell r="C320" t="str">
            <v>Bldg#</v>
          </cell>
        </row>
        <row r="325">
          <cell r="D325" t="str">
            <v>Bldg Desc</v>
          </cell>
          <cell r="E325" t="str">
            <v>Part Number</v>
          </cell>
          <cell r="F325" t="str">
            <v>Amount</v>
          </cell>
        </row>
        <row r="326">
          <cell r="C326" t="str">
            <v>CAL-EGW-14</v>
          </cell>
          <cell r="D326">
            <v>2810</v>
          </cell>
          <cell r="E326" t="str">
            <v>CAL</v>
          </cell>
          <cell r="F326" t="str">
            <v>CAROLE LITTLE BUILDING</v>
          </cell>
          <cell r="G326" t="str">
            <v>ELECTRIC</v>
          </cell>
          <cell r="H326">
            <v>2294157.7200000002</v>
          </cell>
        </row>
        <row r="327">
          <cell r="D327">
            <v>2810</v>
          </cell>
          <cell r="E327" t="str">
            <v>CAL</v>
          </cell>
          <cell r="F327" t="str">
            <v>CAROLE LITTLE BUILDING</v>
          </cell>
          <cell r="G327" t="str">
            <v>GAS</v>
          </cell>
          <cell r="H327">
            <v>993.55</v>
          </cell>
        </row>
        <row r="328">
          <cell r="D328">
            <v>2810</v>
          </cell>
          <cell r="E328" t="str">
            <v>CAL</v>
          </cell>
          <cell r="F328" t="str">
            <v>CAROLE LITTLE BUILDING</v>
          </cell>
          <cell r="G328" t="str">
            <v>WATER</v>
          </cell>
          <cell r="H328">
            <v>57821.07</v>
          </cell>
        </row>
        <row r="329">
          <cell r="C329" t="str">
            <v>Bldg#</v>
          </cell>
          <cell r="H329">
            <v>2352972.34</v>
          </cell>
        </row>
        <row r="336">
          <cell r="D336" t="str">
            <v>Bldg Desc</v>
          </cell>
          <cell r="E336" t="str">
            <v>Part Number</v>
          </cell>
          <cell r="F336" t="str">
            <v>Amount</v>
          </cell>
        </row>
        <row r="337">
          <cell r="C337" t="str">
            <v>CAL1NELC14</v>
          </cell>
          <cell r="D337">
            <v>2811</v>
          </cell>
          <cell r="E337" t="str">
            <v>CAL1</v>
          </cell>
          <cell r="F337" t="str">
            <v>URBAN MARKET</v>
          </cell>
          <cell r="G337" t="str">
            <v>ELECTRIC</v>
          </cell>
          <cell r="H337">
            <v>26870.42</v>
          </cell>
        </row>
        <row r="338">
          <cell r="H338">
            <v>26870.42</v>
          </cell>
        </row>
        <row r="340">
          <cell r="C340" t="str">
            <v>Bldg#</v>
          </cell>
        </row>
        <row r="345">
          <cell r="D345" t="str">
            <v>Bldg Desc</v>
          </cell>
          <cell r="E345" t="str">
            <v>Part Number</v>
          </cell>
          <cell r="F345" t="str">
            <v>Amount</v>
          </cell>
        </row>
        <row r="346">
          <cell r="C346" t="str">
            <v>CAS-EGW-14</v>
          </cell>
          <cell r="D346">
            <v>150</v>
          </cell>
          <cell r="E346" t="str">
            <v>CAS</v>
          </cell>
          <cell r="F346" t="str">
            <v>COLLEGE ACADEMIC SERVICES BUILDING</v>
          </cell>
          <cell r="G346" t="str">
            <v>ELECTRIC</v>
          </cell>
          <cell r="H346">
            <v>19495.43</v>
          </cell>
        </row>
        <row r="347">
          <cell r="D347">
            <v>150</v>
          </cell>
          <cell r="E347" t="str">
            <v>CAS</v>
          </cell>
          <cell r="F347" t="str">
            <v>COLLEGE ACADEMIC SERVICES BUILDING</v>
          </cell>
          <cell r="G347" t="str">
            <v>GAS</v>
          </cell>
          <cell r="H347">
            <v>1</v>
          </cell>
        </row>
        <row r="348">
          <cell r="D348">
            <v>150</v>
          </cell>
          <cell r="E348" t="str">
            <v>CAS</v>
          </cell>
          <cell r="F348" t="str">
            <v>COLLEGE ACADEMIC SERVICES BUILDING</v>
          </cell>
          <cell r="G348" t="str">
            <v>WATER</v>
          </cell>
          <cell r="H348">
            <v>381.27</v>
          </cell>
        </row>
        <row r="349">
          <cell r="C349" t="str">
            <v>Bldg#</v>
          </cell>
          <cell r="H349">
            <v>19877.7</v>
          </cell>
        </row>
        <row r="356">
          <cell r="D356" t="str">
            <v>Bldg Desc</v>
          </cell>
          <cell r="E356" t="str">
            <v>Part Number</v>
          </cell>
          <cell r="F356" t="str">
            <v>Amount</v>
          </cell>
        </row>
        <row r="357">
          <cell r="C357" t="str">
            <v>CCC-EGW-14</v>
          </cell>
          <cell r="D357">
            <v>120</v>
          </cell>
          <cell r="E357" t="str">
            <v>CCC</v>
          </cell>
          <cell r="F357" t="str">
            <v>HEALTH SCIENCE CAMPUS CHILD CARE CENTER</v>
          </cell>
          <cell r="G357" t="str">
            <v>ELECTRIC</v>
          </cell>
          <cell r="H357">
            <v>7450.04</v>
          </cell>
        </row>
        <row r="358">
          <cell r="D358">
            <v>120</v>
          </cell>
          <cell r="E358" t="str">
            <v>CCC</v>
          </cell>
          <cell r="F358" t="str">
            <v>HEALTH SCIENCE CAMPUS CHILD CARE CENTER</v>
          </cell>
          <cell r="G358" t="str">
            <v>GAS</v>
          </cell>
          <cell r="H358">
            <v>205.44</v>
          </cell>
        </row>
        <row r="359">
          <cell r="D359">
            <v>120</v>
          </cell>
          <cell r="E359" t="str">
            <v>CCC</v>
          </cell>
          <cell r="F359" t="str">
            <v>HEALTH SCIENCE CAMPUS CHILD CARE CENTER</v>
          </cell>
          <cell r="G359" t="str">
            <v>WATER</v>
          </cell>
          <cell r="H359">
            <v>1286</v>
          </cell>
        </row>
        <row r="360">
          <cell r="C360" t="str">
            <v>Bldg#</v>
          </cell>
          <cell r="H360">
            <v>8941.48</v>
          </cell>
        </row>
        <row r="367">
          <cell r="D367" t="str">
            <v>Bldg Desc</v>
          </cell>
          <cell r="E367" t="str">
            <v>Part Number</v>
          </cell>
          <cell r="F367" t="str">
            <v>Amount</v>
          </cell>
        </row>
        <row r="368">
          <cell r="C368" t="str">
            <v>CCP-EGW-14</v>
          </cell>
          <cell r="D368">
            <v>2551</v>
          </cell>
          <cell r="E368" t="str">
            <v>CCP</v>
          </cell>
          <cell r="F368" t="str">
            <v>CHP Chiller Plant</v>
          </cell>
          <cell r="G368" t="str">
            <v>ELECTRIC</v>
          </cell>
          <cell r="H368">
            <v>768631.82</v>
          </cell>
        </row>
        <row r="369">
          <cell r="H369">
            <v>768631.82</v>
          </cell>
        </row>
        <row r="371">
          <cell r="C371" t="str">
            <v>Bldg#</v>
          </cell>
        </row>
        <row r="376">
          <cell r="D376" t="str">
            <v>Bldg Desc</v>
          </cell>
          <cell r="E376" t="str">
            <v>Part Number</v>
          </cell>
          <cell r="F376" t="str">
            <v>Amount</v>
          </cell>
        </row>
        <row r="377">
          <cell r="C377" t="str">
            <v>CDF-ELC-14</v>
          </cell>
          <cell r="D377">
            <v>3160</v>
          </cell>
          <cell r="E377" t="str">
            <v>CDF</v>
          </cell>
          <cell r="F377" t="str">
            <v>CAMPUS DEVELOPMENT &amp; FACILITIES BUILDING</v>
          </cell>
          <cell r="G377" t="str">
            <v>ELECTRIC</v>
          </cell>
          <cell r="H377">
            <v>68589.58</v>
          </cell>
        </row>
        <row r="378">
          <cell r="H378">
            <v>68589.58</v>
          </cell>
        </row>
        <row r="380">
          <cell r="C380" t="str">
            <v>Bldg#</v>
          </cell>
        </row>
        <row r="385">
          <cell r="D385" t="str">
            <v>Bldg Desc</v>
          </cell>
          <cell r="E385" t="str">
            <v>Part Number</v>
          </cell>
          <cell r="F385" t="str">
            <v>Amount</v>
          </cell>
        </row>
        <row r="386">
          <cell r="C386" t="str">
            <v>CDF-GAS-14</v>
          </cell>
          <cell r="D386">
            <v>3160</v>
          </cell>
          <cell r="E386" t="str">
            <v>CDF</v>
          </cell>
          <cell r="F386" t="str">
            <v>CAMPUS DEVELOPMENT &amp; FACILITIES BUILDING</v>
          </cell>
          <cell r="G386" t="str">
            <v>GAS</v>
          </cell>
          <cell r="H386">
            <v>1940.02</v>
          </cell>
        </row>
        <row r="387">
          <cell r="H387">
            <v>1940.02</v>
          </cell>
        </row>
        <row r="389">
          <cell r="C389" t="str">
            <v>Bldg#</v>
          </cell>
        </row>
        <row r="394">
          <cell r="D394" t="str">
            <v>Bldg Desc</v>
          </cell>
          <cell r="E394" t="str">
            <v>Part Number</v>
          </cell>
          <cell r="F394" t="str">
            <v>Amount</v>
          </cell>
        </row>
        <row r="395">
          <cell r="C395" t="str">
            <v>CDF-WTR-14</v>
          </cell>
          <cell r="D395">
            <v>3160</v>
          </cell>
          <cell r="E395" t="str">
            <v>CDF</v>
          </cell>
          <cell r="F395" t="str">
            <v>CAMPUS DEVELOPMENT &amp; FACILITIES BUILDING</v>
          </cell>
          <cell r="G395" t="str">
            <v>WATER</v>
          </cell>
          <cell r="H395">
            <v>1274.22</v>
          </cell>
        </row>
        <row r="396">
          <cell r="H396">
            <v>1274.22</v>
          </cell>
        </row>
        <row r="398">
          <cell r="C398" t="str">
            <v>Bldg#</v>
          </cell>
        </row>
        <row r="403">
          <cell r="D403" t="str">
            <v>Bldg Desc</v>
          </cell>
          <cell r="E403" t="str">
            <v>Part Number</v>
          </cell>
          <cell r="F403" t="str">
            <v>Amount</v>
          </cell>
        </row>
        <row r="404">
          <cell r="C404" t="str">
            <v>CEM-EGW-14</v>
          </cell>
          <cell r="D404">
            <v>100</v>
          </cell>
          <cell r="E404" t="str">
            <v>CEM</v>
          </cell>
          <cell r="F404" t="str">
            <v>CENTER FOR ELECTRON MICROSCOPY AND MICROANALYSIS</v>
          </cell>
          <cell r="G404" t="str">
            <v>ELECTRIC</v>
          </cell>
          <cell r="H404">
            <v>47627.73</v>
          </cell>
        </row>
        <row r="405">
          <cell r="D405">
            <v>100</v>
          </cell>
          <cell r="E405" t="str">
            <v>CEM</v>
          </cell>
          <cell r="F405" t="str">
            <v>CENTER FOR ELECTRON MICROSCOPY AND MICROANALYSIS</v>
          </cell>
          <cell r="G405" t="str">
            <v>GAS</v>
          </cell>
          <cell r="H405">
            <v>0</v>
          </cell>
        </row>
        <row r="406">
          <cell r="D406">
            <v>100</v>
          </cell>
          <cell r="E406" t="str">
            <v>CEM</v>
          </cell>
          <cell r="F406" t="str">
            <v>CENTER FOR ELECTRON MICROSCOPY AND MICROANALYSIS</v>
          </cell>
          <cell r="G406" t="str">
            <v>WATER</v>
          </cell>
          <cell r="H406">
            <v>4849.63</v>
          </cell>
        </row>
        <row r="407">
          <cell r="C407" t="str">
            <v>Bldg#</v>
          </cell>
          <cell r="H407">
            <v>52477.36</v>
          </cell>
        </row>
        <row r="414">
          <cell r="D414" t="str">
            <v>Bldg Desc</v>
          </cell>
          <cell r="E414" t="str">
            <v>Part Number</v>
          </cell>
          <cell r="F414" t="str">
            <v>Amount</v>
          </cell>
        </row>
        <row r="415">
          <cell r="C415" t="str">
            <v>CFH-EGW-14</v>
          </cell>
          <cell r="D415">
            <v>2300</v>
          </cell>
          <cell r="E415" t="str">
            <v>CFH</v>
          </cell>
          <cell r="F415" t="str">
            <v>DEAN BARTLETT CROMWELL FIELD HOUSE</v>
          </cell>
          <cell r="G415" t="str">
            <v>GAS</v>
          </cell>
          <cell r="H415">
            <v>0</v>
          </cell>
        </row>
        <row r="416">
          <cell r="D416">
            <v>2300</v>
          </cell>
          <cell r="E416" t="str">
            <v>CFH</v>
          </cell>
          <cell r="F416" t="str">
            <v>DEAN BARTLETT CROMWELL FIELD HOUSE</v>
          </cell>
          <cell r="G416" t="str">
            <v>WATER</v>
          </cell>
          <cell r="H416">
            <v>130.22</v>
          </cell>
        </row>
        <row r="417">
          <cell r="H417">
            <v>130.22</v>
          </cell>
        </row>
        <row r="418">
          <cell r="C418" t="str">
            <v>Bldg#</v>
          </cell>
        </row>
        <row r="424">
          <cell r="D424" t="str">
            <v>Bldg Desc</v>
          </cell>
          <cell r="E424" t="str">
            <v>Part Number</v>
          </cell>
          <cell r="F424" t="str">
            <v>Amount</v>
          </cell>
        </row>
        <row r="425">
          <cell r="C425" t="str">
            <v>CFX-EXW-14</v>
          </cell>
          <cell r="D425">
            <v>5070</v>
          </cell>
          <cell r="E425" t="str">
            <v>CFX</v>
          </cell>
          <cell r="F425" t="str">
            <v>DEAN BARTLETT CROMWELL FIELD</v>
          </cell>
          <cell r="G425" t="str">
            <v>WATER</v>
          </cell>
          <cell r="H425">
            <v>0</v>
          </cell>
        </row>
        <row r="426">
          <cell r="H426">
            <v>0</v>
          </cell>
        </row>
        <row r="433">
          <cell r="D433" t="str">
            <v>Bldg Desc</v>
          </cell>
          <cell r="E433" t="str">
            <v>Part Number</v>
          </cell>
          <cell r="F433" t="str">
            <v>Amount</v>
          </cell>
        </row>
        <row r="434">
          <cell r="C434" t="str">
            <v>CHP-EGW-14</v>
          </cell>
          <cell r="D434">
            <v>2550</v>
          </cell>
          <cell r="E434" t="str">
            <v>CHP</v>
          </cell>
          <cell r="F434" t="str">
            <v>CENTER FOR HEALTH PROFESSIONS</v>
          </cell>
          <cell r="G434" t="str">
            <v>ELECTRIC</v>
          </cell>
          <cell r="H434">
            <v>236886.52</v>
          </cell>
        </row>
        <row r="435">
          <cell r="D435">
            <v>2550</v>
          </cell>
          <cell r="E435" t="str">
            <v>CHP</v>
          </cell>
          <cell r="F435" t="str">
            <v>CENTER FOR HEALTH PROFESSIONS</v>
          </cell>
          <cell r="G435" t="str">
            <v>GAS</v>
          </cell>
          <cell r="H435">
            <v>23775.84</v>
          </cell>
        </row>
        <row r="436">
          <cell r="D436">
            <v>2550</v>
          </cell>
          <cell r="E436" t="str">
            <v>CHP</v>
          </cell>
          <cell r="F436" t="str">
            <v>CENTER FOR HEALTH PROFESSIONS</v>
          </cell>
          <cell r="G436" t="str">
            <v>WATER</v>
          </cell>
          <cell r="H436">
            <v>141105.37</v>
          </cell>
        </row>
        <row r="437">
          <cell r="C437" t="str">
            <v>Bldg#</v>
          </cell>
          <cell r="H437">
            <v>401767.73</v>
          </cell>
        </row>
        <row r="444">
          <cell r="D444" t="str">
            <v>Bldg Desc</v>
          </cell>
          <cell r="E444" t="str">
            <v>Part Number</v>
          </cell>
          <cell r="F444" t="str">
            <v>Amount</v>
          </cell>
        </row>
        <row r="445">
          <cell r="C445" t="str">
            <v>CLH-EGW-14</v>
          </cell>
          <cell r="D445">
            <v>1270</v>
          </cell>
          <cell r="E445" t="str">
            <v>CLH</v>
          </cell>
          <cell r="F445" t="str">
            <v>COLLEGE HOUSE</v>
          </cell>
          <cell r="G445" t="str">
            <v>ELECTRIC</v>
          </cell>
          <cell r="H445">
            <v>5099.66</v>
          </cell>
        </row>
        <row r="446">
          <cell r="D446">
            <v>1270</v>
          </cell>
          <cell r="E446" t="str">
            <v>CLH</v>
          </cell>
          <cell r="F446" t="str">
            <v>COLLEGE HOUSE</v>
          </cell>
          <cell r="G446" t="str">
            <v>GAS</v>
          </cell>
          <cell r="H446">
            <v>31</v>
          </cell>
        </row>
        <row r="447">
          <cell r="D447">
            <v>1270</v>
          </cell>
          <cell r="E447" t="str">
            <v>CLH</v>
          </cell>
          <cell r="F447" t="str">
            <v>COLLEGE HOUSE</v>
          </cell>
          <cell r="G447" t="str">
            <v>WATER</v>
          </cell>
          <cell r="H447">
            <v>269.73</v>
          </cell>
        </row>
        <row r="448">
          <cell r="C448" t="str">
            <v>Bldg#</v>
          </cell>
          <cell r="H448">
            <v>5400.39</v>
          </cell>
        </row>
        <row r="455">
          <cell r="D455" t="str">
            <v>Bldg Desc</v>
          </cell>
          <cell r="E455" t="str">
            <v>Part Number</v>
          </cell>
          <cell r="F455" t="str">
            <v>Amount</v>
          </cell>
        </row>
        <row r="456">
          <cell r="C456" t="str">
            <v>COH-EGW-14</v>
          </cell>
          <cell r="D456">
            <v>2650</v>
          </cell>
          <cell r="E456" t="str">
            <v>COH</v>
          </cell>
          <cell r="F456" t="str">
            <v>COCKINS HOUSE</v>
          </cell>
          <cell r="G456" t="str">
            <v>ELECTRIC</v>
          </cell>
          <cell r="H456">
            <v>8414.92</v>
          </cell>
        </row>
        <row r="457">
          <cell r="D457">
            <v>2650</v>
          </cell>
          <cell r="E457" t="str">
            <v>COH</v>
          </cell>
          <cell r="F457" t="str">
            <v>COCKINS HOUSE</v>
          </cell>
          <cell r="G457" t="str">
            <v>GAS</v>
          </cell>
          <cell r="H457">
            <v>100.37</v>
          </cell>
        </row>
        <row r="458">
          <cell r="D458">
            <v>2650</v>
          </cell>
          <cell r="E458" t="str">
            <v>COH</v>
          </cell>
          <cell r="F458" t="str">
            <v>COCKINS HOUSE</v>
          </cell>
          <cell r="G458" t="str">
            <v>WATER</v>
          </cell>
          <cell r="H458">
            <v>912.83</v>
          </cell>
        </row>
        <row r="459">
          <cell r="C459" t="str">
            <v>Bldg#</v>
          </cell>
          <cell r="H459">
            <v>9428.1200000000008</v>
          </cell>
        </row>
        <row r="466">
          <cell r="D466" t="str">
            <v>Bldg Desc</v>
          </cell>
          <cell r="E466" t="str">
            <v>Part Number</v>
          </cell>
          <cell r="F466" t="str">
            <v>Amount</v>
          </cell>
        </row>
        <row r="467">
          <cell r="C467" t="str">
            <v>COL-ELC-14</v>
          </cell>
          <cell r="D467">
            <v>1000</v>
          </cell>
          <cell r="E467" t="str">
            <v>COL</v>
          </cell>
          <cell r="F467" t="str">
            <v>COLLEGE RESIDENCE HALL</v>
          </cell>
          <cell r="G467" t="str">
            <v>ELECTRIC</v>
          </cell>
          <cell r="H467">
            <v>91804.99</v>
          </cell>
        </row>
        <row r="468">
          <cell r="H468">
            <v>91804.99</v>
          </cell>
        </row>
        <row r="470">
          <cell r="C470" t="str">
            <v>Bldg#</v>
          </cell>
        </row>
        <row r="475">
          <cell r="D475" t="str">
            <v>Bldg Desc</v>
          </cell>
          <cell r="E475" t="str">
            <v>Part Number</v>
          </cell>
          <cell r="F475" t="str">
            <v>Amount</v>
          </cell>
        </row>
        <row r="476">
          <cell r="C476" t="str">
            <v>COL-GAS-14</v>
          </cell>
          <cell r="D476">
            <v>1000</v>
          </cell>
          <cell r="E476" t="str">
            <v>COL</v>
          </cell>
          <cell r="F476" t="str">
            <v>COLLEGE RESIDENCE HALL</v>
          </cell>
          <cell r="G476" t="str">
            <v>GAS</v>
          </cell>
          <cell r="H476">
            <v>1024.9100000000001</v>
          </cell>
        </row>
        <row r="477">
          <cell r="H477">
            <v>1024.9100000000001</v>
          </cell>
        </row>
        <row r="479">
          <cell r="C479" t="str">
            <v>Bldg#</v>
          </cell>
        </row>
        <row r="484">
          <cell r="D484" t="str">
            <v>Bldg Desc</v>
          </cell>
          <cell r="E484" t="str">
            <v>Part Number</v>
          </cell>
          <cell r="F484" t="str">
            <v>Amount</v>
          </cell>
        </row>
        <row r="485">
          <cell r="C485" t="str">
            <v>COL-WTR-14</v>
          </cell>
          <cell r="D485">
            <v>1000</v>
          </cell>
          <cell r="E485" t="str">
            <v>COL</v>
          </cell>
          <cell r="F485" t="str">
            <v>COLLEGE RESIDENCE HALL</v>
          </cell>
          <cell r="G485" t="str">
            <v>WATER</v>
          </cell>
          <cell r="H485">
            <v>10487.33</v>
          </cell>
        </row>
        <row r="486">
          <cell r="H486">
            <v>10487.33</v>
          </cell>
        </row>
        <row r="488">
          <cell r="C488" t="str">
            <v>Bldg#</v>
          </cell>
        </row>
        <row r="493">
          <cell r="D493" t="str">
            <v>Bldg Desc</v>
          </cell>
          <cell r="E493" t="str">
            <v>Part Number</v>
          </cell>
          <cell r="F493" t="str">
            <v>Amount</v>
          </cell>
        </row>
        <row r="494">
          <cell r="C494" t="str">
            <v>CSA-EGW-14</v>
          </cell>
          <cell r="D494">
            <v>2490</v>
          </cell>
          <cell r="E494" t="str">
            <v>CSA</v>
          </cell>
          <cell r="F494" t="str">
            <v>CLINICAL SCIENCES ANNEX</v>
          </cell>
          <cell r="G494" t="str">
            <v>ELECTRIC</v>
          </cell>
          <cell r="H494">
            <v>707705.21</v>
          </cell>
        </row>
        <row r="495">
          <cell r="D495">
            <v>2490</v>
          </cell>
          <cell r="E495" t="str">
            <v>CSA</v>
          </cell>
          <cell r="F495" t="str">
            <v>CLINICAL SCIENCES ANNEX</v>
          </cell>
          <cell r="G495" t="str">
            <v>GAS</v>
          </cell>
          <cell r="H495">
            <v>10006.01</v>
          </cell>
        </row>
        <row r="496">
          <cell r="D496">
            <v>2490</v>
          </cell>
          <cell r="E496" t="str">
            <v>CSA</v>
          </cell>
          <cell r="F496" t="str">
            <v>CLINICAL SCIENCES ANNEX</v>
          </cell>
          <cell r="G496" t="str">
            <v>WATER</v>
          </cell>
          <cell r="H496">
            <v>19216.55</v>
          </cell>
        </row>
        <row r="497">
          <cell r="C497" t="str">
            <v>Bldg#</v>
          </cell>
          <cell r="H497">
            <v>736927.77</v>
          </cell>
        </row>
        <row r="504">
          <cell r="D504" t="str">
            <v>Bldg Desc</v>
          </cell>
          <cell r="E504" t="str">
            <v>Part Number</v>
          </cell>
          <cell r="F504" t="str">
            <v>Amount</v>
          </cell>
        </row>
        <row r="505">
          <cell r="C505" t="str">
            <v>CSB-EGW-14</v>
          </cell>
          <cell r="D505">
            <v>1830</v>
          </cell>
          <cell r="E505" t="str">
            <v>CSB</v>
          </cell>
          <cell r="F505" t="str">
            <v>CENTRAL SERVICES BUILDING</v>
          </cell>
          <cell r="G505" t="str">
            <v>ELECTRIC</v>
          </cell>
          <cell r="H505">
            <v>1215.3699999999999</v>
          </cell>
        </row>
        <row r="506">
          <cell r="D506">
            <v>1830</v>
          </cell>
          <cell r="E506" t="str">
            <v>CSB</v>
          </cell>
          <cell r="F506" t="str">
            <v>CENTRAL SERVICES BUILDING</v>
          </cell>
          <cell r="G506" t="str">
            <v>GAS</v>
          </cell>
          <cell r="H506">
            <v>45.85</v>
          </cell>
        </row>
        <row r="507">
          <cell r="D507">
            <v>1830</v>
          </cell>
          <cell r="E507" t="str">
            <v>CSB</v>
          </cell>
          <cell r="F507" t="str">
            <v>CENTRAL SERVICES BUILDING</v>
          </cell>
          <cell r="G507" t="str">
            <v>WATER</v>
          </cell>
          <cell r="H507">
            <v>414.15</v>
          </cell>
        </row>
        <row r="508">
          <cell r="C508" t="str">
            <v>Bldg#</v>
          </cell>
          <cell r="H508">
            <v>1675.37</v>
          </cell>
        </row>
        <row r="515">
          <cell r="D515" t="str">
            <v>Bldg Desc</v>
          </cell>
          <cell r="E515" t="str">
            <v>Part Number</v>
          </cell>
          <cell r="F515" t="str">
            <v>Amount</v>
          </cell>
        </row>
        <row r="516">
          <cell r="C516" t="str">
            <v>CSC-GAS-14</v>
          </cell>
          <cell r="D516">
            <v>2470</v>
          </cell>
          <cell r="E516" t="str">
            <v>CSC</v>
          </cell>
          <cell r="F516" t="str">
            <v>CLINICAL SCIENCE CENTER</v>
          </cell>
          <cell r="G516" t="str">
            <v>GAS</v>
          </cell>
          <cell r="H516">
            <v>57500.9</v>
          </cell>
        </row>
        <row r="517">
          <cell r="H517">
            <v>57500.9</v>
          </cell>
        </row>
        <row r="519">
          <cell r="C519" t="str">
            <v>Bldg#</v>
          </cell>
        </row>
        <row r="524">
          <cell r="D524" t="str">
            <v>Bldg Desc</v>
          </cell>
          <cell r="E524" t="str">
            <v>Part Number</v>
          </cell>
          <cell r="F524" t="str">
            <v>Amount</v>
          </cell>
        </row>
        <row r="525">
          <cell r="C525" t="str">
            <v>CSC-WTR-14</v>
          </cell>
          <cell r="D525">
            <v>2470</v>
          </cell>
          <cell r="E525" t="str">
            <v>CSC</v>
          </cell>
          <cell r="F525" t="str">
            <v>CLINICAL SCIENCE CENTER</v>
          </cell>
          <cell r="G525" t="str">
            <v>WATER</v>
          </cell>
          <cell r="H525">
            <v>30460.43</v>
          </cell>
        </row>
        <row r="526">
          <cell r="H526">
            <v>30460.43</v>
          </cell>
        </row>
        <row r="528">
          <cell r="C528" t="str">
            <v>Bldg#</v>
          </cell>
        </row>
        <row r="533">
          <cell r="D533" t="str">
            <v>Bldg Desc</v>
          </cell>
          <cell r="E533" t="str">
            <v>Part Number</v>
          </cell>
          <cell r="F533" t="str">
            <v>Amount</v>
          </cell>
        </row>
        <row r="534">
          <cell r="C534" t="str">
            <v>CSC1-EG-14</v>
          </cell>
          <cell r="D534">
            <v>2471</v>
          </cell>
          <cell r="E534" t="str">
            <v>CSC1</v>
          </cell>
          <cell r="F534" t="str">
            <v>CSC-SYNCOR</v>
          </cell>
          <cell r="G534" t="str">
            <v>ELECTRIC</v>
          </cell>
          <cell r="H534">
            <v>62655.26</v>
          </cell>
        </row>
        <row r="535">
          <cell r="H535">
            <v>62655.26</v>
          </cell>
        </row>
        <row r="537">
          <cell r="C537" t="str">
            <v>Bldg#</v>
          </cell>
        </row>
        <row r="542">
          <cell r="D542" t="str">
            <v>Bldg Desc</v>
          </cell>
          <cell r="E542" t="str">
            <v>Part Number</v>
          </cell>
          <cell r="F542" t="str">
            <v>Amount</v>
          </cell>
        </row>
        <row r="543">
          <cell r="C543" t="str">
            <v>CSS-GAS-14</v>
          </cell>
          <cell r="D543">
            <v>2230</v>
          </cell>
          <cell r="E543" t="str">
            <v>AES</v>
          </cell>
          <cell r="F543" t="str">
            <v>ALICE AND ELEONORE SCHOENFELD SYMPHONIC HALL</v>
          </cell>
          <cell r="G543" t="str">
            <v>GAS</v>
          </cell>
          <cell r="H543">
            <v>517.76</v>
          </cell>
        </row>
        <row r="544">
          <cell r="H544">
            <v>517.76</v>
          </cell>
        </row>
        <row r="546">
          <cell r="C546" t="str">
            <v>Bldg#</v>
          </cell>
        </row>
        <row r="551">
          <cell r="D551" t="str">
            <v>Bldg Desc</v>
          </cell>
          <cell r="E551" t="str">
            <v>Part Number</v>
          </cell>
          <cell r="F551" t="str">
            <v>Amount</v>
          </cell>
        </row>
        <row r="552">
          <cell r="C552" t="str">
            <v>CTC-EGW-14</v>
          </cell>
          <cell r="D552">
            <v>2211</v>
          </cell>
          <cell r="E552" t="str">
            <v>CTC</v>
          </cell>
          <cell r="F552" t="str">
            <v>CINEMA TELEVISION CENTER COMPLEX</v>
          </cell>
          <cell r="G552" t="str">
            <v>ELECTRIC</v>
          </cell>
          <cell r="H552">
            <v>38949.800000000003</v>
          </cell>
        </row>
        <row r="553">
          <cell r="H553">
            <v>38949.800000000003</v>
          </cell>
        </row>
        <row r="555">
          <cell r="C555" t="str">
            <v>Bldg#</v>
          </cell>
        </row>
        <row r="560">
          <cell r="D560" t="str">
            <v>Bldg Desc</v>
          </cell>
          <cell r="E560" t="str">
            <v>Part Number</v>
          </cell>
          <cell r="F560" t="str">
            <v>Amount</v>
          </cell>
        </row>
        <row r="561">
          <cell r="C561" t="str">
            <v>CTV-GAS-14</v>
          </cell>
          <cell r="D561">
            <v>2240</v>
          </cell>
          <cell r="E561" t="str">
            <v>CTV</v>
          </cell>
          <cell r="F561" t="str">
            <v>CARSON TELEVISION CENTER</v>
          </cell>
          <cell r="G561" t="str">
            <v>GAS</v>
          </cell>
          <cell r="H561">
            <v>614.4</v>
          </cell>
        </row>
        <row r="562">
          <cell r="H562">
            <v>614.4</v>
          </cell>
        </row>
        <row r="564">
          <cell r="C564" t="str">
            <v>Bldg#</v>
          </cell>
        </row>
        <row r="569">
          <cell r="D569" t="str">
            <v>Bldg Desc</v>
          </cell>
          <cell r="E569" t="str">
            <v>Part Number</v>
          </cell>
          <cell r="F569" t="str">
            <v>Amount</v>
          </cell>
        </row>
        <row r="570">
          <cell r="C570" t="str">
            <v>CWO-EGW-14</v>
          </cell>
          <cell r="D570">
            <v>1020</v>
          </cell>
          <cell r="E570" t="str">
            <v>CWO</v>
          </cell>
          <cell r="F570" t="str">
            <v>CHILDS WAY BUILDING 1</v>
          </cell>
          <cell r="G570" t="str">
            <v>ELECTRIC</v>
          </cell>
          <cell r="H570">
            <v>14565.34</v>
          </cell>
        </row>
        <row r="571">
          <cell r="D571">
            <v>1020</v>
          </cell>
          <cell r="E571" t="str">
            <v>CWO</v>
          </cell>
          <cell r="F571" t="str">
            <v>CHILDS WAY BUILDING 1</v>
          </cell>
          <cell r="G571" t="str">
            <v>GAS</v>
          </cell>
          <cell r="H571">
            <v>0</v>
          </cell>
        </row>
        <row r="572">
          <cell r="D572">
            <v>1020</v>
          </cell>
          <cell r="E572" t="str">
            <v>CWO</v>
          </cell>
          <cell r="F572" t="str">
            <v>CHILDS WAY BUILDING 1</v>
          </cell>
          <cell r="G572" t="str">
            <v>WATER</v>
          </cell>
          <cell r="H572">
            <v>922.02</v>
          </cell>
        </row>
        <row r="573">
          <cell r="C573" t="str">
            <v>Bldg#</v>
          </cell>
          <cell r="H573">
            <v>15487.36</v>
          </cell>
        </row>
        <row r="580">
          <cell r="D580" t="str">
            <v>Bldg Desc</v>
          </cell>
          <cell r="E580" t="str">
            <v>Part Number</v>
          </cell>
          <cell r="F580" t="str">
            <v>Amount</v>
          </cell>
        </row>
        <row r="581">
          <cell r="C581" t="str">
            <v>CWT-EGW-14</v>
          </cell>
          <cell r="D581">
            <v>590</v>
          </cell>
          <cell r="E581" t="str">
            <v>CWT</v>
          </cell>
          <cell r="F581" t="str">
            <v>CHILDS WAY BUILDING 2</v>
          </cell>
          <cell r="G581" t="str">
            <v>ELECTRIC</v>
          </cell>
          <cell r="H581">
            <v>5556.65</v>
          </cell>
        </row>
        <row r="582">
          <cell r="D582">
            <v>590</v>
          </cell>
          <cell r="E582" t="str">
            <v>CWT</v>
          </cell>
          <cell r="F582" t="str">
            <v>CHILDS WAY BUILDING 2</v>
          </cell>
          <cell r="G582" t="str">
            <v>GAS</v>
          </cell>
          <cell r="H582">
            <v>0</v>
          </cell>
        </row>
        <row r="583">
          <cell r="C583" t="str">
            <v>Bldg#</v>
          </cell>
          <cell r="D583">
            <v>590</v>
          </cell>
          <cell r="E583" t="str">
            <v>CWT</v>
          </cell>
          <cell r="F583" t="str">
            <v>CHILDS WAY BUILDING 2</v>
          </cell>
          <cell r="G583" t="str">
            <v>WATER</v>
          </cell>
          <cell r="H583">
            <v>1376.55</v>
          </cell>
        </row>
        <row r="584">
          <cell r="H584">
            <v>6933.2</v>
          </cell>
        </row>
        <row r="591">
          <cell r="D591" t="str">
            <v>Bldg Desc</v>
          </cell>
          <cell r="E591" t="str">
            <v>Part Number</v>
          </cell>
          <cell r="F591" t="str">
            <v>Amount</v>
          </cell>
        </row>
        <row r="592">
          <cell r="C592" t="str">
            <v>DCC-EGW-14</v>
          </cell>
          <cell r="D592">
            <v>870</v>
          </cell>
          <cell r="E592" t="str">
            <v>DCC</v>
          </cell>
          <cell r="F592" t="str">
            <v>CHARLOTTE S. &amp; DAVRE R. DAVIDSON CONTINUING EDUCATION CONFERENCE CENTER</v>
          </cell>
          <cell r="G592" t="str">
            <v>ELECTRIC</v>
          </cell>
          <cell r="H592">
            <v>13027</v>
          </cell>
        </row>
        <row r="593">
          <cell r="D593">
            <v>870</v>
          </cell>
          <cell r="E593" t="str">
            <v>DCC</v>
          </cell>
          <cell r="F593" t="str">
            <v>CHARLOTTE S. &amp; DAVRE R. DAVIDSON CONTINUING EDUCATION CONFERENCE CENTER</v>
          </cell>
          <cell r="G593" t="str">
            <v>GAS</v>
          </cell>
          <cell r="H593">
            <v>0</v>
          </cell>
        </row>
        <row r="594">
          <cell r="D594">
            <v>870</v>
          </cell>
          <cell r="E594" t="str">
            <v>DCC</v>
          </cell>
          <cell r="F594" t="str">
            <v>CHARLOTTE S. &amp; DAVRE R. DAVIDSON CONTINUING EDUCATION CONFERENCE CENTER</v>
          </cell>
          <cell r="G594" t="str">
            <v>WATER</v>
          </cell>
          <cell r="H594">
            <v>0</v>
          </cell>
        </row>
        <row r="595">
          <cell r="C595" t="str">
            <v>Bldg#</v>
          </cell>
          <cell r="H595">
            <v>13027</v>
          </cell>
        </row>
        <row r="602">
          <cell r="D602" t="str">
            <v>Bldg Desc</v>
          </cell>
          <cell r="E602" t="str">
            <v>Part Number</v>
          </cell>
          <cell r="F602" t="str">
            <v>Amount</v>
          </cell>
        </row>
        <row r="603">
          <cell r="C603" t="str">
            <v>DCC-GAS-14</v>
          </cell>
          <cell r="D603">
            <v>870</v>
          </cell>
          <cell r="E603" t="str">
            <v>DCC</v>
          </cell>
          <cell r="F603" t="str">
            <v>CHARLOTTE S. &amp; DAVRE R. DAVIDSON CONTINUING EDUCATION CONFERENCE CENTER</v>
          </cell>
          <cell r="G603" t="str">
            <v>GAS</v>
          </cell>
          <cell r="H603">
            <v>0</v>
          </cell>
        </row>
        <row r="604">
          <cell r="H604">
            <v>0</v>
          </cell>
        </row>
        <row r="611">
          <cell r="D611" t="str">
            <v>Bldg Desc</v>
          </cell>
          <cell r="E611" t="str">
            <v>Part Number</v>
          </cell>
          <cell r="F611" t="str">
            <v>Amount</v>
          </cell>
        </row>
        <row r="612">
          <cell r="C612" t="str">
            <v>DCC-WTR-14</v>
          </cell>
          <cell r="D612">
            <v>870</v>
          </cell>
          <cell r="E612" t="str">
            <v>DCC</v>
          </cell>
          <cell r="F612" t="str">
            <v>CHARLOTTE S. &amp; DAVRE R. DAVIDSON CONTINUING EDUCATION CONFERENCE CENTER</v>
          </cell>
          <cell r="G612" t="str">
            <v>WATER</v>
          </cell>
          <cell r="H612">
            <v>2546.77</v>
          </cell>
        </row>
        <row r="613">
          <cell r="H613">
            <v>2546.77</v>
          </cell>
        </row>
        <row r="615">
          <cell r="C615" t="str">
            <v>Bldg#</v>
          </cell>
        </row>
        <row r="620">
          <cell r="D620" t="str">
            <v>Bldg Desc</v>
          </cell>
          <cell r="E620" t="str">
            <v>Part Number</v>
          </cell>
          <cell r="F620" t="str">
            <v>Amount</v>
          </cell>
        </row>
        <row r="621">
          <cell r="C621" t="str">
            <v>DCC1-ELC14</v>
          </cell>
          <cell r="D621">
            <v>871</v>
          </cell>
          <cell r="E621" t="str">
            <v>DCC1</v>
          </cell>
          <cell r="F621" t="str">
            <v>DAVIDSON CONFERENCE CTR, NON-AUX</v>
          </cell>
          <cell r="G621" t="str">
            <v>ELECTRIC</v>
          </cell>
          <cell r="H621">
            <v>68432.100000000006</v>
          </cell>
        </row>
        <row r="622">
          <cell r="H622">
            <v>68432.100000000006</v>
          </cell>
        </row>
        <row r="624">
          <cell r="C624" t="str">
            <v>Bldg#</v>
          </cell>
        </row>
        <row r="629">
          <cell r="D629" t="str">
            <v>Bldg Desc</v>
          </cell>
          <cell r="E629" t="str">
            <v>Part Number</v>
          </cell>
          <cell r="F629" t="str">
            <v>Amount</v>
          </cell>
        </row>
        <row r="630">
          <cell r="C630" t="str">
            <v>DEN-EGW-14</v>
          </cell>
          <cell r="D630">
            <v>640</v>
          </cell>
          <cell r="E630" t="str">
            <v>DEN</v>
          </cell>
          <cell r="F630" t="str">
            <v>EILEEN &amp; KENNETH T. NORRIS DENTAL SCIENCE CENTER</v>
          </cell>
          <cell r="G630" t="str">
            <v>ELECTRIC</v>
          </cell>
          <cell r="H630">
            <v>456650.22</v>
          </cell>
        </row>
        <row r="631">
          <cell r="D631">
            <v>640</v>
          </cell>
          <cell r="E631" t="str">
            <v>DEN</v>
          </cell>
          <cell r="F631" t="str">
            <v>EILEEN &amp; KENNETH T. NORRIS DENTAL SCIENCE CENTER</v>
          </cell>
          <cell r="G631" t="str">
            <v>GAS</v>
          </cell>
          <cell r="H631">
            <v>16157.58</v>
          </cell>
        </row>
        <row r="632">
          <cell r="D632">
            <v>640</v>
          </cell>
          <cell r="E632" t="str">
            <v>DEN</v>
          </cell>
          <cell r="F632" t="str">
            <v>EILEEN &amp; KENNETH T. NORRIS DENTAL SCIENCE CENTER</v>
          </cell>
          <cell r="G632" t="str">
            <v>WATER</v>
          </cell>
          <cell r="H632">
            <v>31074.04</v>
          </cell>
        </row>
        <row r="633">
          <cell r="C633" t="str">
            <v>Bldg#</v>
          </cell>
          <cell r="H633">
            <v>503881.84</v>
          </cell>
        </row>
        <row r="640">
          <cell r="D640" t="str">
            <v>Bldg Desc</v>
          </cell>
          <cell r="E640" t="str">
            <v>Part Number</v>
          </cell>
          <cell r="F640" t="str">
            <v>Amount</v>
          </cell>
        </row>
        <row r="641">
          <cell r="C641" t="str">
            <v>DML-EGW-14</v>
          </cell>
          <cell r="D641">
            <v>180</v>
          </cell>
          <cell r="E641" t="str">
            <v>DML</v>
          </cell>
          <cell r="F641" t="str">
            <v>EDWARD L. DOHENY JR. MEMORIAL LIBRARY</v>
          </cell>
          <cell r="G641" t="str">
            <v>ELECTRIC</v>
          </cell>
          <cell r="H641">
            <v>270496.03000000003</v>
          </cell>
        </row>
        <row r="642">
          <cell r="D642">
            <v>180</v>
          </cell>
          <cell r="E642" t="str">
            <v>DML</v>
          </cell>
          <cell r="F642" t="str">
            <v>EDWARD L. DOHENY JR. MEMORIAL LIBRARY</v>
          </cell>
          <cell r="G642" t="str">
            <v>GAS</v>
          </cell>
          <cell r="H642">
            <v>15421.41</v>
          </cell>
        </row>
        <row r="643">
          <cell r="D643">
            <v>180</v>
          </cell>
          <cell r="E643" t="str">
            <v>DML</v>
          </cell>
          <cell r="F643" t="str">
            <v>EDWARD L. DOHENY JR. MEMORIAL LIBRARY</v>
          </cell>
          <cell r="G643" t="str">
            <v>WATER</v>
          </cell>
          <cell r="H643">
            <v>12943.37</v>
          </cell>
        </row>
        <row r="644">
          <cell r="C644" t="str">
            <v>Bldg#</v>
          </cell>
          <cell r="H644">
            <v>298860.81</v>
          </cell>
        </row>
        <row r="651">
          <cell r="D651" t="str">
            <v>Bldg Desc</v>
          </cell>
          <cell r="E651" t="str">
            <v>Part Number</v>
          </cell>
          <cell r="F651" t="str">
            <v>Amount</v>
          </cell>
        </row>
        <row r="652">
          <cell r="C652" t="str">
            <v>DMT-ELC-14</v>
          </cell>
          <cell r="D652">
            <v>1490</v>
          </cell>
          <cell r="E652" t="str">
            <v>DMT</v>
          </cell>
          <cell r="F652" t="str">
            <v>DAVID X. MARKS TOWER</v>
          </cell>
          <cell r="G652" t="str">
            <v>ELECTRIC</v>
          </cell>
          <cell r="H652">
            <v>50915.76</v>
          </cell>
        </row>
        <row r="653">
          <cell r="H653">
            <v>50915.76</v>
          </cell>
        </row>
        <row r="655">
          <cell r="C655" t="str">
            <v>Bldg#</v>
          </cell>
        </row>
        <row r="660">
          <cell r="D660" t="str">
            <v>Bldg Desc</v>
          </cell>
          <cell r="E660" t="str">
            <v>Part Number</v>
          </cell>
          <cell r="F660" t="str">
            <v>Amount</v>
          </cell>
        </row>
        <row r="661">
          <cell r="C661" t="str">
            <v>DMT-GAS-14</v>
          </cell>
          <cell r="D661">
            <v>1490</v>
          </cell>
          <cell r="E661" t="str">
            <v>DMT</v>
          </cell>
          <cell r="F661" t="str">
            <v>DAVID X. MARKS TOWER</v>
          </cell>
          <cell r="G661" t="str">
            <v>GAS</v>
          </cell>
          <cell r="H661">
            <v>2786.9</v>
          </cell>
        </row>
        <row r="662">
          <cell r="H662">
            <v>2786.9</v>
          </cell>
        </row>
        <row r="664">
          <cell r="C664" t="str">
            <v>Bldg#</v>
          </cell>
        </row>
        <row r="669">
          <cell r="D669" t="str">
            <v>Bldg Desc</v>
          </cell>
          <cell r="E669" t="str">
            <v>Part Number</v>
          </cell>
          <cell r="F669" t="str">
            <v>Amount</v>
          </cell>
        </row>
        <row r="670">
          <cell r="C670" t="str">
            <v>DMT-WTR-14</v>
          </cell>
          <cell r="D670">
            <v>1490</v>
          </cell>
          <cell r="E670" t="str">
            <v>DMT</v>
          </cell>
          <cell r="F670" t="str">
            <v>DAVID X. MARKS TOWER</v>
          </cell>
          <cell r="G670" t="str">
            <v>WATER</v>
          </cell>
          <cell r="H670">
            <v>12447.33</v>
          </cell>
        </row>
        <row r="671">
          <cell r="H671">
            <v>12447.33</v>
          </cell>
        </row>
        <row r="673">
          <cell r="C673" t="str">
            <v>Bldg#</v>
          </cell>
        </row>
        <row r="678">
          <cell r="D678" t="str">
            <v>Bldg Desc</v>
          </cell>
          <cell r="E678" t="str">
            <v>Part Number</v>
          </cell>
          <cell r="F678" t="str">
            <v>Amount</v>
          </cell>
        </row>
        <row r="679">
          <cell r="C679" t="str">
            <v>DMV-EGW-14</v>
          </cell>
          <cell r="D679">
            <v>2580</v>
          </cell>
          <cell r="E679" t="str">
            <v>DMV</v>
          </cell>
          <cell r="F679" t="str">
            <v>DEPARTMENT OF MOTOR VEHICLES</v>
          </cell>
          <cell r="G679" t="str">
            <v>ELECTRIC</v>
          </cell>
          <cell r="H679">
            <v>22493.27</v>
          </cell>
        </row>
        <row r="680">
          <cell r="D680">
            <v>2580</v>
          </cell>
          <cell r="E680" t="str">
            <v>DMV</v>
          </cell>
          <cell r="F680" t="str">
            <v>DEPARTMENT OF MOTOR VEHICLES</v>
          </cell>
          <cell r="G680" t="str">
            <v>WATER</v>
          </cell>
          <cell r="H680">
            <v>158.31</v>
          </cell>
        </row>
        <row r="681">
          <cell r="H681">
            <v>22651.58</v>
          </cell>
        </row>
        <row r="682">
          <cell r="C682" t="str">
            <v>Bldg#</v>
          </cell>
        </row>
        <row r="688">
          <cell r="D688" t="str">
            <v>Bldg Desc</v>
          </cell>
          <cell r="E688" t="str">
            <v>Part Number</v>
          </cell>
          <cell r="F688" t="str">
            <v>Amount</v>
          </cell>
        </row>
        <row r="689">
          <cell r="C689" t="str">
            <v>DNI-ELC-14</v>
          </cell>
          <cell r="D689">
            <v>2920</v>
          </cell>
          <cell r="E689" t="str">
            <v>DNI</v>
          </cell>
          <cell r="F689" t="str">
            <v>DORNSIFE NEUROSCIENCE IMAGING CENTER</v>
          </cell>
          <cell r="G689" t="str">
            <v>ELECTRIC</v>
          </cell>
          <cell r="H689">
            <v>60362.32</v>
          </cell>
        </row>
        <row r="690">
          <cell r="H690">
            <v>60362.32</v>
          </cell>
        </row>
        <row r="692">
          <cell r="C692" t="str">
            <v>Bldg#</v>
          </cell>
        </row>
        <row r="697">
          <cell r="D697" t="str">
            <v>Bldg Desc</v>
          </cell>
          <cell r="E697" t="str">
            <v>Part Number</v>
          </cell>
          <cell r="F697" t="str">
            <v>Amount</v>
          </cell>
        </row>
        <row r="698">
          <cell r="C698" t="str">
            <v>DNI-GAS-14</v>
          </cell>
          <cell r="D698">
            <v>2920</v>
          </cell>
          <cell r="E698" t="str">
            <v>DNI</v>
          </cell>
          <cell r="F698" t="str">
            <v>DORNSIFE NEUROSCIENCE IMAGING CENTER</v>
          </cell>
          <cell r="G698" t="str">
            <v>GAS</v>
          </cell>
          <cell r="H698">
            <v>331.38</v>
          </cell>
        </row>
        <row r="699">
          <cell r="H699">
            <v>331.38</v>
          </cell>
        </row>
        <row r="701">
          <cell r="C701" t="str">
            <v>Bldg#</v>
          </cell>
        </row>
        <row r="706">
          <cell r="D706" t="str">
            <v>Bldg Desc</v>
          </cell>
          <cell r="E706" t="str">
            <v>Part Number</v>
          </cell>
          <cell r="F706" t="str">
            <v>Amount</v>
          </cell>
        </row>
        <row r="707">
          <cell r="C707" t="str">
            <v>DNI-WTR-14</v>
          </cell>
          <cell r="D707">
            <v>2920</v>
          </cell>
          <cell r="E707" t="str">
            <v>DNI</v>
          </cell>
          <cell r="F707" t="str">
            <v>DORNSIFE NEUROSCIENCE IMAGING CENTER</v>
          </cell>
          <cell r="G707" t="str">
            <v>WATER</v>
          </cell>
          <cell r="H707">
            <v>365.19</v>
          </cell>
        </row>
        <row r="708">
          <cell r="H708">
            <v>365.19</v>
          </cell>
        </row>
        <row r="710">
          <cell r="C710" t="str">
            <v>Bldg#</v>
          </cell>
        </row>
        <row r="715">
          <cell r="D715" t="str">
            <v>Bldg Desc</v>
          </cell>
          <cell r="E715" t="str">
            <v>Part Number</v>
          </cell>
          <cell r="F715" t="str">
            <v>Amount</v>
          </cell>
        </row>
        <row r="716">
          <cell r="C716" t="str">
            <v>DRB-EGW-14</v>
          </cell>
          <cell r="D716">
            <v>1110</v>
          </cell>
          <cell r="E716" t="str">
            <v>DRB</v>
          </cell>
          <cell r="F716" t="str">
            <v>CORWIN D. DENNEY RESEARCH CENTER</v>
          </cell>
          <cell r="G716" t="str">
            <v>ELECTRIC</v>
          </cell>
          <cell r="H716">
            <v>239433.85</v>
          </cell>
        </row>
        <row r="717">
          <cell r="D717">
            <v>1110</v>
          </cell>
          <cell r="E717" t="str">
            <v>DRB</v>
          </cell>
          <cell r="F717" t="str">
            <v>CORWIN D. DENNEY RESEARCH CENTER</v>
          </cell>
          <cell r="G717" t="str">
            <v>GAS</v>
          </cell>
          <cell r="H717">
            <v>5602.03</v>
          </cell>
        </row>
        <row r="718">
          <cell r="D718">
            <v>1110</v>
          </cell>
          <cell r="E718" t="str">
            <v>DRB</v>
          </cell>
          <cell r="F718" t="str">
            <v>CORWIN D. DENNEY RESEARCH CENTER</v>
          </cell>
          <cell r="G718" t="str">
            <v>WATER</v>
          </cell>
          <cell r="H718">
            <v>10401.299999999999</v>
          </cell>
        </row>
        <row r="719">
          <cell r="C719" t="str">
            <v>Bldg#</v>
          </cell>
          <cell r="H719">
            <v>255437.18</v>
          </cell>
        </row>
        <row r="726">
          <cell r="D726" t="str">
            <v>Bldg Desc</v>
          </cell>
          <cell r="E726" t="str">
            <v>Part Number</v>
          </cell>
          <cell r="F726" t="str">
            <v>Amount</v>
          </cell>
        </row>
        <row r="727">
          <cell r="C727" t="str">
            <v>DRC-EGW-14</v>
          </cell>
          <cell r="D727">
            <v>790</v>
          </cell>
          <cell r="E727" t="str">
            <v>DRC</v>
          </cell>
          <cell r="F727" t="str">
            <v>DRAMA CENTER</v>
          </cell>
          <cell r="G727" t="str">
            <v>ELECTRIC</v>
          </cell>
          <cell r="H727">
            <v>8986.9699999999993</v>
          </cell>
        </row>
        <row r="728">
          <cell r="D728">
            <v>790</v>
          </cell>
          <cell r="E728" t="str">
            <v>DRC</v>
          </cell>
          <cell r="F728" t="str">
            <v>DRAMA CENTER</v>
          </cell>
          <cell r="G728" t="str">
            <v>GAS</v>
          </cell>
          <cell r="H728">
            <v>127.31</v>
          </cell>
        </row>
        <row r="729">
          <cell r="D729">
            <v>790</v>
          </cell>
          <cell r="E729" t="str">
            <v>DRC</v>
          </cell>
          <cell r="F729" t="str">
            <v>DRAMA CENTER</v>
          </cell>
          <cell r="G729" t="str">
            <v>WATER</v>
          </cell>
          <cell r="H729">
            <v>1119.17</v>
          </cell>
        </row>
        <row r="730">
          <cell r="C730" t="str">
            <v>Bldg#</v>
          </cell>
          <cell r="H730">
            <v>10233.450000000001</v>
          </cell>
        </row>
        <row r="737">
          <cell r="D737" t="str">
            <v>Bldg Desc</v>
          </cell>
          <cell r="E737" t="str">
            <v>Part Number</v>
          </cell>
          <cell r="F737" t="str">
            <v>Amount</v>
          </cell>
        </row>
        <row r="738">
          <cell r="C738" t="str">
            <v>DXM-ELC-14</v>
          </cell>
          <cell r="D738">
            <v>940</v>
          </cell>
          <cell r="E738" t="str">
            <v>DXM</v>
          </cell>
          <cell r="F738" t="str">
            <v>DAVID X. MARKS RESIDENCE HALL</v>
          </cell>
          <cell r="G738" t="str">
            <v>ELECTRIC</v>
          </cell>
          <cell r="H738">
            <v>24104.77</v>
          </cell>
        </row>
        <row r="739">
          <cell r="H739">
            <v>24104.77</v>
          </cell>
        </row>
        <row r="741">
          <cell r="C741" t="str">
            <v>Bldg#</v>
          </cell>
        </row>
        <row r="746">
          <cell r="D746" t="str">
            <v>Bldg Desc</v>
          </cell>
          <cell r="E746" t="str">
            <v>Part Number</v>
          </cell>
          <cell r="F746" t="str">
            <v>Amount</v>
          </cell>
        </row>
        <row r="747">
          <cell r="C747" t="str">
            <v>DXM-GAS-14</v>
          </cell>
          <cell r="D747">
            <v>940</v>
          </cell>
          <cell r="E747" t="str">
            <v>DXM</v>
          </cell>
          <cell r="F747" t="str">
            <v>DAVID X. MARKS RESIDENCE HALL</v>
          </cell>
          <cell r="G747" t="str">
            <v>GAS</v>
          </cell>
          <cell r="H747">
            <v>1746.89</v>
          </cell>
        </row>
        <row r="748">
          <cell r="H748">
            <v>1746.89</v>
          </cell>
        </row>
        <row r="750">
          <cell r="C750" t="str">
            <v>Bldg#</v>
          </cell>
        </row>
        <row r="755">
          <cell r="D755" t="str">
            <v>Bldg Desc</v>
          </cell>
          <cell r="E755" t="str">
            <v>Part Number</v>
          </cell>
          <cell r="F755" t="str">
            <v>Amount</v>
          </cell>
        </row>
        <row r="756">
          <cell r="C756" t="str">
            <v>DXM-WTR-14</v>
          </cell>
          <cell r="D756">
            <v>940</v>
          </cell>
          <cell r="E756" t="str">
            <v>DXM</v>
          </cell>
          <cell r="F756" t="str">
            <v>DAVID X. MARKS RESIDENCE HALL</v>
          </cell>
          <cell r="G756" t="str">
            <v>WATER</v>
          </cell>
          <cell r="H756">
            <v>5999.9</v>
          </cell>
        </row>
        <row r="757">
          <cell r="H757">
            <v>5999.9</v>
          </cell>
        </row>
        <row r="759">
          <cell r="C759" t="str">
            <v>Bldg#</v>
          </cell>
        </row>
        <row r="764">
          <cell r="D764" t="str">
            <v>Bldg Desc</v>
          </cell>
          <cell r="E764" t="str">
            <v>Part Number</v>
          </cell>
          <cell r="F764" t="str">
            <v>Amount</v>
          </cell>
        </row>
        <row r="765">
          <cell r="C765" t="str">
            <v>ECT-EGW-14</v>
          </cell>
          <cell r="D765">
            <v>520</v>
          </cell>
          <cell r="E765" t="str">
            <v>ECT</v>
          </cell>
          <cell r="F765" t="str">
            <v>EARLY CHILDHOOD TRAINING CENTER</v>
          </cell>
          <cell r="G765" t="str">
            <v>ELECTRIC</v>
          </cell>
          <cell r="H765">
            <v>11620.31</v>
          </cell>
        </row>
        <row r="766">
          <cell r="D766">
            <v>520</v>
          </cell>
          <cell r="E766" t="str">
            <v>ECT</v>
          </cell>
          <cell r="F766" t="str">
            <v>EARLY CHILDHOOD TRAINING CENTER</v>
          </cell>
          <cell r="G766" t="str">
            <v>GAS</v>
          </cell>
          <cell r="H766">
            <v>307.95</v>
          </cell>
        </row>
        <row r="767">
          <cell r="D767">
            <v>520</v>
          </cell>
          <cell r="E767" t="str">
            <v>ECT</v>
          </cell>
          <cell r="F767" t="str">
            <v>EARLY CHILDHOOD TRAINING CENTER</v>
          </cell>
          <cell r="G767" t="str">
            <v>WATER</v>
          </cell>
          <cell r="H767">
            <v>1676.62</v>
          </cell>
        </row>
        <row r="768">
          <cell r="C768" t="str">
            <v>Bldg#</v>
          </cell>
          <cell r="H768">
            <v>13604.88</v>
          </cell>
        </row>
        <row r="775">
          <cell r="D775" t="str">
            <v>Bldg Desc</v>
          </cell>
          <cell r="E775" t="str">
            <v>Part Number</v>
          </cell>
          <cell r="F775" t="str">
            <v>Amount</v>
          </cell>
        </row>
        <row r="776">
          <cell r="C776" t="str">
            <v>EDM-EGW-14</v>
          </cell>
          <cell r="D776">
            <v>960</v>
          </cell>
          <cell r="E776" t="str">
            <v>EDM</v>
          </cell>
          <cell r="F776" t="str">
            <v>DOROTHY &amp; HUGH EDMONDSON RESEARCH BUILDING</v>
          </cell>
          <cell r="G776" t="str">
            <v>ELECTRIC</v>
          </cell>
          <cell r="H776">
            <v>28806.38</v>
          </cell>
        </row>
        <row r="777">
          <cell r="D777">
            <v>960</v>
          </cell>
          <cell r="E777" t="str">
            <v>EDM</v>
          </cell>
          <cell r="F777" t="str">
            <v>DOROTHY &amp; HUGH EDMONDSON RESEARCH BUILDING</v>
          </cell>
          <cell r="G777" t="str">
            <v>GAS</v>
          </cell>
          <cell r="H777">
            <v>0</v>
          </cell>
        </row>
        <row r="778">
          <cell r="D778">
            <v>960</v>
          </cell>
          <cell r="E778" t="str">
            <v>EDM</v>
          </cell>
          <cell r="F778" t="str">
            <v>DOROTHY &amp; HUGH EDMONDSON RESEARCH BUILDING</v>
          </cell>
          <cell r="G778" t="str">
            <v>WATER</v>
          </cell>
          <cell r="H778">
            <v>256.49</v>
          </cell>
        </row>
        <row r="779">
          <cell r="C779" t="str">
            <v>Bldg#</v>
          </cell>
          <cell r="H779">
            <v>29062.87</v>
          </cell>
        </row>
        <row r="786">
          <cell r="D786" t="str">
            <v>Bldg Desc</v>
          </cell>
          <cell r="E786" t="str">
            <v>Part Number</v>
          </cell>
          <cell r="F786" t="str">
            <v>Amount</v>
          </cell>
        </row>
        <row r="787">
          <cell r="C787" t="str">
            <v>EEB-EGW-14</v>
          </cell>
          <cell r="D787">
            <v>2560</v>
          </cell>
          <cell r="E787" t="str">
            <v>EEB</v>
          </cell>
          <cell r="F787" t="str">
            <v>HUGHES AIRCRAFT ELECTRICAL ENGINEERING CENTER</v>
          </cell>
          <cell r="G787" t="str">
            <v>ELECTRIC</v>
          </cell>
          <cell r="H787">
            <v>228988.48</v>
          </cell>
        </row>
        <row r="788">
          <cell r="D788">
            <v>2560</v>
          </cell>
          <cell r="E788" t="str">
            <v>EEB</v>
          </cell>
          <cell r="F788" t="str">
            <v>HUGHES AIRCRAFT ELECTRICAL ENGINEERING CENTER</v>
          </cell>
          <cell r="G788" t="str">
            <v>GAS</v>
          </cell>
          <cell r="H788">
            <v>8791.91</v>
          </cell>
        </row>
        <row r="789">
          <cell r="D789">
            <v>2560</v>
          </cell>
          <cell r="E789" t="str">
            <v>EEB</v>
          </cell>
          <cell r="F789" t="str">
            <v>HUGHES AIRCRAFT ELECTRICAL ENGINEERING CENTER</v>
          </cell>
          <cell r="G789" t="str">
            <v>WATER</v>
          </cell>
          <cell r="H789">
            <v>8032.87</v>
          </cell>
        </row>
        <row r="790">
          <cell r="C790" t="str">
            <v>Bldg#</v>
          </cell>
          <cell r="H790">
            <v>245813.26</v>
          </cell>
        </row>
        <row r="797">
          <cell r="D797" t="str">
            <v>Bldg Desc</v>
          </cell>
          <cell r="E797" t="str">
            <v>Part Number</v>
          </cell>
          <cell r="F797" t="str">
            <v>Amount</v>
          </cell>
        </row>
        <row r="798">
          <cell r="C798" t="str">
            <v>EGG-EGW-14</v>
          </cell>
          <cell r="D798">
            <v>2610</v>
          </cell>
          <cell r="E798" t="str">
            <v>EGG</v>
          </cell>
          <cell r="F798" t="str">
            <v>EGG COMPANY II</v>
          </cell>
          <cell r="G798" t="str">
            <v>ELECTRIC</v>
          </cell>
          <cell r="H798">
            <v>29298.73</v>
          </cell>
        </row>
        <row r="799">
          <cell r="D799">
            <v>2610</v>
          </cell>
          <cell r="E799" t="str">
            <v>EGG</v>
          </cell>
          <cell r="F799" t="str">
            <v>EGG COMPANY II</v>
          </cell>
          <cell r="G799" t="str">
            <v>GAS</v>
          </cell>
          <cell r="H799">
            <v>1927.56</v>
          </cell>
        </row>
        <row r="800">
          <cell r="D800">
            <v>2610</v>
          </cell>
          <cell r="E800" t="str">
            <v>EGG</v>
          </cell>
          <cell r="F800" t="str">
            <v>EGG COMPANY II</v>
          </cell>
          <cell r="G800" t="str">
            <v>WATER</v>
          </cell>
          <cell r="H800">
            <v>5077.87</v>
          </cell>
        </row>
        <row r="801">
          <cell r="C801" t="str">
            <v>Bldg#</v>
          </cell>
          <cell r="H801">
            <v>36304.160000000003</v>
          </cell>
        </row>
        <row r="808">
          <cell r="D808" t="str">
            <v>Bldg Desc</v>
          </cell>
          <cell r="E808" t="str">
            <v>Part Number</v>
          </cell>
          <cell r="F808" t="str">
            <v>Amount</v>
          </cell>
        </row>
        <row r="809">
          <cell r="C809" t="str">
            <v>ELB-EGW-14</v>
          </cell>
          <cell r="D809">
            <v>1630</v>
          </cell>
          <cell r="E809" t="str">
            <v>ELB</v>
          </cell>
          <cell r="F809" t="str">
            <v>EAST LIBRARY BUILDING</v>
          </cell>
          <cell r="G809" t="str">
            <v>ELECTRIC</v>
          </cell>
          <cell r="H809">
            <v>15022.73</v>
          </cell>
        </row>
        <row r="810">
          <cell r="D810">
            <v>1630</v>
          </cell>
          <cell r="E810" t="str">
            <v>ELB</v>
          </cell>
          <cell r="F810" t="str">
            <v>EAST LIBRARY BUILDING</v>
          </cell>
          <cell r="G810" t="str">
            <v>WATER</v>
          </cell>
          <cell r="H810">
            <v>226.9</v>
          </cell>
        </row>
        <row r="811">
          <cell r="H811">
            <v>15249.63</v>
          </cell>
        </row>
        <row r="812">
          <cell r="C812" t="str">
            <v>Bldg#</v>
          </cell>
        </row>
        <row r="818">
          <cell r="D818" t="str">
            <v>Bldg Desc</v>
          </cell>
          <cell r="E818" t="str">
            <v>Part Number</v>
          </cell>
          <cell r="F818" t="str">
            <v>Amount</v>
          </cell>
        </row>
        <row r="819">
          <cell r="C819" t="str">
            <v>EPS-NELC14</v>
          </cell>
          <cell r="D819">
            <v>2330</v>
          </cell>
          <cell r="E819" t="str">
            <v>EPS</v>
          </cell>
          <cell r="F819" t="str">
            <v>EXPOSITION BLVD. PARKING STRUCTURE</v>
          </cell>
          <cell r="G819" t="str">
            <v>ELECTRIC</v>
          </cell>
          <cell r="H819">
            <v>69868.31</v>
          </cell>
        </row>
        <row r="820">
          <cell r="H820">
            <v>69868.31</v>
          </cell>
        </row>
        <row r="822">
          <cell r="C822" t="str">
            <v>Bldg#</v>
          </cell>
        </row>
        <row r="827">
          <cell r="D827" t="str">
            <v>Bldg Desc</v>
          </cell>
          <cell r="E827" t="str">
            <v>Part Number</v>
          </cell>
          <cell r="F827" t="str">
            <v>Amount</v>
          </cell>
        </row>
        <row r="828">
          <cell r="C828" t="str">
            <v>EPS-NWTR14</v>
          </cell>
          <cell r="D828">
            <v>2330</v>
          </cell>
          <cell r="E828" t="str">
            <v>EPS</v>
          </cell>
          <cell r="F828" t="str">
            <v>EXPOSITION BLVD. PARKING STRUCTURE</v>
          </cell>
          <cell r="G828" t="str">
            <v>WATER</v>
          </cell>
          <cell r="H828">
            <v>0</v>
          </cell>
        </row>
        <row r="829">
          <cell r="H829">
            <v>0</v>
          </cell>
        </row>
        <row r="836">
          <cell r="D836" t="str">
            <v>Bldg Desc</v>
          </cell>
          <cell r="E836" t="str">
            <v>Part Number</v>
          </cell>
          <cell r="F836" t="str">
            <v>Amount</v>
          </cell>
        </row>
        <row r="837">
          <cell r="C837" t="str">
            <v>ESH-ELC-14</v>
          </cell>
          <cell r="D837">
            <v>3260</v>
          </cell>
          <cell r="E837" t="str">
            <v>ESH</v>
          </cell>
          <cell r="F837" t="str">
            <v>ROGER AND MICHELE DEDEAUX ENGEMANN STUDENT HEALTH CENTER.</v>
          </cell>
          <cell r="G837" t="str">
            <v>ELECTRIC</v>
          </cell>
          <cell r="H837">
            <v>192698.8</v>
          </cell>
        </row>
        <row r="838">
          <cell r="H838">
            <v>192698.8</v>
          </cell>
        </row>
        <row r="840">
          <cell r="C840" t="str">
            <v>Bldg#</v>
          </cell>
        </row>
        <row r="845">
          <cell r="D845" t="str">
            <v>Bldg Desc</v>
          </cell>
          <cell r="E845" t="str">
            <v>Part Number</v>
          </cell>
          <cell r="F845" t="str">
            <v>Amount</v>
          </cell>
        </row>
        <row r="846">
          <cell r="C846" t="str">
            <v>ESH-GAS-14</v>
          </cell>
          <cell r="D846">
            <v>3260</v>
          </cell>
          <cell r="E846" t="str">
            <v>ESH</v>
          </cell>
          <cell r="F846" t="str">
            <v>ROGER AND MICHELE DEDEAUX ENGEMANN STUDENT HEALTH CENTER.</v>
          </cell>
          <cell r="G846" t="str">
            <v>GAS</v>
          </cell>
          <cell r="H846">
            <v>3041.5</v>
          </cell>
        </row>
        <row r="847">
          <cell r="H847">
            <v>3041.5</v>
          </cell>
        </row>
        <row r="849">
          <cell r="C849" t="str">
            <v>Bldg#</v>
          </cell>
        </row>
        <row r="854">
          <cell r="D854" t="str">
            <v>Bldg Desc</v>
          </cell>
          <cell r="E854" t="str">
            <v>Part Number</v>
          </cell>
          <cell r="F854" t="str">
            <v>Amount</v>
          </cell>
        </row>
        <row r="855">
          <cell r="C855" t="str">
            <v>ESH-WTR-14</v>
          </cell>
          <cell r="D855">
            <v>3260</v>
          </cell>
          <cell r="E855" t="str">
            <v>ESH</v>
          </cell>
          <cell r="F855" t="str">
            <v>ROGER AND MICHELE DEDEAUX ENGEMANN STUDENT HEALTH CENTER.</v>
          </cell>
          <cell r="G855" t="str">
            <v>WATER</v>
          </cell>
          <cell r="H855">
            <v>6682.74</v>
          </cell>
        </row>
        <row r="856">
          <cell r="H856">
            <v>6682.74</v>
          </cell>
        </row>
        <row r="858">
          <cell r="C858" t="str">
            <v>Bldg#</v>
          </cell>
        </row>
        <row r="863">
          <cell r="D863" t="str">
            <v>Bldg Desc</v>
          </cell>
          <cell r="E863" t="str">
            <v>Part Number</v>
          </cell>
          <cell r="F863" t="str">
            <v>Amount</v>
          </cell>
        </row>
        <row r="864">
          <cell r="C864" t="str">
            <v>EVK-ELC-14</v>
          </cell>
          <cell r="D864">
            <v>990</v>
          </cell>
          <cell r="E864" t="str">
            <v>EVK</v>
          </cell>
          <cell r="F864" t="str">
            <v>ELISABETH VON KLEINSMID MEMORIAL RESIDENCE HALL</v>
          </cell>
          <cell r="G864" t="str">
            <v>ELECTRIC</v>
          </cell>
          <cell r="H864">
            <v>32166.99</v>
          </cell>
        </row>
        <row r="865">
          <cell r="H865">
            <v>32166.99</v>
          </cell>
        </row>
        <row r="867">
          <cell r="C867" t="str">
            <v>Bldg#</v>
          </cell>
        </row>
        <row r="872">
          <cell r="D872" t="str">
            <v>Bldg Desc</v>
          </cell>
          <cell r="E872" t="str">
            <v>Part Number</v>
          </cell>
          <cell r="F872" t="str">
            <v>Amount</v>
          </cell>
        </row>
        <row r="873">
          <cell r="C873" t="str">
            <v>EVK-GAS-14</v>
          </cell>
          <cell r="D873">
            <v>990</v>
          </cell>
          <cell r="E873" t="str">
            <v>EVK</v>
          </cell>
          <cell r="F873" t="str">
            <v>ELISABETH VON KLEINSMID MEMORIAL RESIDENCE HALL</v>
          </cell>
          <cell r="G873" t="str">
            <v>GAS</v>
          </cell>
          <cell r="H873">
            <v>11603.76</v>
          </cell>
        </row>
        <row r="874">
          <cell r="H874">
            <v>11603.76</v>
          </cell>
        </row>
        <row r="876">
          <cell r="C876" t="str">
            <v>Bldg#</v>
          </cell>
        </row>
        <row r="881">
          <cell r="D881" t="str">
            <v>Bldg Desc</v>
          </cell>
          <cell r="E881" t="str">
            <v>Part Number</v>
          </cell>
          <cell r="F881" t="str">
            <v>Amount</v>
          </cell>
        </row>
        <row r="882">
          <cell r="C882" t="str">
            <v>EVK-WTR-14</v>
          </cell>
          <cell r="D882">
            <v>990</v>
          </cell>
          <cell r="E882" t="str">
            <v>EVK</v>
          </cell>
          <cell r="F882" t="str">
            <v>ELISABETH VON KLEINSMID MEMORIAL RESIDENCE HALL</v>
          </cell>
          <cell r="G882" t="str">
            <v>WATER</v>
          </cell>
          <cell r="H882">
            <v>17594.02</v>
          </cell>
        </row>
        <row r="883">
          <cell r="H883">
            <v>17594.02</v>
          </cell>
        </row>
        <row r="885">
          <cell r="C885" t="str">
            <v>Bldg#</v>
          </cell>
        </row>
        <row r="890">
          <cell r="C890" t="str">
            <v>FAC-EGW-14</v>
          </cell>
          <cell r="D890" t="str">
            <v>Bldg Desc</v>
          </cell>
          <cell r="E890" t="str">
            <v>Part Number</v>
          </cell>
          <cell r="F890" t="str">
            <v>Amount</v>
          </cell>
        </row>
        <row r="891">
          <cell r="D891">
            <v>1160</v>
          </cell>
          <cell r="E891" t="str">
            <v>FAC</v>
          </cell>
          <cell r="F891" t="str">
            <v>FACULTY CENTER-UNIVERSITY CLUB</v>
          </cell>
          <cell r="G891" t="str">
            <v>GAS</v>
          </cell>
          <cell r="H891">
            <v>1988.97</v>
          </cell>
        </row>
        <row r="892">
          <cell r="D892">
            <v>1160</v>
          </cell>
          <cell r="E892" t="str">
            <v>FAC</v>
          </cell>
          <cell r="F892" t="str">
            <v>FACULTY CENTER-UNIVERSITY CLUB</v>
          </cell>
          <cell r="G892" t="str">
            <v>WATER</v>
          </cell>
          <cell r="H892">
            <v>5169.1400000000003</v>
          </cell>
        </row>
        <row r="893">
          <cell r="H893">
            <v>7158.11</v>
          </cell>
        </row>
        <row r="894">
          <cell r="C894" t="str">
            <v>Bldg#</v>
          </cell>
        </row>
        <row r="900">
          <cell r="D900" t="str">
            <v>Bldg Desc</v>
          </cell>
          <cell r="E900" t="str">
            <v>Part Number</v>
          </cell>
          <cell r="F900" t="str">
            <v>Amount</v>
          </cell>
        </row>
        <row r="901">
          <cell r="C901" t="str">
            <v>FAM-EGW-14</v>
          </cell>
          <cell r="D901">
            <v>630</v>
          </cell>
          <cell r="E901" t="str">
            <v>FAM</v>
          </cell>
          <cell r="F901" t="str">
            <v>FACILITIES MANAGEMENT BUILDING</v>
          </cell>
          <cell r="G901" t="str">
            <v>GAS</v>
          </cell>
          <cell r="H901">
            <v>0</v>
          </cell>
        </row>
        <row r="902">
          <cell r="D902">
            <v>630</v>
          </cell>
          <cell r="E902" t="str">
            <v>FAM</v>
          </cell>
          <cell r="F902" t="str">
            <v>FACILITIES MANAGEMENT BUILDING</v>
          </cell>
          <cell r="G902" t="str">
            <v>WATER</v>
          </cell>
          <cell r="H902">
            <v>1130.67</v>
          </cell>
        </row>
        <row r="903">
          <cell r="H903">
            <v>1130.67</v>
          </cell>
        </row>
        <row r="904">
          <cell r="C904" t="str">
            <v>Bldg#</v>
          </cell>
        </row>
        <row r="910">
          <cell r="D910" t="str">
            <v>Bldg Desc</v>
          </cell>
          <cell r="E910" t="str">
            <v>Part Number</v>
          </cell>
          <cell r="F910" t="str">
            <v>Amount</v>
          </cell>
        </row>
        <row r="911">
          <cell r="C911" t="str">
            <v>FIG-EGW-14</v>
          </cell>
          <cell r="D911">
            <v>1260</v>
          </cell>
          <cell r="E911" t="str">
            <v>FIG</v>
          </cell>
          <cell r="F911" t="str">
            <v>FIGUEROA BUILDING</v>
          </cell>
          <cell r="G911" t="str">
            <v>ELECTRIC</v>
          </cell>
          <cell r="H911">
            <v>12867</v>
          </cell>
        </row>
        <row r="912">
          <cell r="D912">
            <v>1260</v>
          </cell>
          <cell r="E912" t="str">
            <v>FIG</v>
          </cell>
          <cell r="F912" t="str">
            <v>FIGUEROA BUILDING</v>
          </cell>
          <cell r="G912" t="str">
            <v>GAS</v>
          </cell>
          <cell r="H912">
            <v>0</v>
          </cell>
        </row>
        <row r="913">
          <cell r="D913">
            <v>1260</v>
          </cell>
          <cell r="E913" t="str">
            <v>FIG</v>
          </cell>
          <cell r="F913" t="str">
            <v>FIGUEROA BUILDING</v>
          </cell>
          <cell r="G913" t="str">
            <v>WATER</v>
          </cell>
          <cell r="H913">
            <v>1275.4100000000001</v>
          </cell>
        </row>
        <row r="914">
          <cell r="C914" t="str">
            <v>Bldg#</v>
          </cell>
          <cell r="H914">
            <v>14142.41</v>
          </cell>
        </row>
        <row r="921">
          <cell r="D921" t="str">
            <v>Bldg Desc</v>
          </cell>
          <cell r="E921" t="str">
            <v>Part Number</v>
          </cell>
          <cell r="F921" t="str">
            <v>Amount</v>
          </cell>
        </row>
        <row r="922">
          <cell r="C922" t="str">
            <v>FLT-ELC-14</v>
          </cell>
          <cell r="D922">
            <v>560</v>
          </cell>
          <cell r="E922" t="str">
            <v>FLT</v>
          </cell>
          <cell r="F922" t="str">
            <v>FLUOR TOWER</v>
          </cell>
          <cell r="G922" t="str">
            <v>ELECTRIC</v>
          </cell>
          <cell r="H922">
            <v>148790.01</v>
          </cell>
        </row>
        <row r="923">
          <cell r="H923">
            <v>148790.01</v>
          </cell>
        </row>
        <row r="925">
          <cell r="C925" t="str">
            <v>Bldg#</v>
          </cell>
        </row>
        <row r="930">
          <cell r="D930" t="str">
            <v>Bldg Desc</v>
          </cell>
          <cell r="E930" t="str">
            <v>Part Number</v>
          </cell>
          <cell r="F930" t="str">
            <v>Amount</v>
          </cell>
        </row>
        <row r="931">
          <cell r="C931" t="str">
            <v>FLT-WTR-14</v>
          </cell>
          <cell r="D931">
            <v>560</v>
          </cell>
          <cell r="E931" t="str">
            <v>FLT</v>
          </cell>
          <cell r="F931" t="str">
            <v>FLUOR TOWER</v>
          </cell>
          <cell r="G931" t="str">
            <v>WATER</v>
          </cell>
          <cell r="H931">
            <v>17859.7</v>
          </cell>
        </row>
        <row r="932">
          <cell r="H932">
            <v>17859.7</v>
          </cell>
        </row>
        <row r="934">
          <cell r="C934" t="str">
            <v>Bldg#</v>
          </cell>
        </row>
        <row r="939">
          <cell r="D939" t="str">
            <v>Bldg Desc</v>
          </cell>
          <cell r="E939" t="str">
            <v>Part Number</v>
          </cell>
          <cell r="F939" t="str">
            <v>Amount</v>
          </cell>
        </row>
        <row r="940">
          <cell r="C940" t="str">
            <v>FMH-EGW-14</v>
          </cell>
          <cell r="D940">
            <v>2640</v>
          </cell>
          <cell r="E940" t="str">
            <v>FMH</v>
          </cell>
          <cell r="F940" t="str">
            <v>FORTHMANN HOUSE</v>
          </cell>
          <cell r="G940" t="str">
            <v>ELECTRIC</v>
          </cell>
          <cell r="H940">
            <v>9694.93</v>
          </cell>
        </row>
        <row r="941">
          <cell r="D941">
            <v>2640</v>
          </cell>
          <cell r="E941" t="str">
            <v>FMH</v>
          </cell>
          <cell r="F941" t="str">
            <v>FORTHMANN HOUSE</v>
          </cell>
          <cell r="G941" t="str">
            <v>WATER</v>
          </cell>
          <cell r="H941">
            <v>1877.52</v>
          </cell>
        </row>
        <row r="942">
          <cell r="H942">
            <v>11572.45</v>
          </cell>
        </row>
        <row r="943">
          <cell r="C943" t="str">
            <v>Bldg#</v>
          </cell>
        </row>
        <row r="949">
          <cell r="D949" t="str">
            <v>Bldg Desc</v>
          </cell>
          <cell r="E949" t="str">
            <v>Part Number</v>
          </cell>
          <cell r="F949" t="str">
            <v>Amount</v>
          </cell>
        </row>
        <row r="950">
          <cell r="C950" t="str">
            <v>FPM-EGW-14</v>
          </cell>
          <cell r="D950">
            <v>2590</v>
          </cell>
          <cell r="E950" t="str">
            <v>FPM</v>
          </cell>
          <cell r="F950" t="str">
            <v>FACILITIES PLANNING &amp; MANAGEMENT TRAILER</v>
          </cell>
          <cell r="G950" t="str">
            <v>ELECTRIC</v>
          </cell>
          <cell r="H950">
            <v>42159.34</v>
          </cell>
        </row>
        <row r="951">
          <cell r="H951">
            <v>42159.34</v>
          </cell>
        </row>
        <row r="953">
          <cell r="C953" t="str">
            <v>Bldg#</v>
          </cell>
        </row>
        <row r="958">
          <cell r="D958" t="str">
            <v>Bldg Desc</v>
          </cell>
          <cell r="E958" t="str">
            <v>Part Number</v>
          </cell>
          <cell r="F958" t="str">
            <v>Amount</v>
          </cell>
        </row>
        <row r="959">
          <cell r="C959" t="str">
            <v>GEC-NELC14</v>
          </cell>
          <cell r="D959">
            <v>2890</v>
          </cell>
          <cell r="E959" t="str">
            <v>GEC</v>
          </cell>
          <cell r="F959" t="str">
            <v>GALEN EVENT CENTER</v>
          </cell>
          <cell r="G959" t="str">
            <v>ELECTRIC</v>
          </cell>
          <cell r="H959">
            <v>1110251.5900000001</v>
          </cell>
        </row>
        <row r="960">
          <cell r="H960">
            <v>1110251.5900000001</v>
          </cell>
        </row>
        <row r="962">
          <cell r="C962" t="str">
            <v>Bldg#</v>
          </cell>
        </row>
        <row r="967">
          <cell r="D967" t="str">
            <v>Bldg Desc</v>
          </cell>
          <cell r="E967" t="str">
            <v>Part Number</v>
          </cell>
          <cell r="F967" t="str">
            <v>Amount</v>
          </cell>
        </row>
        <row r="968">
          <cell r="C968" t="str">
            <v>GEC-NGAS14</v>
          </cell>
          <cell r="D968">
            <v>2890</v>
          </cell>
          <cell r="E968" t="str">
            <v>GEC</v>
          </cell>
          <cell r="F968" t="str">
            <v>GALEN EVENT CENTER</v>
          </cell>
          <cell r="G968" t="str">
            <v>GAS</v>
          </cell>
          <cell r="H968">
            <v>38037.46</v>
          </cell>
        </row>
        <row r="969">
          <cell r="H969">
            <v>38037.46</v>
          </cell>
        </row>
        <row r="971">
          <cell r="C971" t="str">
            <v>Bldg#</v>
          </cell>
        </row>
        <row r="976">
          <cell r="D976" t="str">
            <v>Bldg Desc</v>
          </cell>
          <cell r="E976" t="str">
            <v>Part Number</v>
          </cell>
          <cell r="F976" t="str">
            <v>Amount</v>
          </cell>
        </row>
        <row r="977">
          <cell r="C977" t="str">
            <v>GEC-NWTR14</v>
          </cell>
          <cell r="D977">
            <v>2890</v>
          </cell>
          <cell r="E977" t="str">
            <v>GEC</v>
          </cell>
          <cell r="F977" t="str">
            <v>GALEN EVENT CENTER</v>
          </cell>
          <cell r="G977" t="str">
            <v>WATER</v>
          </cell>
          <cell r="H977">
            <v>41277.11</v>
          </cell>
        </row>
        <row r="978">
          <cell r="H978">
            <v>41277.11</v>
          </cell>
        </row>
        <row r="980">
          <cell r="C980" t="str">
            <v>Bldg#</v>
          </cell>
        </row>
        <row r="985">
          <cell r="D985" t="str">
            <v>Bldg Desc</v>
          </cell>
          <cell r="E985" t="str">
            <v>Part Number</v>
          </cell>
          <cell r="F985" t="str">
            <v>Amount</v>
          </cell>
        </row>
        <row r="986">
          <cell r="C986" t="str">
            <v>GEH-EGW-14</v>
          </cell>
          <cell r="D986">
            <v>1710</v>
          </cell>
          <cell r="E986" t="str">
            <v>GEH</v>
          </cell>
          <cell r="F986" t="str">
            <v>MAX KADE CENTER 1</v>
          </cell>
          <cell r="G986" t="str">
            <v>ELECTRIC</v>
          </cell>
          <cell r="H986">
            <v>1169.5999999999999</v>
          </cell>
        </row>
        <row r="987">
          <cell r="D987">
            <v>1710</v>
          </cell>
          <cell r="E987" t="str">
            <v>GEH</v>
          </cell>
          <cell r="F987" t="str">
            <v>MAX KADE CENTER 1</v>
          </cell>
          <cell r="G987" t="str">
            <v>GAS</v>
          </cell>
          <cell r="H987">
            <v>97.69</v>
          </cell>
        </row>
        <row r="988">
          <cell r="D988">
            <v>1710</v>
          </cell>
          <cell r="E988" t="str">
            <v>GEH</v>
          </cell>
          <cell r="F988" t="str">
            <v>MAX KADE CENTER 1</v>
          </cell>
          <cell r="G988" t="str">
            <v>WATER</v>
          </cell>
          <cell r="H988">
            <v>172.31</v>
          </cell>
        </row>
        <row r="989">
          <cell r="C989" t="str">
            <v>Bldg#</v>
          </cell>
          <cell r="H989">
            <v>1439.6</v>
          </cell>
        </row>
        <row r="996">
          <cell r="D996" t="str">
            <v>Bldg Desc</v>
          </cell>
          <cell r="E996" t="str">
            <v>Part Number</v>
          </cell>
          <cell r="F996" t="str">
            <v>Amount</v>
          </cell>
        </row>
        <row r="997">
          <cell r="C997" t="str">
            <v>GER-EGW-14</v>
          </cell>
          <cell r="D997">
            <v>190</v>
          </cell>
          <cell r="E997" t="str">
            <v>GER</v>
          </cell>
          <cell r="F997" t="str">
            <v>ETHEL PERCY ANDRUS GERONTOLOGY CENTER</v>
          </cell>
          <cell r="G997" t="str">
            <v>ELECTRIC</v>
          </cell>
          <cell r="H997">
            <v>227301.28</v>
          </cell>
        </row>
        <row r="998">
          <cell r="D998">
            <v>190</v>
          </cell>
          <cell r="E998" t="str">
            <v>GER</v>
          </cell>
          <cell r="F998" t="str">
            <v>ETHEL PERCY ANDRUS GERONTOLOGY CENTER</v>
          </cell>
          <cell r="G998" t="str">
            <v>GAS</v>
          </cell>
          <cell r="H998">
            <v>20104.25</v>
          </cell>
        </row>
        <row r="999">
          <cell r="D999">
            <v>190</v>
          </cell>
          <cell r="E999" t="str">
            <v>GER</v>
          </cell>
          <cell r="F999" t="str">
            <v>ETHEL PERCY ANDRUS GERONTOLOGY CENTER</v>
          </cell>
          <cell r="G999" t="str">
            <v>WATER</v>
          </cell>
          <cell r="H999">
            <v>27243.03</v>
          </cell>
        </row>
        <row r="1000">
          <cell r="C1000" t="str">
            <v>Bldg#</v>
          </cell>
          <cell r="H1000">
            <v>274648.56</v>
          </cell>
        </row>
        <row r="1007">
          <cell r="D1007" t="str">
            <v>Bldg Desc</v>
          </cell>
          <cell r="E1007" t="str">
            <v>Part Number</v>
          </cell>
          <cell r="F1007" t="str">
            <v>Amount</v>
          </cell>
        </row>
        <row r="1008">
          <cell r="C1008" t="str">
            <v>GEX-EGW-14</v>
          </cell>
          <cell r="D1008">
            <v>1711</v>
          </cell>
          <cell r="E1008" t="str">
            <v>GEX</v>
          </cell>
          <cell r="F1008" t="str">
            <v>MAX KADE CENTER 2</v>
          </cell>
          <cell r="G1008" t="str">
            <v>ELECTRIC</v>
          </cell>
          <cell r="H1008">
            <v>0</v>
          </cell>
        </row>
        <row r="1009">
          <cell r="D1009">
            <v>1711</v>
          </cell>
          <cell r="E1009" t="str">
            <v>GEX</v>
          </cell>
          <cell r="F1009" t="str">
            <v>MAX KADE CENTER 2</v>
          </cell>
          <cell r="G1009" t="str">
            <v>GAS</v>
          </cell>
          <cell r="H1009">
            <v>72.17</v>
          </cell>
        </row>
        <row r="1010">
          <cell r="H1010">
            <v>72.17</v>
          </cell>
        </row>
        <row r="1011">
          <cell r="C1011" t="str">
            <v>Bldg#</v>
          </cell>
        </row>
        <row r="1017">
          <cell r="D1017" t="str">
            <v>Bldg Desc</v>
          </cell>
          <cell r="E1017" t="str">
            <v>Part Number</v>
          </cell>
          <cell r="F1017" t="str">
            <v>Amount</v>
          </cell>
        </row>
        <row r="1018">
          <cell r="C1018" t="str">
            <v>GFS-EGW-14</v>
          </cell>
          <cell r="D1018">
            <v>1690</v>
          </cell>
          <cell r="E1018" t="str">
            <v>GFS</v>
          </cell>
          <cell r="F1018" t="str">
            <v>GRACE FORD SALVATORI HALL OF LETTERS, ARTS &amp; SCIENCES</v>
          </cell>
          <cell r="G1018" t="str">
            <v>ELECTRIC</v>
          </cell>
          <cell r="H1018">
            <v>79068.28</v>
          </cell>
        </row>
        <row r="1019">
          <cell r="D1019">
            <v>1690</v>
          </cell>
          <cell r="E1019" t="str">
            <v>GFS</v>
          </cell>
          <cell r="F1019" t="str">
            <v>GRACE FORD SALVATORI HALL OF LETTERS, ARTS &amp; SCIENCES</v>
          </cell>
          <cell r="G1019" t="str">
            <v>GAS</v>
          </cell>
          <cell r="H1019">
            <v>8372.3700000000008</v>
          </cell>
        </row>
        <row r="1020">
          <cell r="D1020">
            <v>1690</v>
          </cell>
          <cell r="E1020" t="str">
            <v>GFS</v>
          </cell>
          <cell r="F1020" t="str">
            <v>GRACE FORD SALVATORI HALL OF LETTERS, ARTS &amp; SCIENCES</v>
          </cell>
          <cell r="G1020" t="str">
            <v>WATER</v>
          </cell>
          <cell r="H1020">
            <v>4805.8500000000004</v>
          </cell>
        </row>
        <row r="1021">
          <cell r="C1021" t="str">
            <v>Bldg#</v>
          </cell>
          <cell r="H1021">
            <v>92246.5</v>
          </cell>
        </row>
        <row r="1028">
          <cell r="C1028" t="str">
            <v>GPC-EXW-14</v>
          </cell>
          <cell r="D1028" t="str">
            <v>Bldg Desc</v>
          </cell>
          <cell r="E1028" t="str">
            <v>Part Number</v>
          </cell>
          <cell r="F1028" t="str">
            <v>Amount</v>
          </cell>
        </row>
        <row r="1029">
          <cell r="D1029">
            <v>5110</v>
          </cell>
          <cell r="E1029" t="str">
            <v>GPC</v>
          </cell>
          <cell r="F1029" t="str">
            <v>GOLF PRACTICE COURSE</v>
          </cell>
          <cell r="G1029" t="str">
            <v>WATER</v>
          </cell>
          <cell r="H1029">
            <v>834.14</v>
          </cell>
        </row>
        <row r="1030">
          <cell r="H1030">
            <v>834.14</v>
          </cell>
        </row>
        <row r="1032">
          <cell r="C1032" t="str">
            <v>Bldg#</v>
          </cell>
        </row>
        <row r="1037">
          <cell r="D1037" t="str">
            <v>Bldg Desc</v>
          </cell>
          <cell r="E1037" t="str">
            <v>Part Number</v>
          </cell>
          <cell r="F1037" t="str">
            <v>Amount</v>
          </cell>
        </row>
        <row r="1038">
          <cell r="C1038" t="str">
            <v>HAR-EGW-14</v>
          </cell>
          <cell r="D1038">
            <v>380</v>
          </cell>
          <cell r="E1038" t="str">
            <v>HAR</v>
          </cell>
          <cell r="F1038" t="str">
            <v>MAY ORMEROD HARRIS HALL, QUINN WING &amp; FISHER GALLERY</v>
          </cell>
          <cell r="G1038" t="str">
            <v>ELECTRIC</v>
          </cell>
          <cell r="H1038">
            <v>94202.91</v>
          </cell>
        </row>
        <row r="1039">
          <cell r="D1039">
            <v>380</v>
          </cell>
          <cell r="E1039" t="str">
            <v>HAR</v>
          </cell>
          <cell r="F1039" t="str">
            <v>MAY ORMEROD HARRIS HALL, QUINN WING &amp; FISHER GALLERY</v>
          </cell>
          <cell r="G1039" t="str">
            <v>GAS</v>
          </cell>
          <cell r="H1039">
            <v>6520.23</v>
          </cell>
        </row>
        <row r="1040">
          <cell r="D1040">
            <v>380</v>
          </cell>
          <cell r="E1040" t="str">
            <v>HAR</v>
          </cell>
          <cell r="F1040" t="str">
            <v>MAY ORMEROD HARRIS HALL, QUINN WING &amp; FISHER GALLERY</v>
          </cell>
          <cell r="G1040" t="str">
            <v>WATER</v>
          </cell>
          <cell r="H1040">
            <v>5566.83</v>
          </cell>
        </row>
        <row r="1041">
          <cell r="C1041" t="str">
            <v>Bldg#</v>
          </cell>
          <cell r="H1041">
            <v>106289.97</v>
          </cell>
        </row>
        <row r="1048">
          <cell r="D1048" t="str">
            <v>Bldg Desc</v>
          </cell>
          <cell r="E1048" t="str">
            <v>Part Number</v>
          </cell>
          <cell r="F1048" t="str">
            <v>Amount</v>
          </cell>
        </row>
        <row r="1049">
          <cell r="C1049" t="str">
            <v>HCC-EGW-14</v>
          </cell>
          <cell r="D1049">
            <v>2690</v>
          </cell>
          <cell r="E1049" t="str">
            <v>HCC</v>
          </cell>
          <cell r="F1049" t="str">
            <v>USC HEALTHCARE CONSULTATION CENTER</v>
          </cell>
          <cell r="G1049" t="str">
            <v>WATER</v>
          </cell>
          <cell r="H1049">
            <v>3154.65</v>
          </cell>
        </row>
        <row r="1050">
          <cell r="H1050">
            <v>3154.65</v>
          </cell>
        </row>
        <row r="1052">
          <cell r="C1052" t="str">
            <v>Bldg#</v>
          </cell>
        </row>
        <row r="1057">
          <cell r="D1057" t="str">
            <v>Bldg Desc</v>
          </cell>
          <cell r="E1057" t="str">
            <v>Part Number</v>
          </cell>
          <cell r="F1057" t="str">
            <v>Amount</v>
          </cell>
        </row>
        <row r="1058">
          <cell r="C1058" t="str">
            <v>HCT-EGW-14</v>
          </cell>
          <cell r="D1058">
            <v>2870</v>
          </cell>
          <cell r="E1058" t="str">
            <v>HCT</v>
          </cell>
          <cell r="F1058" t="str">
            <v>HEALTHCARE CONSULTATION CENTER II</v>
          </cell>
          <cell r="G1058" t="str">
            <v>ELECTRIC</v>
          </cell>
          <cell r="H1058">
            <v>628601.75</v>
          </cell>
        </row>
        <row r="1059">
          <cell r="D1059">
            <v>2870</v>
          </cell>
          <cell r="E1059" t="str">
            <v>HCT</v>
          </cell>
          <cell r="F1059" t="str">
            <v>HEALTHCARE CONSULTATION CENTER II</v>
          </cell>
          <cell r="G1059" t="str">
            <v>GAS</v>
          </cell>
          <cell r="H1059">
            <v>24909.89</v>
          </cell>
        </row>
        <row r="1060">
          <cell r="D1060">
            <v>2870</v>
          </cell>
          <cell r="E1060" t="str">
            <v>HCT</v>
          </cell>
          <cell r="F1060" t="str">
            <v>HEALTHCARE CONSULTATION CENTER II</v>
          </cell>
          <cell r="G1060" t="str">
            <v>WATER</v>
          </cell>
          <cell r="H1060">
            <v>48241.99</v>
          </cell>
        </row>
        <row r="1061">
          <cell r="C1061" t="str">
            <v>Bldg#</v>
          </cell>
          <cell r="H1061">
            <v>701753.63</v>
          </cell>
        </row>
        <row r="1068">
          <cell r="D1068" t="str">
            <v>Bldg Desc</v>
          </cell>
          <cell r="E1068" t="str">
            <v>Part Number</v>
          </cell>
          <cell r="F1068" t="str">
            <v>Amount</v>
          </cell>
        </row>
        <row r="1069">
          <cell r="C1069" t="str">
            <v>HED-EGW-14</v>
          </cell>
          <cell r="D1069">
            <v>720</v>
          </cell>
          <cell r="E1069" t="str">
            <v>HED</v>
          </cell>
          <cell r="F1069" t="str">
            <v>HEDCO PETROLEUM &amp; CHEMICAL ENGINEERING BUILDING</v>
          </cell>
          <cell r="G1069" t="str">
            <v>ELECTRIC</v>
          </cell>
          <cell r="H1069">
            <v>21641.64</v>
          </cell>
        </row>
        <row r="1070">
          <cell r="D1070">
            <v>720</v>
          </cell>
          <cell r="E1070" t="str">
            <v>HED</v>
          </cell>
          <cell r="F1070" t="str">
            <v>HEDCO PETROLEUM &amp; CHEMICAL ENGINEERING BUILDING</v>
          </cell>
          <cell r="G1070" t="str">
            <v>GAS</v>
          </cell>
          <cell r="H1070">
            <v>1750.86</v>
          </cell>
        </row>
        <row r="1071">
          <cell r="D1071">
            <v>720</v>
          </cell>
          <cell r="E1071" t="str">
            <v>HED</v>
          </cell>
          <cell r="F1071" t="str">
            <v>HEDCO PETROLEUM &amp; CHEMICAL ENGINEERING BUILDING</v>
          </cell>
          <cell r="G1071" t="str">
            <v>WATER</v>
          </cell>
          <cell r="H1071">
            <v>3518.89</v>
          </cell>
        </row>
        <row r="1072">
          <cell r="C1072" t="str">
            <v>Bldg#</v>
          </cell>
          <cell r="H1072">
            <v>26911.4</v>
          </cell>
        </row>
        <row r="1079">
          <cell r="D1079" t="str">
            <v>Bldg Desc</v>
          </cell>
          <cell r="E1079" t="str">
            <v>Part Number</v>
          </cell>
          <cell r="F1079" t="str">
            <v>Amount</v>
          </cell>
        </row>
        <row r="1080">
          <cell r="C1080" t="str">
            <v>HER-EGW-14</v>
          </cell>
          <cell r="D1080">
            <v>160</v>
          </cell>
          <cell r="E1080" t="str">
            <v>HER</v>
          </cell>
          <cell r="F1080" t="str">
            <v>HERITAGE HALL</v>
          </cell>
          <cell r="G1080" t="str">
            <v>ELECTRIC</v>
          </cell>
          <cell r="H1080">
            <v>22118.42</v>
          </cell>
        </row>
        <row r="1081">
          <cell r="D1081">
            <v>160</v>
          </cell>
          <cell r="E1081" t="str">
            <v>HER</v>
          </cell>
          <cell r="F1081" t="str">
            <v>HERITAGE HALL</v>
          </cell>
          <cell r="G1081" t="str">
            <v>GAS</v>
          </cell>
          <cell r="H1081">
            <v>35498.410000000003</v>
          </cell>
        </row>
        <row r="1082">
          <cell r="D1082">
            <v>160</v>
          </cell>
          <cell r="E1082" t="str">
            <v>HER</v>
          </cell>
          <cell r="F1082" t="str">
            <v>HERITAGE HALL</v>
          </cell>
          <cell r="G1082" t="str">
            <v>WATER</v>
          </cell>
          <cell r="H1082">
            <v>13303.44</v>
          </cell>
        </row>
        <row r="1083">
          <cell r="C1083" t="str">
            <v>Bldg#</v>
          </cell>
          <cell r="H1083">
            <v>70920.27</v>
          </cell>
        </row>
        <row r="1090">
          <cell r="D1090" t="str">
            <v>Bldg Desc</v>
          </cell>
          <cell r="E1090" t="str">
            <v>Part Number</v>
          </cell>
          <cell r="F1090" t="str">
            <v>Amount</v>
          </cell>
        </row>
        <row r="1091">
          <cell r="C1091" t="str">
            <v>HEX-EGW-14</v>
          </cell>
          <cell r="D1091">
            <v>161</v>
          </cell>
          <cell r="E1091" t="str">
            <v>HEX</v>
          </cell>
          <cell r="F1091" t="str">
            <v>GALEN ATHLETIC CENTER</v>
          </cell>
          <cell r="G1091" t="str">
            <v>GAS</v>
          </cell>
          <cell r="H1091">
            <v>3205.2</v>
          </cell>
        </row>
        <row r="1092">
          <cell r="D1092">
            <v>161</v>
          </cell>
          <cell r="E1092" t="str">
            <v>HEX</v>
          </cell>
          <cell r="F1092" t="str">
            <v>GALEN ATHLETIC CENTER</v>
          </cell>
          <cell r="G1092" t="str">
            <v>WATER</v>
          </cell>
          <cell r="H1092">
            <v>11.88</v>
          </cell>
        </row>
        <row r="1093">
          <cell r="H1093">
            <v>3217.08</v>
          </cell>
        </row>
        <row r="1094">
          <cell r="C1094" t="str">
            <v>Bldg#</v>
          </cell>
        </row>
        <row r="1100">
          <cell r="D1100" t="str">
            <v>Bldg Desc</v>
          </cell>
          <cell r="E1100" t="str">
            <v>Part Number</v>
          </cell>
          <cell r="F1100" t="str">
            <v>Amount</v>
          </cell>
        </row>
        <row r="1101">
          <cell r="C1101" t="str">
            <v>HMR-EGW-14</v>
          </cell>
          <cell r="D1101">
            <v>220</v>
          </cell>
          <cell r="E1101" t="str">
            <v>HMR</v>
          </cell>
          <cell r="F1101" t="str">
            <v>ELAINE STEVELY HOFFMAN MEDICAL RESEARCH CENTER</v>
          </cell>
          <cell r="G1101" t="str">
            <v>ELECTRIC</v>
          </cell>
          <cell r="H1101">
            <v>380593.17</v>
          </cell>
        </row>
        <row r="1102">
          <cell r="D1102">
            <v>220</v>
          </cell>
          <cell r="E1102" t="str">
            <v>HMR</v>
          </cell>
          <cell r="F1102" t="str">
            <v>ELAINE STEVELY HOFFMAN MEDICAL RESEARCH CENTER</v>
          </cell>
          <cell r="G1102" t="str">
            <v>GAS</v>
          </cell>
          <cell r="H1102">
            <v>32055.86</v>
          </cell>
        </row>
        <row r="1103">
          <cell r="D1103">
            <v>220</v>
          </cell>
          <cell r="E1103" t="str">
            <v>HMR</v>
          </cell>
          <cell r="F1103" t="str">
            <v>ELAINE STEVELY HOFFMAN MEDICAL RESEARCH CENTER</v>
          </cell>
          <cell r="G1103" t="str">
            <v>WATER</v>
          </cell>
          <cell r="H1103">
            <v>23794.95</v>
          </cell>
        </row>
        <row r="1104">
          <cell r="C1104" t="str">
            <v>Bldg#</v>
          </cell>
          <cell r="H1104">
            <v>436443.99</v>
          </cell>
        </row>
        <row r="1111">
          <cell r="D1111" t="str">
            <v>Bldg Desc</v>
          </cell>
          <cell r="E1111" t="str">
            <v>Part Number</v>
          </cell>
          <cell r="F1111" t="str">
            <v>Amount</v>
          </cell>
        </row>
        <row r="1112">
          <cell r="C1112" t="str">
            <v>HNB-EGW-14</v>
          </cell>
          <cell r="D1112">
            <v>2520</v>
          </cell>
          <cell r="E1112" t="str">
            <v>HNB</v>
          </cell>
          <cell r="F1112" t="str">
            <v>HEDCO NEUROSCIENCES BUILDING</v>
          </cell>
          <cell r="G1112" t="str">
            <v>ELECTRIC</v>
          </cell>
          <cell r="H1112">
            <v>179913.58</v>
          </cell>
        </row>
        <row r="1113">
          <cell r="D1113">
            <v>2520</v>
          </cell>
          <cell r="E1113" t="str">
            <v>HNB</v>
          </cell>
          <cell r="F1113" t="str">
            <v>HEDCO NEUROSCIENCES BUILDING</v>
          </cell>
          <cell r="G1113" t="str">
            <v>GAS</v>
          </cell>
          <cell r="H1113">
            <v>16249.1</v>
          </cell>
        </row>
        <row r="1114">
          <cell r="D1114">
            <v>2520</v>
          </cell>
          <cell r="E1114" t="str">
            <v>HNB</v>
          </cell>
          <cell r="F1114" t="str">
            <v>HEDCO NEUROSCIENCES BUILDING</v>
          </cell>
          <cell r="G1114" t="str">
            <v>WATER</v>
          </cell>
          <cell r="H1114">
            <v>17583.919999999998</v>
          </cell>
        </row>
        <row r="1115">
          <cell r="C1115" t="str">
            <v>Bldg#</v>
          </cell>
          <cell r="H1115">
            <v>213746.6</v>
          </cell>
        </row>
        <row r="1122">
          <cell r="D1122" t="str">
            <v>Bldg Desc</v>
          </cell>
          <cell r="E1122" t="str">
            <v>Part Number</v>
          </cell>
          <cell r="F1122" t="str">
            <v>Amount</v>
          </cell>
        </row>
        <row r="1123">
          <cell r="C1123" t="str">
            <v>HOH-EGW-14</v>
          </cell>
          <cell r="D1123">
            <v>1420</v>
          </cell>
          <cell r="E1123" t="str">
            <v>HOH</v>
          </cell>
          <cell r="F1123" t="str">
            <v>H. LESLIE HOFFMAN HALL OF BUSINESS ADMINISTRATION</v>
          </cell>
          <cell r="G1123" t="str">
            <v>ELECTRIC</v>
          </cell>
          <cell r="H1123">
            <v>148221.53</v>
          </cell>
        </row>
        <row r="1124">
          <cell r="D1124">
            <v>1420</v>
          </cell>
          <cell r="E1124" t="str">
            <v>HOH</v>
          </cell>
          <cell r="F1124" t="str">
            <v>H. LESLIE HOFFMAN HALL OF BUSINESS ADMINISTRATION</v>
          </cell>
          <cell r="G1124" t="str">
            <v>GAS</v>
          </cell>
          <cell r="H1124">
            <v>7308.02</v>
          </cell>
        </row>
        <row r="1125">
          <cell r="D1125">
            <v>1420</v>
          </cell>
          <cell r="E1125" t="str">
            <v>HOH</v>
          </cell>
          <cell r="F1125" t="str">
            <v>H. LESLIE HOFFMAN HALL OF BUSINESS ADMINISTRATION</v>
          </cell>
          <cell r="G1125" t="str">
            <v>WATER</v>
          </cell>
          <cell r="H1125">
            <v>10112.32</v>
          </cell>
        </row>
        <row r="1126">
          <cell r="C1126" t="str">
            <v>Bldg#</v>
          </cell>
          <cell r="H1126">
            <v>165641.87</v>
          </cell>
        </row>
        <row r="1133">
          <cell r="D1133" t="str">
            <v>Bldg Desc</v>
          </cell>
          <cell r="E1133" t="str">
            <v>Part Number</v>
          </cell>
          <cell r="F1133" t="str">
            <v>Amount</v>
          </cell>
        </row>
        <row r="1134">
          <cell r="C1134" t="str">
            <v>HOH9-EL-14</v>
          </cell>
          <cell r="D1134">
            <v>1429</v>
          </cell>
          <cell r="E1134" t="str">
            <v>HOH9</v>
          </cell>
          <cell r="F1134" t="str">
            <v>HOFFMAN HALL CELL TOWER</v>
          </cell>
          <cell r="G1134" t="str">
            <v>ELECTRIC</v>
          </cell>
          <cell r="H1134">
            <v>6217.35</v>
          </cell>
        </row>
        <row r="1135">
          <cell r="H1135">
            <v>6217.35</v>
          </cell>
        </row>
        <row r="1137">
          <cell r="C1137" t="str">
            <v>Bldg#</v>
          </cell>
        </row>
        <row r="1142">
          <cell r="D1142" t="str">
            <v>Bldg Desc</v>
          </cell>
          <cell r="E1142" t="str">
            <v>Part Number</v>
          </cell>
          <cell r="F1142" t="str">
            <v>Amount</v>
          </cell>
        </row>
        <row r="1143">
          <cell r="C1143" t="str">
            <v>HRC-EGW-14</v>
          </cell>
          <cell r="D1143">
            <v>1590</v>
          </cell>
          <cell r="E1143" t="str">
            <v>HRC</v>
          </cell>
          <cell r="F1143" t="str">
            <v>HUMAN RELATIONS CENTER</v>
          </cell>
          <cell r="G1143" t="str">
            <v>ELECTRIC</v>
          </cell>
          <cell r="H1143">
            <v>16477.64</v>
          </cell>
        </row>
        <row r="1144">
          <cell r="D1144">
            <v>1590</v>
          </cell>
          <cell r="E1144" t="str">
            <v>HRC</v>
          </cell>
          <cell r="F1144" t="str">
            <v>HUMAN RELATIONS CENTER</v>
          </cell>
          <cell r="G1144" t="str">
            <v>GAS</v>
          </cell>
          <cell r="H1144">
            <v>2387.36</v>
          </cell>
        </row>
        <row r="1145">
          <cell r="D1145">
            <v>1590</v>
          </cell>
          <cell r="E1145" t="str">
            <v>HRC</v>
          </cell>
          <cell r="F1145" t="str">
            <v>HUMAN RELATIONS CENTER</v>
          </cell>
          <cell r="G1145" t="str">
            <v>WATER</v>
          </cell>
          <cell r="H1145">
            <v>1466.85</v>
          </cell>
        </row>
        <row r="1146">
          <cell r="C1146" t="str">
            <v>Bldg#</v>
          </cell>
          <cell r="H1146">
            <v>20331.849999999999</v>
          </cell>
        </row>
        <row r="1153">
          <cell r="D1153" t="str">
            <v>Bldg Desc</v>
          </cell>
          <cell r="E1153" t="str">
            <v>Part Number</v>
          </cell>
          <cell r="F1153" t="str">
            <v>Amount</v>
          </cell>
        </row>
        <row r="1154">
          <cell r="C1154" t="str">
            <v>HRH-ELC-14</v>
          </cell>
          <cell r="D1154">
            <v>991</v>
          </cell>
          <cell r="E1154" t="str">
            <v>HRH</v>
          </cell>
          <cell r="F1154" t="str">
            <v>MAY ORMEROD HARRIS RESIDENCE HALL</v>
          </cell>
          <cell r="G1154" t="str">
            <v>ELECTRIC</v>
          </cell>
          <cell r="H1154">
            <v>38009.050000000003</v>
          </cell>
        </row>
        <row r="1155">
          <cell r="H1155">
            <v>38009.050000000003</v>
          </cell>
        </row>
        <row r="1157">
          <cell r="C1157" t="str">
            <v>Bldg#</v>
          </cell>
        </row>
        <row r="1162">
          <cell r="D1162" t="str">
            <v>Bldg Desc</v>
          </cell>
          <cell r="E1162" t="str">
            <v>Part Number</v>
          </cell>
          <cell r="F1162" t="str">
            <v>Amount</v>
          </cell>
        </row>
        <row r="1163">
          <cell r="C1163" t="str">
            <v>HRH-GAS-14</v>
          </cell>
          <cell r="D1163">
            <v>991</v>
          </cell>
          <cell r="E1163" t="str">
            <v>HRH</v>
          </cell>
          <cell r="F1163" t="str">
            <v>MAY ORMEROD HARRIS RESIDENCE HALL</v>
          </cell>
          <cell r="G1163" t="str">
            <v>GAS</v>
          </cell>
          <cell r="H1163">
            <v>1798.19</v>
          </cell>
        </row>
        <row r="1164">
          <cell r="H1164">
            <v>1798.19</v>
          </cell>
        </row>
        <row r="1166">
          <cell r="C1166" t="str">
            <v>Bldg#</v>
          </cell>
        </row>
        <row r="1171">
          <cell r="D1171" t="str">
            <v>Bldg Desc</v>
          </cell>
          <cell r="E1171" t="str">
            <v>Part Number</v>
          </cell>
          <cell r="F1171" t="str">
            <v>Amount</v>
          </cell>
        </row>
        <row r="1172">
          <cell r="C1172" t="str">
            <v>HRH-WTR-14</v>
          </cell>
          <cell r="D1172">
            <v>991</v>
          </cell>
          <cell r="E1172" t="str">
            <v>HRH</v>
          </cell>
          <cell r="F1172" t="str">
            <v>MAY ORMEROD HARRIS RESIDENCE HALL</v>
          </cell>
          <cell r="G1172" t="str">
            <v>WATER</v>
          </cell>
          <cell r="H1172">
            <v>8057.02</v>
          </cell>
        </row>
        <row r="1173">
          <cell r="H1173">
            <v>8057.02</v>
          </cell>
        </row>
        <row r="1175">
          <cell r="C1175" t="str">
            <v>Bldg#</v>
          </cell>
        </row>
        <row r="1180">
          <cell r="D1180" t="str">
            <v>Bldg Desc</v>
          </cell>
          <cell r="E1180" t="str">
            <v>Part Number</v>
          </cell>
          <cell r="F1180" t="str">
            <v>Amount</v>
          </cell>
        </row>
        <row r="1181">
          <cell r="C1181" t="str">
            <v>HSH-EGW-14</v>
          </cell>
          <cell r="D1181">
            <v>1050</v>
          </cell>
          <cell r="E1181" t="str">
            <v>HSH</v>
          </cell>
          <cell r="F1181" t="str">
            <v>HAZEL &amp; STANLEY HALL FINANCIAL SERVICES BUILDING</v>
          </cell>
          <cell r="G1181" t="str">
            <v>ELECTRIC</v>
          </cell>
          <cell r="H1181">
            <v>23049.96</v>
          </cell>
        </row>
        <row r="1182">
          <cell r="D1182">
            <v>1050</v>
          </cell>
          <cell r="E1182" t="str">
            <v>HSH</v>
          </cell>
          <cell r="F1182" t="str">
            <v>HAZEL &amp; STANLEY HALL FINANCIAL SERVICES BUILDING</v>
          </cell>
          <cell r="G1182" t="str">
            <v>GAS</v>
          </cell>
          <cell r="H1182">
            <v>2308.08</v>
          </cell>
        </row>
        <row r="1183">
          <cell r="D1183">
            <v>1050</v>
          </cell>
          <cell r="E1183" t="str">
            <v>HSH</v>
          </cell>
          <cell r="F1183" t="str">
            <v>HAZEL &amp; STANLEY HALL FINANCIAL SERVICES BUILDING</v>
          </cell>
          <cell r="G1183" t="str">
            <v>WATER</v>
          </cell>
          <cell r="H1183">
            <v>4484.2700000000004</v>
          </cell>
        </row>
        <row r="1184">
          <cell r="C1184" t="str">
            <v>Bldg#</v>
          </cell>
          <cell r="H1184">
            <v>29842.31</v>
          </cell>
        </row>
        <row r="1191">
          <cell r="D1191" t="str">
            <v>Bldg Desc</v>
          </cell>
          <cell r="E1191" t="str">
            <v>Part Number</v>
          </cell>
          <cell r="F1191" t="str">
            <v>Amount</v>
          </cell>
        </row>
        <row r="1192">
          <cell r="C1192" t="str">
            <v>HSP-ELC-14</v>
          </cell>
          <cell r="D1192">
            <v>1900</v>
          </cell>
          <cell r="E1192" t="str">
            <v>HSP</v>
          </cell>
          <cell r="F1192" t="str">
            <v>HEALTH SCIENCES CAMPUS PARKING STRUCTURE</v>
          </cell>
          <cell r="G1192" t="str">
            <v>ELECTRIC</v>
          </cell>
          <cell r="H1192">
            <v>34474.980000000003</v>
          </cell>
        </row>
        <row r="1193">
          <cell r="H1193">
            <v>34474.980000000003</v>
          </cell>
        </row>
        <row r="1195">
          <cell r="C1195" t="str">
            <v>Bldg#</v>
          </cell>
        </row>
        <row r="1200">
          <cell r="D1200" t="str">
            <v>Bldg Desc</v>
          </cell>
          <cell r="E1200" t="str">
            <v>Part Number</v>
          </cell>
          <cell r="F1200" t="str">
            <v>Amount</v>
          </cell>
        </row>
        <row r="1201">
          <cell r="C1201" t="str">
            <v>HSP-XGW-14</v>
          </cell>
          <cell r="D1201">
            <v>1900</v>
          </cell>
          <cell r="E1201" t="str">
            <v>HSP</v>
          </cell>
          <cell r="F1201" t="str">
            <v>HEALTH SCIENCES CAMPUS PARKING STRUCTURE</v>
          </cell>
          <cell r="G1201" t="str">
            <v>GAS</v>
          </cell>
          <cell r="H1201">
            <v>0</v>
          </cell>
        </row>
        <row r="1202">
          <cell r="D1202">
            <v>1900</v>
          </cell>
          <cell r="E1202" t="str">
            <v>HSP</v>
          </cell>
          <cell r="F1202" t="str">
            <v>HEALTH SCIENCES CAMPUS PARKING STRUCTURE</v>
          </cell>
          <cell r="G1202" t="str">
            <v>WATER</v>
          </cell>
          <cell r="H1202">
            <v>11021.05</v>
          </cell>
        </row>
        <row r="1203">
          <cell r="H1203">
            <v>11021.05</v>
          </cell>
        </row>
        <row r="1204">
          <cell r="C1204" t="str">
            <v>Bldg#</v>
          </cell>
        </row>
        <row r="1210">
          <cell r="D1210" t="str">
            <v>Bldg Desc</v>
          </cell>
          <cell r="E1210" t="str">
            <v>Part Number</v>
          </cell>
          <cell r="F1210" t="str">
            <v>Amount</v>
          </cell>
        </row>
        <row r="1211">
          <cell r="C1211" t="str">
            <v>HSV-ELC-14</v>
          </cell>
          <cell r="D1211">
            <v>4030</v>
          </cell>
          <cell r="E1211" t="str">
            <v>HSV</v>
          </cell>
          <cell r="F1211" t="str">
            <v>HEALTH SCIENCE TELEPHONE VAULT</v>
          </cell>
          <cell r="G1211" t="str">
            <v>ELECTRIC</v>
          </cell>
          <cell r="H1211">
            <v>55687.57</v>
          </cell>
        </row>
        <row r="1212">
          <cell r="H1212">
            <v>55687.57</v>
          </cell>
        </row>
        <row r="1213">
          <cell r="C1213" t="str">
            <v>Bldg#</v>
          </cell>
        </row>
        <row r="1219">
          <cell r="D1219" t="str">
            <v>Bldg Desc</v>
          </cell>
          <cell r="E1219" t="str">
            <v>Part Number</v>
          </cell>
          <cell r="F1219" t="str">
            <v>Amount</v>
          </cell>
        </row>
        <row r="1220">
          <cell r="C1220" t="str">
            <v>IMF-EXW-14</v>
          </cell>
          <cell r="D1220">
            <v>5060</v>
          </cell>
          <cell r="E1220" t="str">
            <v>BIM</v>
          </cell>
          <cell r="F1220" t="str">
            <v>BRITTINGHAM INTRAMURAL FIELD</v>
          </cell>
          <cell r="G1220" t="str">
            <v>WATER</v>
          </cell>
          <cell r="H1220">
            <v>0</v>
          </cell>
        </row>
        <row r="1221">
          <cell r="H1221">
            <v>0</v>
          </cell>
        </row>
        <row r="1222">
          <cell r="C1222" t="str">
            <v>Bldg#</v>
          </cell>
        </row>
        <row r="1228">
          <cell r="D1228" t="str">
            <v>Bldg Desc</v>
          </cell>
          <cell r="E1228" t="str">
            <v>Part Number</v>
          </cell>
          <cell r="F1228" t="str">
            <v>Amount</v>
          </cell>
        </row>
        <row r="1229">
          <cell r="C1229" t="str">
            <v>IMS-EGW-14</v>
          </cell>
          <cell r="D1229">
            <v>1670</v>
          </cell>
          <cell r="E1229" t="str">
            <v>IMS</v>
          </cell>
          <cell r="F1229" t="str">
            <v>INSTRUCTIONAL MEDIA SERVICES</v>
          </cell>
          <cell r="G1229" t="str">
            <v>GAS</v>
          </cell>
          <cell r="H1229">
            <v>0</v>
          </cell>
        </row>
        <row r="1230">
          <cell r="D1230">
            <v>1670</v>
          </cell>
          <cell r="E1230" t="str">
            <v>IMS</v>
          </cell>
          <cell r="F1230" t="str">
            <v>INSTRUCTIONAL MEDIA SERVICES</v>
          </cell>
          <cell r="G1230" t="str">
            <v>WATER</v>
          </cell>
          <cell r="H1230">
            <v>959.16</v>
          </cell>
        </row>
        <row r="1231">
          <cell r="H1231">
            <v>959.16</v>
          </cell>
        </row>
        <row r="1238">
          <cell r="D1238" t="str">
            <v>Bldg Desc</v>
          </cell>
          <cell r="E1238" t="str">
            <v>Part Number</v>
          </cell>
          <cell r="F1238" t="str">
            <v>Amount</v>
          </cell>
        </row>
        <row r="1239">
          <cell r="C1239" t="str">
            <v>IRC-ELC-14</v>
          </cell>
          <cell r="D1239">
            <v>2770</v>
          </cell>
          <cell r="E1239" t="str">
            <v>IRC</v>
          </cell>
          <cell r="F1239" t="str">
            <v>INTERNATIONALLY THEMED RESIDENTIAL COLLEGE</v>
          </cell>
          <cell r="G1239" t="str">
            <v>ELECTRIC</v>
          </cell>
          <cell r="H1239">
            <v>272746.14</v>
          </cell>
        </row>
        <row r="1240">
          <cell r="H1240">
            <v>272746.14</v>
          </cell>
        </row>
        <row r="1242">
          <cell r="C1242" t="str">
            <v>Bldg#</v>
          </cell>
        </row>
        <row r="1247">
          <cell r="D1247" t="str">
            <v>Bldg Desc</v>
          </cell>
          <cell r="E1247" t="str">
            <v>Part Number</v>
          </cell>
          <cell r="F1247" t="str">
            <v>Amount</v>
          </cell>
        </row>
        <row r="1248">
          <cell r="C1248" t="str">
            <v>IRC-GAS-14</v>
          </cell>
          <cell r="D1248">
            <v>2770</v>
          </cell>
          <cell r="E1248" t="str">
            <v>IRC</v>
          </cell>
          <cell r="F1248" t="str">
            <v>INTERNATIONALLY THEMED RESIDENTIAL COLLEGE</v>
          </cell>
          <cell r="G1248" t="str">
            <v>GAS</v>
          </cell>
          <cell r="H1248">
            <v>15332.32</v>
          </cell>
        </row>
        <row r="1249">
          <cell r="H1249">
            <v>15332.32</v>
          </cell>
        </row>
        <row r="1251">
          <cell r="C1251" t="str">
            <v>Bldg#</v>
          </cell>
        </row>
        <row r="1256">
          <cell r="D1256" t="str">
            <v>Bldg Desc</v>
          </cell>
          <cell r="E1256" t="str">
            <v>Part Number</v>
          </cell>
          <cell r="F1256" t="str">
            <v>Amount</v>
          </cell>
        </row>
        <row r="1257">
          <cell r="C1257" t="str">
            <v>IRC-WTR-14</v>
          </cell>
          <cell r="D1257">
            <v>2770</v>
          </cell>
          <cell r="E1257" t="str">
            <v>IRC</v>
          </cell>
          <cell r="F1257" t="str">
            <v>INTERNATIONALLY THEMED RESIDENTIAL COLLEGE</v>
          </cell>
          <cell r="G1257" t="str">
            <v>WATER</v>
          </cell>
          <cell r="H1257">
            <v>38182.629999999997</v>
          </cell>
        </row>
        <row r="1258">
          <cell r="H1258">
            <v>38182.629999999997</v>
          </cell>
        </row>
        <row r="1260">
          <cell r="C1260" t="str">
            <v>Bldg#</v>
          </cell>
        </row>
        <row r="1265">
          <cell r="D1265" t="str">
            <v>Bldg Desc</v>
          </cell>
          <cell r="E1265" t="str">
            <v>Part Number</v>
          </cell>
          <cell r="F1265" t="str">
            <v>Amount</v>
          </cell>
        </row>
        <row r="1266">
          <cell r="C1266" t="str">
            <v>IRC1-ELC14</v>
          </cell>
          <cell r="D1266">
            <v>2771</v>
          </cell>
          <cell r="E1266" t="str">
            <v>IRC1</v>
          </cell>
          <cell r="F1266" t="str">
            <v>IRC - AUX, DINING</v>
          </cell>
          <cell r="G1266" t="str">
            <v>ELECTRIC</v>
          </cell>
          <cell r="H1266">
            <v>83738.02</v>
          </cell>
        </row>
        <row r="1267">
          <cell r="H1267">
            <v>83738.02</v>
          </cell>
        </row>
        <row r="1269">
          <cell r="C1269" t="str">
            <v>Bldg#</v>
          </cell>
        </row>
        <row r="1274">
          <cell r="D1274" t="str">
            <v>Bldg Desc</v>
          </cell>
          <cell r="E1274" t="str">
            <v>Part Number</v>
          </cell>
          <cell r="F1274" t="str">
            <v>Amount</v>
          </cell>
        </row>
        <row r="1275">
          <cell r="C1275" t="str">
            <v>IRC1-GAS14</v>
          </cell>
          <cell r="D1275">
            <v>2771</v>
          </cell>
          <cell r="E1275" t="str">
            <v>IRC1</v>
          </cell>
          <cell r="F1275" t="str">
            <v>IRC - AUX, DINING</v>
          </cell>
          <cell r="G1275" t="str">
            <v>GAS</v>
          </cell>
          <cell r="H1275">
            <v>5394.18</v>
          </cell>
        </row>
        <row r="1276">
          <cell r="H1276">
            <v>5394.18</v>
          </cell>
        </row>
        <row r="1278">
          <cell r="C1278" t="str">
            <v>Bldg#</v>
          </cell>
        </row>
        <row r="1283">
          <cell r="D1283" t="str">
            <v>Bldg Desc</v>
          </cell>
          <cell r="E1283" t="str">
            <v>Part Number</v>
          </cell>
          <cell r="F1283" t="str">
            <v>Amount</v>
          </cell>
        </row>
        <row r="1284">
          <cell r="C1284" t="str">
            <v>IRC1-WTR14</v>
          </cell>
          <cell r="D1284">
            <v>2771</v>
          </cell>
          <cell r="E1284" t="str">
            <v>IRC1</v>
          </cell>
          <cell r="F1284" t="str">
            <v>IRC - AUX, DINING</v>
          </cell>
          <cell r="G1284" t="str">
            <v>WATER</v>
          </cell>
          <cell r="H1284">
            <v>3383.03</v>
          </cell>
        </row>
        <row r="1285">
          <cell r="H1285">
            <v>3383.03</v>
          </cell>
        </row>
        <row r="1287">
          <cell r="C1287" t="str">
            <v>Bldg#</v>
          </cell>
        </row>
        <row r="1292">
          <cell r="D1292" t="str">
            <v>Bldg Desc</v>
          </cell>
          <cell r="E1292" t="str">
            <v>Part Number</v>
          </cell>
          <cell r="F1292" t="str">
            <v>Amount</v>
          </cell>
        </row>
        <row r="1293">
          <cell r="C1293" t="str">
            <v>JEF-EGW-14</v>
          </cell>
          <cell r="D1293">
            <v>1290</v>
          </cell>
          <cell r="E1293" t="str">
            <v>JEF</v>
          </cell>
          <cell r="F1293" t="str">
            <v>JEFFERSON BUILDING</v>
          </cell>
          <cell r="G1293" t="str">
            <v>ELECTRIC</v>
          </cell>
          <cell r="H1293">
            <v>40344.78</v>
          </cell>
        </row>
        <row r="1294">
          <cell r="D1294">
            <v>1290</v>
          </cell>
          <cell r="E1294" t="str">
            <v>JEF</v>
          </cell>
          <cell r="F1294" t="str">
            <v>JEFFERSON BUILDING</v>
          </cell>
          <cell r="G1294" t="str">
            <v>GAS</v>
          </cell>
          <cell r="H1294">
            <v>92.72</v>
          </cell>
        </row>
        <row r="1295">
          <cell r="D1295">
            <v>1290</v>
          </cell>
          <cell r="E1295" t="str">
            <v>JEF</v>
          </cell>
          <cell r="F1295" t="str">
            <v>JEFFERSON BUILDING</v>
          </cell>
          <cell r="G1295" t="str">
            <v>WATER</v>
          </cell>
          <cell r="H1295">
            <v>7822.55</v>
          </cell>
        </row>
        <row r="1296">
          <cell r="C1296" t="str">
            <v>Bldg#</v>
          </cell>
          <cell r="H1296">
            <v>48260.05</v>
          </cell>
        </row>
        <row r="1303">
          <cell r="D1303" t="str">
            <v>Bldg Desc</v>
          </cell>
          <cell r="E1303" t="str">
            <v>Part Number</v>
          </cell>
          <cell r="F1303" t="str">
            <v>Amount</v>
          </cell>
        </row>
        <row r="1304">
          <cell r="C1304" t="str">
            <v>JEP-EGW-14</v>
          </cell>
          <cell r="D1304">
            <v>470</v>
          </cell>
          <cell r="E1304" t="str">
            <v>JEP</v>
          </cell>
          <cell r="F1304" t="str">
            <v>JOINT EDUCATIONAL PROJECT HOUSE</v>
          </cell>
          <cell r="G1304" t="str">
            <v>ELECTRIC</v>
          </cell>
          <cell r="H1304">
            <v>10250.25</v>
          </cell>
        </row>
        <row r="1305">
          <cell r="D1305">
            <v>470</v>
          </cell>
          <cell r="E1305" t="str">
            <v>JEP</v>
          </cell>
          <cell r="F1305" t="str">
            <v>JOINT EDUCATIONAL PROJECT HOUSE</v>
          </cell>
          <cell r="G1305" t="str">
            <v>GAS</v>
          </cell>
          <cell r="H1305">
            <v>0</v>
          </cell>
        </row>
        <row r="1306">
          <cell r="D1306">
            <v>470</v>
          </cell>
          <cell r="E1306" t="str">
            <v>JEP</v>
          </cell>
          <cell r="F1306" t="str">
            <v>JOINT EDUCATIONAL PROJECT HOUSE</v>
          </cell>
          <cell r="G1306" t="str">
            <v>WATER</v>
          </cell>
          <cell r="H1306">
            <v>1115.68</v>
          </cell>
        </row>
        <row r="1307">
          <cell r="C1307" t="str">
            <v>Bldg#</v>
          </cell>
          <cell r="H1307">
            <v>11365.93</v>
          </cell>
        </row>
        <row r="1314">
          <cell r="D1314" t="str">
            <v>Bldg Desc</v>
          </cell>
          <cell r="E1314" t="str">
            <v>Part Number</v>
          </cell>
          <cell r="F1314" t="str">
            <v>Amount</v>
          </cell>
        </row>
        <row r="1315">
          <cell r="C1315" t="str">
            <v>JHH-EGW-14</v>
          </cell>
          <cell r="D1315">
            <v>910</v>
          </cell>
          <cell r="E1315" t="str">
            <v>JHH</v>
          </cell>
          <cell r="F1315" t="str">
            <v>JOHN HUBBARD HALL (FORMERLY SAS)</v>
          </cell>
          <cell r="G1315" t="str">
            <v>ELECTRIC</v>
          </cell>
          <cell r="H1315">
            <v>86678.53</v>
          </cell>
        </row>
        <row r="1316">
          <cell r="D1316">
            <v>910</v>
          </cell>
          <cell r="E1316" t="str">
            <v>JHH</v>
          </cell>
          <cell r="F1316" t="str">
            <v>JOHN HUBBARD HALL (FORMERLY SAS)</v>
          </cell>
          <cell r="G1316" t="str">
            <v>GAS</v>
          </cell>
          <cell r="H1316">
            <v>2957.31</v>
          </cell>
        </row>
        <row r="1317">
          <cell r="D1317">
            <v>910</v>
          </cell>
          <cell r="E1317" t="str">
            <v>JHH</v>
          </cell>
          <cell r="F1317" t="str">
            <v>JOHN HUBBARD HALL (FORMERLY SAS)</v>
          </cell>
          <cell r="G1317" t="str">
            <v>WATER</v>
          </cell>
          <cell r="H1317">
            <v>2484.65</v>
          </cell>
        </row>
        <row r="1318">
          <cell r="C1318" t="str">
            <v>Bldg#</v>
          </cell>
          <cell r="H1318">
            <v>92120.49</v>
          </cell>
        </row>
        <row r="1325">
          <cell r="D1325" t="str">
            <v>Bldg Desc</v>
          </cell>
          <cell r="E1325" t="str">
            <v>Part Number</v>
          </cell>
          <cell r="F1325" t="str">
            <v>Amount</v>
          </cell>
        </row>
        <row r="1326">
          <cell r="C1326" t="str">
            <v>JKP-EGW-14</v>
          </cell>
          <cell r="D1326">
            <v>2630</v>
          </cell>
          <cell r="E1326" t="str">
            <v>JKP</v>
          </cell>
          <cell r="F1326" t="str">
            <v>JANE HOFFMAN POPOVICH &amp; J. KRISTOFFER POPOVICH HALL</v>
          </cell>
          <cell r="G1326" t="str">
            <v>ELECTRIC</v>
          </cell>
          <cell r="H1326">
            <v>122441.60000000001</v>
          </cell>
        </row>
        <row r="1327">
          <cell r="D1327">
            <v>2630</v>
          </cell>
          <cell r="E1327" t="str">
            <v>JKP</v>
          </cell>
          <cell r="F1327" t="str">
            <v>JANE HOFFMAN POPOVICH &amp; J. KRISTOFFER POPOVICH HALL</v>
          </cell>
          <cell r="G1327" t="str">
            <v>GAS</v>
          </cell>
          <cell r="H1327">
            <v>5555.19</v>
          </cell>
        </row>
        <row r="1328">
          <cell r="D1328">
            <v>2630</v>
          </cell>
          <cell r="E1328" t="str">
            <v>JKP</v>
          </cell>
          <cell r="F1328" t="str">
            <v>JANE HOFFMAN POPOVICH &amp; J. KRISTOFFER POPOVICH HALL</v>
          </cell>
          <cell r="G1328" t="str">
            <v>WATER</v>
          </cell>
          <cell r="H1328">
            <v>5542.28</v>
          </cell>
        </row>
        <row r="1329">
          <cell r="C1329" t="str">
            <v>Bldg#</v>
          </cell>
          <cell r="H1329">
            <v>133539.07</v>
          </cell>
        </row>
        <row r="1336">
          <cell r="D1336" t="str">
            <v>Bldg Desc</v>
          </cell>
          <cell r="E1336" t="str">
            <v>Part Number</v>
          </cell>
          <cell r="F1336" t="str">
            <v>Amount</v>
          </cell>
        </row>
        <row r="1337">
          <cell r="C1337" t="str">
            <v>JKP1-ELC14</v>
          </cell>
          <cell r="D1337">
            <v>2631</v>
          </cell>
          <cell r="E1337" t="str">
            <v>JKP1</v>
          </cell>
          <cell r="F1337" t="str">
            <v>POPOVICH CAFE</v>
          </cell>
          <cell r="G1337" t="str">
            <v>ELECTRIC</v>
          </cell>
          <cell r="H1337">
            <v>12636.4</v>
          </cell>
        </row>
        <row r="1338">
          <cell r="H1338">
            <v>12636.4</v>
          </cell>
        </row>
        <row r="1340">
          <cell r="C1340" t="str">
            <v>Bldg#</v>
          </cell>
        </row>
        <row r="1345">
          <cell r="D1345" t="str">
            <v>Bldg Desc</v>
          </cell>
          <cell r="E1345" t="str">
            <v>Part Number</v>
          </cell>
          <cell r="F1345" t="str">
            <v>Amount</v>
          </cell>
        </row>
        <row r="1346">
          <cell r="C1346" t="str">
            <v>JKP1-GAS14</v>
          </cell>
          <cell r="D1346">
            <v>2631</v>
          </cell>
          <cell r="E1346" t="str">
            <v>JKP1</v>
          </cell>
          <cell r="F1346" t="str">
            <v>POPOVICH CAFE</v>
          </cell>
          <cell r="G1346" t="str">
            <v>GAS</v>
          </cell>
          <cell r="H1346">
            <v>0</v>
          </cell>
        </row>
        <row r="1347">
          <cell r="H1347">
            <v>0</v>
          </cell>
        </row>
        <row r="1354">
          <cell r="D1354" t="str">
            <v>Bldg Desc</v>
          </cell>
          <cell r="E1354" t="str">
            <v>Part Number</v>
          </cell>
          <cell r="F1354" t="str">
            <v>Amount</v>
          </cell>
        </row>
        <row r="1355">
          <cell r="C1355" t="str">
            <v>JKP1-WTR14</v>
          </cell>
          <cell r="D1355">
            <v>2631</v>
          </cell>
          <cell r="E1355" t="str">
            <v>JKP1</v>
          </cell>
          <cell r="F1355" t="str">
            <v>POPOVICH CAFE</v>
          </cell>
          <cell r="G1355" t="str">
            <v>WATER</v>
          </cell>
          <cell r="H1355">
            <v>1428.26</v>
          </cell>
        </row>
        <row r="1356">
          <cell r="H1356">
            <v>1428.26</v>
          </cell>
        </row>
        <row r="1358">
          <cell r="C1358" t="str">
            <v>Bldg#</v>
          </cell>
        </row>
        <row r="1363">
          <cell r="D1363" t="str">
            <v>Bldg Desc</v>
          </cell>
          <cell r="E1363" t="str">
            <v>Part Number</v>
          </cell>
          <cell r="F1363" t="str">
            <v>Amount</v>
          </cell>
        </row>
        <row r="1364">
          <cell r="C1364" t="str">
            <v>JMC-EGW-14</v>
          </cell>
          <cell r="D1364">
            <v>3210</v>
          </cell>
          <cell r="E1364" t="str">
            <v>JMC</v>
          </cell>
          <cell r="F1364" t="str">
            <v>JOHN MCKAY CENTER</v>
          </cell>
          <cell r="G1364" t="str">
            <v>ELECTRIC</v>
          </cell>
          <cell r="H1364">
            <v>278252.94</v>
          </cell>
        </row>
        <row r="1365">
          <cell r="D1365">
            <v>3210</v>
          </cell>
          <cell r="E1365" t="str">
            <v>JMC</v>
          </cell>
          <cell r="F1365" t="str">
            <v>JOHN MCKAY CENTER</v>
          </cell>
          <cell r="G1365" t="str">
            <v>GAS</v>
          </cell>
          <cell r="H1365">
            <v>6256.66</v>
          </cell>
        </row>
        <row r="1366">
          <cell r="H1366">
            <v>284509.59999999998</v>
          </cell>
        </row>
        <row r="1367">
          <cell r="C1367" t="str">
            <v>Bldg#</v>
          </cell>
        </row>
        <row r="1373">
          <cell r="D1373" t="str">
            <v>Bldg Desc</v>
          </cell>
          <cell r="E1373" t="str">
            <v>Part Number</v>
          </cell>
          <cell r="F1373" t="str">
            <v>Amount</v>
          </cell>
        </row>
        <row r="1374">
          <cell r="C1374" t="str">
            <v>JWS-GAS-14</v>
          </cell>
          <cell r="D1374">
            <v>2220</v>
          </cell>
          <cell r="E1374" t="str">
            <v>JWS</v>
          </cell>
          <cell r="F1374" t="str">
            <v>JOHN WILLIAMS SCORING STAGE</v>
          </cell>
          <cell r="G1374" t="str">
            <v>GAS</v>
          </cell>
          <cell r="H1374">
            <v>114.53</v>
          </cell>
        </row>
        <row r="1375">
          <cell r="H1375">
            <v>114.53</v>
          </cell>
        </row>
        <row r="1377">
          <cell r="C1377" t="str">
            <v>Bldg#</v>
          </cell>
        </row>
        <row r="1382">
          <cell r="C1382" t="str">
            <v>KAB-EGW-14</v>
          </cell>
          <cell r="D1382" t="str">
            <v>Bldg Desc</v>
          </cell>
          <cell r="E1382" t="str">
            <v>Part Number</v>
          </cell>
          <cell r="F1382" t="str">
            <v>Amount</v>
          </cell>
        </row>
        <row r="1383">
          <cell r="D1383">
            <v>2510</v>
          </cell>
          <cell r="E1383" t="str">
            <v>KAB</v>
          </cell>
          <cell r="F1383" t="str">
            <v>KENNEDY FAMILY AQUATICS BUILDING</v>
          </cell>
          <cell r="G1383" t="str">
            <v>GAS</v>
          </cell>
          <cell r="H1383">
            <v>0</v>
          </cell>
        </row>
        <row r="1384">
          <cell r="D1384">
            <v>2510</v>
          </cell>
          <cell r="E1384" t="str">
            <v>KAB</v>
          </cell>
          <cell r="F1384" t="str">
            <v>KENNEDY FAMILY AQUATICS BUILDING</v>
          </cell>
          <cell r="G1384" t="str">
            <v>WATER</v>
          </cell>
          <cell r="H1384">
            <v>3106.42</v>
          </cell>
        </row>
        <row r="1385">
          <cell r="H1385">
            <v>3106.42</v>
          </cell>
        </row>
        <row r="1386">
          <cell r="C1386" t="str">
            <v>Bldg#</v>
          </cell>
        </row>
        <row r="1392">
          <cell r="C1392" t="str">
            <v>KAM-EGW-14</v>
          </cell>
          <cell r="D1392" t="str">
            <v>Bldg Desc</v>
          </cell>
          <cell r="E1392" t="str">
            <v>Part Number</v>
          </cell>
          <cell r="F1392" t="str">
            <v>Amount</v>
          </cell>
        </row>
        <row r="1393">
          <cell r="D1393">
            <v>700</v>
          </cell>
          <cell r="E1393" t="str">
            <v>KAM</v>
          </cell>
          <cell r="F1393" t="str">
            <v>WILLARD KEITH ADMINISTRATION &amp; MEDICAL FORUM BUILDING; LOUIS B. MAYER MEDICAL TEACHING CENTER</v>
          </cell>
          <cell r="G1393" t="str">
            <v>ELECTRIC</v>
          </cell>
          <cell r="H1393">
            <v>198337.43</v>
          </cell>
        </row>
        <row r="1394">
          <cell r="D1394">
            <v>700</v>
          </cell>
          <cell r="E1394" t="str">
            <v>KAM</v>
          </cell>
          <cell r="F1394" t="str">
            <v>WILLARD KEITH ADMINISTRATION &amp; MEDICAL FORUM BUILDING; LOUIS B. MAYER MEDICAL TEACHING CENTER</v>
          </cell>
          <cell r="G1394" t="str">
            <v>GAS</v>
          </cell>
          <cell r="H1394">
            <v>9773.65</v>
          </cell>
        </row>
        <row r="1395">
          <cell r="C1395" t="str">
            <v>Bldg#</v>
          </cell>
          <cell r="D1395">
            <v>700</v>
          </cell>
          <cell r="E1395" t="str">
            <v>KAM</v>
          </cell>
          <cell r="F1395" t="str">
            <v>WILLARD KEITH ADMINISTRATION &amp; MEDICAL FORUM BUILDING; LOUIS B. MAYER MEDICAL TEACHING CENTER</v>
          </cell>
          <cell r="G1395" t="str">
            <v>WATER</v>
          </cell>
          <cell r="H1395">
            <v>13195.82</v>
          </cell>
        </row>
        <row r="1396">
          <cell r="H1396">
            <v>221306.9</v>
          </cell>
        </row>
        <row r="1403">
          <cell r="C1403" t="str">
            <v>KAP-EGW-14</v>
          </cell>
          <cell r="D1403" t="str">
            <v>Bldg Desc</v>
          </cell>
          <cell r="E1403" t="str">
            <v>Part Number</v>
          </cell>
          <cell r="F1403" t="str">
            <v>Amount</v>
          </cell>
        </row>
        <row r="1404">
          <cell r="D1404">
            <v>2530</v>
          </cell>
          <cell r="E1404" t="str">
            <v>KAP</v>
          </cell>
          <cell r="F1404" t="str">
            <v>KAPRIELIAN HALL</v>
          </cell>
          <cell r="G1404" t="str">
            <v>ELECTRIC</v>
          </cell>
          <cell r="H1404">
            <v>188539.32</v>
          </cell>
        </row>
        <row r="1405">
          <cell r="D1405">
            <v>2530</v>
          </cell>
          <cell r="E1405" t="str">
            <v>KAP</v>
          </cell>
          <cell r="F1405" t="str">
            <v>KAPRIELIAN HALL</v>
          </cell>
          <cell r="G1405" t="str">
            <v>GAS</v>
          </cell>
          <cell r="H1405">
            <v>18759.07</v>
          </cell>
        </row>
        <row r="1406">
          <cell r="C1406" t="str">
            <v>Bldg#</v>
          </cell>
          <cell r="D1406">
            <v>2530</v>
          </cell>
          <cell r="E1406" t="str">
            <v>KAP</v>
          </cell>
          <cell r="F1406" t="str">
            <v>KAPRIELIAN HALL</v>
          </cell>
          <cell r="G1406" t="str">
            <v>WATER</v>
          </cell>
          <cell r="H1406">
            <v>19784.91</v>
          </cell>
        </row>
        <row r="1407">
          <cell r="H1407">
            <v>227083.3</v>
          </cell>
        </row>
        <row r="1414">
          <cell r="C1414" t="str">
            <v>KCH-EGW-14</v>
          </cell>
          <cell r="D1414" t="str">
            <v>Bldg Desc</v>
          </cell>
          <cell r="E1414" t="str">
            <v>Part Number</v>
          </cell>
          <cell r="F1414" t="str">
            <v>Amount</v>
          </cell>
        </row>
        <row r="1415">
          <cell r="D1415">
            <v>970</v>
          </cell>
          <cell r="E1415" t="str">
            <v>KCH</v>
          </cell>
          <cell r="F1415" t="str">
            <v>KERCKHOFF CARRIAGE HOUSE</v>
          </cell>
          <cell r="G1415" t="str">
            <v>GAS</v>
          </cell>
          <cell r="H1415">
            <v>1329.83</v>
          </cell>
        </row>
        <row r="1416">
          <cell r="D1416">
            <v>970</v>
          </cell>
          <cell r="E1416" t="str">
            <v>KCH</v>
          </cell>
          <cell r="F1416" t="str">
            <v>KERCKHOFF CARRIAGE HOUSE</v>
          </cell>
          <cell r="G1416" t="str">
            <v>WATER</v>
          </cell>
          <cell r="H1416">
            <v>12781.88</v>
          </cell>
        </row>
        <row r="1417">
          <cell r="C1417" t="str">
            <v>Bldg#</v>
          </cell>
          <cell r="H1417">
            <v>14111.71</v>
          </cell>
        </row>
        <row r="1424">
          <cell r="C1424" t="str">
            <v>KER-EGW-14</v>
          </cell>
          <cell r="D1424" t="str">
            <v>Bldg Desc</v>
          </cell>
          <cell r="E1424" t="str">
            <v>Part Number</v>
          </cell>
          <cell r="F1424" t="str">
            <v>Amount</v>
          </cell>
        </row>
        <row r="1425">
          <cell r="D1425">
            <v>420</v>
          </cell>
          <cell r="E1425" t="str">
            <v>KER</v>
          </cell>
          <cell r="F1425" t="str">
            <v>KERCKHOFF HALL</v>
          </cell>
          <cell r="G1425" t="str">
            <v>ELECTRIC</v>
          </cell>
          <cell r="H1425">
            <v>46354.93</v>
          </cell>
        </row>
        <row r="1426">
          <cell r="H1426">
            <v>46354.93</v>
          </cell>
        </row>
        <row r="1427">
          <cell r="C1427" t="str">
            <v>Bldg#</v>
          </cell>
        </row>
        <row r="1433">
          <cell r="D1433" t="str">
            <v>Bldg Desc</v>
          </cell>
          <cell r="E1433" t="str">
            <v>Part Number</v>
          </cell>
          <cell r="F1433" t="str">
            <v>Amount</v>
          </cell>
        </row>
        <row r="1434">
          <cell r="C1434" t="str">
            <v>KOH-EGW-14</v>
          </cell>
          <cell r="D1434">
            <v>2280</v>
          </cell>
          <cell r="E1434" t="str">
            <v>KOH</v>
          </cell>
          <cell r="F1434" t="str">
            <v>FRANK L. KING OLYMPIC HALL OF CHAMPIONS</v>
          </cell>
          <cell r="G1434" t="str">
            <v>ELECTRIC</v>
          </cell>
          <cell r="H1434">
            <v>48034.03</v>
          </cell>
        </row>
        <row r="1435">
          <cell r="D1435">
            <v>2280</v>
          </cell>
          <cell r="E1435" t="str">
            <v>KOH</v>
          </cell>
          <cell r="F1435" t="str">
            <v>FRANK L. KING OLYMPIC HALL OF CHAMPIONS</v>
          </cell>
          <cell r="G1435" t="str">
            <v>GAS</v>
          </cell>
          <cell r="H1435">
            <v>1641.24</v>
          </cell>
        </row>
        <row r="1436">
          <cell r="D1436">
            <v>2280</v>
          </cell>
          <cell r="E1436" t="str">
            <v>KOH</v>
          </cell>
          <cell r="F1436" t="str">
            <v>FRANK L. KING OLYMPIC HALL OF CHAMPIONS</v>
          </cell>
          <cell r="G1436" t="str">
            <v>WATER</v>
          </cell>
          <cell r="H1436">
            <v>2145.2600000000002</v>
          </cell>
        </row>
        <row r="1437">
          <cell r="C1437" t="str">
            <v>Bldg#</v>
          </cell>
          <cell r="H1437">
            <v>51820.54</v>
          </cell>
        </row>
        <row r="1444">
          <cell r="D1444" t="str">
            <v>Bldg Desc</v>
          </cell>
          <cell r="E1444" t="str">
            <v>Part Number</v>
          </cell>
          <cell r="F1444" t="str">
            <v>Amount</v>
          </cell>
        </row>
        <row r="1445">
          <cell r="C1445" t="str">
            <v>KOH-ELC-14</v>
          </cell>
          <cell r="D1445">
            <v>2280</v>
          </cell>
          <cell r="E1445" t="str">
            <v>KOH</v>
          </cell>
          <cell r="F1445" t="str">
            <v>FRANK L. KING OLYMPIC HALL OF CHAMPIONS</v>
          </cell>
          <cell r="G1445" t="str">
            <v>ELECTRIC</v>
          </cell>
          <cell r="H1445">
            <v>70656.44</v>
          </cell>
        </row>
        <row r="1446">
          <cell r="H1446">
            <v>70656.44</v>
          </cell>
        </row>
        <row r="1448">
          <cell r="C1448" t="str">
            <v>Bldg#</v>
          </cell>
        </row>
        <row r="1453">
          <cell r="D1453" t="str">
            <v>Bldg Desc</v>
          </cell>
          <cell r="E1453" t="str">
            <v>Part Number</v>
          </cell>
          <cell r="F1453" t="str">
            <v>Amount</v>
          </cell>
        </row>
        <row r="1454">
          <cell r="C1454" t="str">
            <v>KOH-GAS-14</v>
          </cell>
          <cell r="D1454">
            <v>2280</v>
          </cell>
          <cell r="E1454" t="str">
            <v>KOH</v>
          </cell>
          <cell r="F1454" t="str">
            <v>FRANK L. KING OLYMPIC HALL OF CHAMPIONS</v>
          </cell>
          <cell r="G1454" t="str">
            <v>GAS</v>
          </cell>
          <cell r="H1454">
            <v>2286.08</v>
          </cell>
        </row>
        <row r="1455">
          <cell r="H1455">
            <v>2286.08</v>
          </cell>
        </row>
        <row r="1457">
          <cell r="C1457" t="str">
            <v>Bldg#</v>
          </cell>
        </row>
        <row r="1462">
          <cell r="D1462" t="str">
            <v>Bldg Desc</v>
          </cell>
          <cell r="E1462" t="str">
            <v>Part Number</v>
          </cell>
          <cell r="F1462" t="str">
            <v>Amount</v>
          </cell>
        </row>
        <row r="1463">
          <cell r="C1463" t="str">
            <v>KOH-WTR-14</v>
          </cell>
          <cell r="D1463">
            <v>2280</v>
          </cell>
          <cell r="E1463" t="str">
            <v>KOH</v>
          </cell>
          <cell r="F1463" t="str">
            <v>FRANK L. KING OLYMPIC HALL OF CHAMPIONS</v>
          </cell>
          <cell r="G1463" t="str">
            <v>WATER</v>
          </cell>
          <cell r="H1463">
            <v>2622.02</v>
          </cell>
        </row>
        <row r="1464">
          <cell r="H1464">
            <v>2622.02</v>
          </cell>
        </row>
        <row r="1466">
          <cell r="C1466" t="str">
            <v>Bldg#</v>
          </cell>
        </row>
        <row r="1471">
          <cell r="D1471" t="str">
            <v>Bldg Desc</v>
          </cell>
          <cell r="E1471" t="str">
            <v>Part Number</v>
          </cell>
          <cell r="F1471" t="str">
            <v>Amount</v>
          </cell>
        </row>
        <row r="1472">
          <cell r="C1472" t="str">
            <v>KSH-NELC14</v>
          </cell>
          <cell r="D1472">
            <v>1540</v>
          </cell>
          <cell r="E1472" t="str">
            <v>KSH</v>
          </cell>
          <cell r="F1472" t="str">
            <v>UNIVERSITY CLUB AT KING STOOPS HALL</v>
          </cell>
          <cell r="G1472" t="str">
            <v>ELECTRIC</v>
          </cell>
          <cell r="H1472">
            <v>94440.9</v>
          </cell>
        </row>
        <row r="1473">
          <cell r="H1473">
            <v>94440.9</v>
          </cell>
        </row>
        <row r="1475">
          <cell r="C1475" t="str">
            <v>Bldg#</v>
          </cell>
        </row>
        <row r="1480">
          <cell r="D1480" t="str">
            <v>Bldg Desc</v>
          </cell>
          <cell r="E1480" t="str">
            <v>Part Number</v>
          </cell>
          <cell r="F1480" t="str">
            <v>Amount</v>
          </cell>
        </row>
        <row r="1481">
          <cell r="C1481" t="str">
            <v>KSH-NGAS14</v>
          </cell>
          <cell r="D1481">
            <v>1540</v>
          </cell>
          <cell r="E1481" t="str">
            <v>KSH</v>
          </cell>
          <cell r="F1481" t="str">
            <v>UNIVERSITY CLUB AT KING STOOPS HALL</v>
          </cell>
          <cell r="G1481" t="str">
            <v>GAS</v>
          </cell>
          <cell r="H1481">
            <v>4241.82</v>
          </cell>
        </row>
        <row r="1482">
          <cell r="H1482">
            <v>4241.82</v>
          </cell>
        </row>
        <row r="1484">
          <cell r="C1484" t="str">
            <v>Bldg#</v>
          </cell>
        </row>
        <row r="1489">
          <cell r="D1489" t="str">
            <v>Bldg Desc</v>
          </cell>
          <cell r="E1489" t="str">
            <v>Part Number</v>
          </cell>
          <cell r="F1489" t="str">
            <v>Amount</v>
          </cell>
        </row>
        <row r="1490">
          <cell r="C1490" t="str">
            <v>KSH-NWTR14</v>
          </cell>
          <cell r="D1490">
            <v>1540</v>
          </cell>
          <cell r="E1490" t="str">
            <v>KSH</v>
          </cell>
          <cell r="F1490" t="str">
            <v>UNIVERSITY CLUB AT KING STOOPS HALL</v>
          </cell>
          <cell r="G1490" t="str">
            <v>WATER</v>
          </cell>
          <cell r="H1490">
            <v>1590.16</v>
          </cell>
        </row>
        <row r="1491">
          <cell r="H1491">
            <v>1590.16</v>
          </cell>
        </row>
        <row r="1493">
          <cell r="C1493" t="str">
            <v>Bldg#</v>
          </cell>
        </row>
        <row r="1498">
          <cell r="D1498" t="str">
            <v>Bldg Desc</v>
          </cell>
          <cell r="E1498" t="str">
            <v>Part Number</v>
          </cell>
          <cell r="F1498" t="str">
            <v>Amount</v>
          </cell>
        </row>
        <row r="1499">
          <cell r="C1499" t="str">
            <v>LAW-EGW-14</v>
          </cell>
          <cell r="D1499">
            <v>70</v>
          </cell>
          <cell r="E1499" t="str">
            <v>LAW</v>
          </cell>
          <cell r="F1499" t="str">
            <v>ELVON &amp; MABEL MUSICK LAW BUILDING (CENTER)</v>
          </cell>
          <cell r="G1499" t="str">
            <v>ELECTRIC</v>
          </cell>
          <cell r="H1499">
            <v>279379.09000000003</v>
          </cell>
        </row>
        <row r="1500">
          <cell r="D1500">
            <v>70</v>
          </cell>
          <cell r="E1500" t="str">
            <v>LAW</v>
          </cell>
          <cell r="F1500" t="str">
            <v>ELVON &amp; MABEL MUSICK LAW BUILDING (CENTER)</v>
          </cell>
          <cell r="G1500" t="str">
            <v>GAS</v>
          </cell>
          <cell r="H1500">
            <v>13861.31</v>
          </cell>
        </row>
        <row r="1501">
          <cell r="D1501">
            <v>70</v>
          </cell>
          <cell r="E1501" t="str">
            <v>LAW</v>
          </cell>
          <cell r="F1501" t="str">
            <v>ELVON &amp; MABEL MUSICK LAW BUILDING (CENTER)</v>
          </cell>
          <cell r="G1501" t="str">
            <v>WATER</v>
          </cell>
          <cell r="H1501">
            <v>6983.97</v>
          </cell>
        </row>
        <row r="1502">
          <cell r="H1502">
            <v>300224.37</v>
          </cell>
        </row>
        <row r="1503">
          <cell r="C1503" t="str">
            <v>Bldg#</v>
          </cell>
        </row>
        <row r="1509">
          <cell r="D1509" t="str">
            <v>Bldg Desc</v>
          </cell>
          <cell r="E1509" t="str">
            <v>Part Number</v>
          </cell>
          <cell r="F1509" t="str">
            <v>Amount</v>
          </cell>
        </row>
        <row r="1510">
          <cell r="C1510" t="str">
            <v>LAW1-EL-14</v>
          </cell>
          <cell r="D1510">
            <v>71</v>
          </cell>
          <cell r="E1510" t="str">
            <v>LAW1</v>
          </cell>
          <cell r="F1510" t="str">
            <v>LAW CHILLER PLANT</v>
          </cell>
          <cell r="G1510" t="str">
            <v>ELECTRIC</v>
          </cell>
          <cell r="H1510">
            <v>209144.38</v>
          </cell>
        </row>
        <row r="1511">
          <cell r="H1511">
            <v>209144.38</v>
          </cell>
        </row>
        <row r="1513">
          <cell r="C1513" t="str">
            <v>Bldg#</v>
          </cell>
        </row>
        <row r="1518">
          <cell r="D1518" t="str">
            <v>Bldg Desc</v>
          </cell>
          <cell r="E1518" t="str">
            <v>Part Number</v>
          </cell>
          <cell r="F1518" t="str">
            <v>Amount</v>
          </cell>
        </row>
        <row r="1519">
          <cell r="C1519" t="str">
            <v>LHI-EGW-14</v>
          </cell>
          <cell r="D1519">
            <v>1660</v>
          </cell>
          <cell r="E1519" t="str">
            <v>LHI</v>
          </cell>
          <cell r="F1519" t="str">
            <v>DONALD P. &amp; KATHERINE B. LOKER HYDROCARBON INSTITUTE</v>
          </cell>
          <cell r="G1519" t="str">
            <v>ELECTRIC</v>
          </cell>
          <cell r="H1519">
            <v>201763.54</v>
          </cell>
        </row>
        <row r="1520">
          <cell r="D1520">
            <v>1660</v>
          </cell>
          <cell r="E1520" t="str">
            <v>LHI</v>
          </cell>
          <cell r="F1520" t="str">
            <v>DONALD P. &amp; KATHERINE B. LOKER HYDROCARBON INSTITUTE</v>
          </cell>
          <cell r="G1520" t="str">
            <v>GAS</v>
          </cell>
          <cell r="H1520">
            <v>18150.009999999998</v>
          </cell>
        </row>
        <row r="1521">
          <cell r="D1521">
            <v>1660</v>
          </cell>
          <cell r="E1521" t="str">
            <v>LHI</v>
          </cell>
          <cell r="F1521" t="str">
            <v>DONALD P. &amp; KATHERINE B. LOKER HYDROCARBON INSTITUTE</v>
          </cell>
          <cell r="G1521" t="str">
            <v>WATER</v>
          </cell>
          <cell r="H1521">
            <v>7259.44</v>
          </cell>
        </row>
        <row r="1522">
          <cell r="C1522" t="str">
            <v>Bldg#</v>
          </cell>
          <cell r="H1522">
            <v>227172.99</v>
          </cell>
        </row>
        <row r="1529">
          <cell r="D1529" t="str">
            <v>Bldg Desc</v>
          </cell>
          <cell r="E1529" t="str">
            <v>Part Number</v>
          </cell>
          <cell r="F1529" t="str">
            <v>Amount</v>
          </cell>
        </row>
        <row r="1530">
          <cell r="C1530" t="str">
            <v>LJS-EGW-14</v>
          </cell>
          <cell r="D1530">
            <v>401</v>
          </cell>
          <cell r="E1530" t="str">
            <v>LJS</v>
          </cell>
          <cell r="F1530" t="str">
            <v>LAIRD J. STABLER MEMORIAL HALL</v>
          </cell>
          <cell r="G1530" t="str">
            <v>ELECTRIC</v>
          </cell>
          <cell r="H1530">
            <v>71443.58</v>
          </cell>
        </row>
        <row r="1531">
          <cell r="D1531">
            <v>401</v>
          </cell>
          <cell r="E1531" t="str">
            <v>LJS</v>
          </cell>
          <cell r="F1531" t="str">
            <v>LAIRD J. STABLER MEMORIAL HALL</v>
          </cell>
          <cell r="G1531" t="str">
            <v>GAS</v>
          </cell>
          <cell r="H1531">
            <v>4097.21</v>
          </cell>
        </row>
        <row r="1532">
          <cell r="D1532">
            <v>401</v>
          </cell>
          <cell r="E1532" t="str">
            <v>LJS</v>
          </cell>
          <cell r="F1532" t="str">
            <v>LAIRD J. STABLER MEMORIAL HALL</v>
          </cell>
          <cell r="G1532" t="str">
            <v>WATER</v>
          </cell>
          <cell r="H1532">
            <v>9618.2000000000007</v>
          </cell>
        </row>
        <row r="1533">
          <cell r="C1533" t="str">
            <v>Bldg#</v>
          </cell>
          <cell r="H1533">
            <v>85158.99</v>
          </cell>
        </row>
        <row r="1540">
          <cell r="D1540" t="str">
            <v>Bldg Desc</v>
          </cell>
          <cell r="E1540" t="str">
            <v>Part Number</v>
          </cell>
          <cell r="F1540" t="str">
            <v>Amount</v>
          </cell>
        </row>
        <row r="1541">
          <cell r="C1541" t="str">
            <v>LPB-EGW-14</v>
          </cell>
          <cell r="D1541">
            <v>2200</v>
          </cell>
          <cell r="E1541" t="str">
            <v>TMC</v>
          </cell>
          <cell r="F1541" t="str">
            <v>THE MUSIC COMPLEX</v>
          </cell>
          <cell r="G1541" t="str">
            <v>ELECTRIC</v>
          </cell>
          <cell r="H1541">
            <v>31971.52</v>
          </cell>
        </row>
        <row r="1542">
          <cell r="D1542">
            <v>2200</v>
          </cell>
          <cell r="E1542" t="str">
            <v>TMC</v>
          </cell>
          <cell r="F1542" t="str">
            <v>THE MUSIC COMPLEX</v>
          </cell>
          <cell r="G1542" t="str">
            <v>GAS</v>
          </cell>
          <cell r="H1542">
            <v>1161.8</v>
          </cell>
        </row>
        <row r="1543">
          <cell r="D1543">
            <v>2200</v>
          </cell>
          <cell r="E1543" t="str">
            <v>TMC</v>
          </cell>
          <cell r="F1543" t="str">
            <v>THE MUSIC COMPLEX</v>
          </cell>
          <cell r="G1543" t="str">
            <v>WATER</v>
          </cell>
          <cell r="H1543">
            <v>10573.97</v>
          </cell>
        </row>
        <row r="1544">
          <cell r="C1544" t="str">
            <v>Bldg#</v>
          </cell>
          <cell r="H1544">
            <v>43707.29</v>
          </cell>
        </row>
        <row r="1551">
          <cell r="D1551" t="str">
            <v>Bldg Desc</v>
          </cell>
          <cell r="E1551" t="str">
            <v>Part Number</v>
          </cell>
          <cell r="F1551" t="str">
            <v>Amount</v>
          </cell>
        </row>
        <row r="1552">
          <cell r="C1552" t="str">
            <v>LRC-EGW-14</v>
          </cell>
          <cell r="D1552">
            <v>2500</v>
          </cell>
          <cell r="E1552" t="str">
            <v>LRC</v>
          </cell>
          <cell r="F1552" t="str">
            <v>GENERAL WILLIAM LYON UNIVERSITY CENTER</v>
          </cell>
          <cell r="G1552" t="str">
            <v>ELECTRIC</v>
          </cell>
          <cell r="H1552">
            <v>100626.32</v>
          </cell>
        </row>
        <row r="1553">
          <cell r="D1553">
            <v>2500</v>
          </cell>
          <cell r="E1553" t="str">
            <v>LRC</v>
          </cell>
          <cell r="F1553" t="str">
            <v>GENERAL WILLIAM LYON UNIVERSITY CENTER</v>
          </cell>
          <cell r="G1553" t="str">
            <v>GAS</v>
          </cell>
          <cell r="H1553">
            <v>0</v>
          </cell>
        </row>
        <row r="1554">
          <cell r="D1554">
            <v>2500</v>
          </cell>
          <cell r="E1554" t="str">
            <v>LRC</v>
          </cell>
          <cell r="F1554" t="str">
            <v>GENERAL WILLIAM LYON UNIVERSITY CENTER</v>
          </cell>
          <cell r="G1554" t="str">
            <v>WATER</v>
          </cell>
          <cell r="H1554">
            <v>12542.99</v>
          </cell>
        </row>
        <row r="1555">
          <cell r="C1555" t="str">
            <v>Bldg#</v>
          </cell>
          <cell r="H1555">
            <v>113169.31</v>
          </cell>
        </row>
        <row r="1562">
          <cell r="C1562" t="str">
            <v>LTS-EGW-14</v>
          </cell>
          <cell r="D1562" t="str">
            <v>Bldg Desc</v>
          </cell>
          <cell r="E1562" t="str">
            <v>Part Number</v>
          </cell>
          <cell r="F1562" t="str">
            <v>Amount</v>
          </cell>
        </row>
        <row r="1563">
          <cell r="D1563">
            <v>2760</v>
          </cell>
          <cell r="E1563" t="str">
            <v>LTS</v>
          </cell>
          <cell r="F1563" t="str">
            <v>KATHERINE B. LOKER TRACK STADIUM</v>
          </cell>
          <cell r="G1563" t="str">
            <v>ELECTRIC</v>
          </cell>
          <cell r="H1563">
            <v>27924.86</v>
          </cell>
        </row>
        <row r="1564">
          <cell r="D1564">
            <v>2760</v>
          </cell>
          <cell r="E1564" t="str">
            <v>LTS</v>
          </cell>
          <cell r="F1564" t="str">
            <v>KATHERINE B. LOKER TRACK STADIUM</v>
          </cell>
          <cell r="G1564" t="str">
            <v>GAS</v>
          </cell>
          <cell r="H1564">
            <v>2117.52</v>
          </cell>
        </row>
        <row r="1565">
          <cell r="C1565" t="str">
            <v>Bldg#</v>
          </cell>
          <cell r="D1565">
            <v>2760</v>
          </cell>
          <cell r="E1565" t="str">
            <v>LTS</v>
          </cell>
          <cell r="F1565" t="str">
            <v>KATHERINE B. LOKER TRACK STADIUM</v>
          </cell>
          <cell r="G1565" t="str">
            <v>WATER</v>
          </cell>
          <cell r="H1565">
            <v>572.98</v>
          </cell>
        </row>
        <row r="1566">
          <cell r="H1566">
            <v>30615.360000000001</v>
          </cell>
        </row>
        <row r="1573">
          <cell r="D1573" t="str">
            <v>Bldg Desc</v>
          </cell>
          <cell r="E1573" t="str">
            <v>Part Number</v>
          </cell>
          <cell r="F1573" t="str">
            <v>Amount</v>
          </cell>
        </row>
        <row r="1574">
          <cell r="C1574" t="str">
            <v>LVL-EGW-14</v>
          </cell>
          <cell r="D1574">
            <v>2570</v>
          </cell>
          <cell r="E1574" t="str">
            <v>LVL</v>
          </cell>
          <cell r="F1574" t="str">
            <v>THOMAS &amp; DOROTHY LEAVEY LIBRARY</v>
          </cell>
          <cell r="G1574" t="str">
            <v>ELECTRIC</v>
          </cell>
          <cell r="H1574">
            <v>401286.65</v>
          </cell>
        </row>
        <row r="1575">
          <cell r="D1575">
            <v>2570</v>
          </cell>
          <cell r="E1575" t="str">
            <v>LVL</v>
          </cell>
          <cell r="F1575" t="str">
            <v>THOMAS &amp; DOROTHY LEAVEY LIBRARY</v>
          </cell>
          <cell r="G1575" t="str">
            <v>GAS</v>
          </cell>
          <cell r="H1575">
            <v>9548.6200000000008</v>
          </cell>
        </row>
        <row r="1576">
          <cell r="D1576">
            <v>2570</v>
          </cell>
          <cell r="E1576" t="str">
            <v>LVL</v>
          </cell>
          <cell r="F1576" t="str">
            <v>THOMAS &amp; DOROTHY LEAVEY LIBRARY</v>
          </cell>
          <cell r="G1576" t="str">
            <v>WATER</v>
          </cell>
          <cell r="H1576">
            <v>2962.76</v>
          </cell>
        </row>
        <row r="1577">
          <cell r="C1577" t="str">
            <v>Bldg#</v>
          </cell>
          <cell r="H1577">
            <v>413798.03</v>
          </cell>
        </row>
        <row r="1584">
          <cell r="D1584" t="str">
            <v>Bldg Desc</v>
          </cell>
          <cell r="E1584" t="str">
            <v>Part Number</v>
          </cell>
          <cell r="F1584" t="str">
            <v>Amount</v>
          </cell>
        </row>
        <row r="1585">
          <cell r="C1585" t="str">
            <v>MAC-EGW-14</v>
          </cell>
          <cell r="D1585">
            <v>1280</v>
          </cell>
          <cell r="E1585" t="str">
            <v>MAC</v>
          </cell>
          <cell r="F1585" t="str">
            <v>MCDONALD'S OLYMPIC SWIM STADIUM</v>
          </cell>
          <cell r="G1585" t="str">
            <v>ELECTRIC</v>
          </cell>
          <cell r="H1585">
            <v>157369.79999999999</v>
          </cell>
        </row>
        <row r="1586">
          <cell r="D1586">
            <v>1280</v>
          </cell>
          <cell r="E1586" t="str">
            <v>MAC</v>
          </cell>
          <cell r="F1586" t="str">
            <v>MCDONALD'S OLYMPIC SWIM STADIUM</v>
          </cell>
          <cell r="G1586" t="str">
            <v>GAS</v>
          </cell>
          <cell r="H1586">
            <v>0</v>
          </cell>
        </row>
        <row r="1587">
          <cell r="D1587">
            <v>1280</v>
          </cell>
          <cell r="E1587" t="str">
            <v>MAC</v>
          </cell>
          <cell r="F1587" t="str">
            <v>MCDONALD'S OLYMPIC SWIM STADIUM</v>
          </cell>
          <cell r="G1587" t="str">
            <v>WATER</v>
          </cell>
          <cell r="H1587">
            <v>27741.29</v>
          </cell>
        </row>
        <row r="1588">
          <cell r="C1588" t="str">
            <v>Bldg#</v>
          </cell>
          <cell r="H1588">
            <v>185111.09</v>
          </cell>
        </row>
        <row r="1595">
          <cell r="D1595" t="str">
            <v>Bldg Desc</v>
          </cell>
          <cell r="E1595" t="str">
            <v>Part Number</v>
          </cell>
          <cell r="F1595" t="str">
            <v>Amount</v>
          </cell>
        </row>
        <row r="1596">
          <cell r="C1596" t="str">
            <v>MCA-EGW-14</v>
          </cell>
          <cell r="D1596">
            <v>1086</v>
          </cell>
          <cell r="E1596" t="str">
            <v>MCA</v>
          </cell>
          <cell r="F1596" t="str">
            <v>MCKIBBEN ADDITION</v>
          </cell>
          <cell r="G1596" t="str">
            <v>ELECTRIC</v>
          </cell>
          <cell r="H1596">
            <v>79075.47</v>
          </cell>
        </row>
        <row r="1597">
          <cell r="D1597">
            <v>1086</v>
          </cell>
          <cell r="E1597" t="str">
            <v>MCA</v>
          </cell>
          <cell r="F1597" t="str">
            <v>MCKIBBEN ADDITION</v>
          </cell>
          <cell r="G1597" t="str">
            <v>GAS</v>
          </cell>
          <cell r="H1597">
            <v>7041.89</v>
          </cell>
        </row>
        <row r="1598">
          <cell r="D1598">
            <v>1086</v>
          </cell>
          <cell r="E1598" t="str">
            <v>MCA</v>
          </cell>
          <cell r="F1598" t="str">
            <v>MCKIBBEN ADDITION</v>
          </cell>
          <cell r="G1598" t="str">
            <v>WATER</v>
          </cell>
          <cell r="H1598">
            <v>2960.18</v>
          </cell>
        </row>
        <row r="1599">
          <cell r="C1599" t="str">
            <v>Bldg#</v>
          </cell>
          <cell r="H1599">
            <v>89077.54</v>
          </cell>
        </row>
        <row r="1606">
          <cell r="D1606" t="str">
            <v>Bldg Desc</v>
          </cell>
          <cell r="E1606" t="str">
            <v>Part Number</v>
          </cell>
          <cell r="F1606" t="str">
            <v>Amount</v>
          </cell>
        </row>
        <row r="1607">
          <cell r="C1607" t="str">
            <v>MCC-EGW-14</v>
          </cell>
          <cell r="D1607">
            <v>250</v>
          </cell>
          <cell r="E1607" t="str">
            <v>MCC</v>
          </cell>
          <cell r="F1607" t="str">
            <v>MCCLINTOCK BUILDING</v>
          </cell>
          <cell r="G1607" t="str">
            <v>ELECTRIC</v>
          </cell>
          <cell r="H1607">
            <v>82629.31</v>
          </cell>
        </row>
        <row r="1608">
          <cell r="D1608">
            <v>250</v>
          </cell>
          <cell r="E1608" t="str">
            <v>MCC</v>
          </cell>
          <cell r="F1608" t="str">
            <v>MCCLINTOCK BUILDING</v>
          </cell>
          <cell r="G1608" t="str">
            <v>GAS</v>
          </cell>
          <cell r="H1608">
            <v>421.72</v>
          </cell>
        </row>
        <row r="1609">
          <cell r="D1609">
            <v>250</v>
          </cell>
          <cell r="E1609" t="str">
            <v>MCC</v>
          </cell>
          <cell r="F1609" t="str">
            <v>MCCLINTOCK BUILDING</v>
          </cell>
          <cell r="G1609" t="str">
            <v>WATER</v>
          </cell>
          <cell r="H1609">
            <v>3041.1</v>
          </cell>
        </row>
        <row r="1610">
          <cell r="C1610" t="str">
            <v>Bldg#</v>
          </cell>
          <cell r="H1610">
            <v>86092.13</v>
          </cell>
        </row>
        <row r="1617">
          <cell r="D1617" t="str">
            <v>Bldg Desc</v>
          </cell>
          <cell r="E1617" t="str">
            <v>Part Number</v>
          </cell>
          <cell r="F1617" t="str">
            <v>Amount</v>
          </cell>
        </row>
        <row r="1618">
          <cell r="C1618" t="str">
            <v>MCH-EGW-14</v>
          </cell>
          <cell r="D1618">
            <v>1081</v>
          </cell>
          <cell r="E1618" t="str">
            <v>MCH</v>
          </cell>
          <cell r="F1618" t="str">
            <v>MCKIBBEN HALL</v>
          </cell>
          <cell r="G1618" t="str">
            <v>ELECTRIC</v>
          </cell>
          <cell r="H1618">
            <v>108724.45</v>
          </cell>
        </row>
        <row r="1619">
          <cell r="D1619">
            <v>1081</v>
          </cell>
          <cell r="E1619" t="str">
            <v>MCH</v>
          </cell>
          <cell r="F1619" t="str">
            <v>MCKIBBEN HALL</v>
          </cell>
          <cell r="G1619" t="str">
            <v>GAS</v>
          </cell>
          <cell r="H1619">
            <v>6715.11</v>
          </cell>
        </row>
        <row r="1620">
          <cell r="D1620">
            <v>1081</v>
          </cell>
          <cell r="E1620" t="str">
            <v>MCH</v>
          </cell>
          <cell r="F1620" t="str">
            <v>MCKIBBEN HALL</v>
          </cell>
          <cell r="G1620" t="str">
            <v>WATER</v>
          </cell>
          <cell r="H1620">
            <v>2284.79</v>
          </cell>
        </row>
        <row r="1621">
          <cell r="C1621" t="str">
            <v>Bldg#</v>
          </cell>
          <cell r="H1621">
            <v>117724.35</v>
          </cell>
        </row>
        <row r="1628">
          <cell r="D1628" t="str">
            <v>Bldg Desc</v>
          </cell>
          <cell r="E1628" t="str">
            <v>Part Number</v>
          </cell>
          <cell r="F1628" t="str">
            <v>Amount</v>
          </cell>
        </row>
        <row r="1629">
          <cell r="C1629" t="str">
            <v>MHP-EGW-14</v>
          </cell>
          <cell r="D1629">
            <v>450</v>
          </cell>
          <cell r="E1629" t="str">
            <v>MHP</v>
          </cell>
          <cell r="F1629" t="str">
            <v>SEELEY WINTERSMITH MUDD MEMORIAL HALL (OF PHILOSOPHY)</v>
          </cell>
          <cell r="G1629" t="str">
            <v>ELECTRIC</v>
          </cell>
          <cell r="H1629">
            <v>18996.48</v>
          </cell>
        </row>
        <row r="1630">
          <cell r="D1630">
            <v>450</v>
          </cell>
          <cell r="E1630" t="str">
            <v>MHP</v>
          </cell>
          <cell r="F1630" t="str">
            <v>SEELEY WINTERSMITH MUDD MEMORIAL HALL (OF PHILOSOPHY)</v>
          </cell>
          <cell r="G1630" t="str">
            <v>GAS</v>
          </cell>
          <cell r="H1630">
            <v>3976.4</v>
          </cell>
        </row>
        <row r="1631">
          <cell r="D1631">
            <v>450</v>
          </cell>
          <cell r="E1631" t="str">
            <v>MHP</v>
          </cell>
          <cell r="F1631" t="str">
            <v>SEELEY WINTERSMITH MUDD MEMORIAL HALL (OF PHILOSOPHY)</v>
          </cell>
          <cell r="G1631" t="str">
            <v>WATER</v>
          </cell>
          <cell r="H1631">
            <v>3045.32</v>
          </cell>
        </row>
        <row r="1632">
          <cell r="C1632" t="str">
            <v>Bldg#</v>
          </cell>
          <cell r="H1632">
            <v>26018.2</v>
          </cell>
        </row>
        <row r="1639">
          <cell r="D1639" t="str">
            <v>Bldg Desc</v>
          </cell>
          <cell r="E1639" t="str">
            <v>Part Number</v>
          </cell>
          <cell r="F1639" t="str">
            <v>Amount</v>
          </cell>
        </row>
        <row r="1640">
          <cell r="C1640" t="str">
            <v>MMR-EGW-14</v>
          </cell>
          <cell r="D1640">
            <v>1080</v>
          </cell>
          <cell r="E1640" t="str">
            <v>MMR</v>
          </cell>
          <cell r="F1640" t="str">
            <v>MUDD MEMORIAL RESEARCH BUILDING</v>
          </cell>
          <cell r="G1640" t="str">
            <v>ELECTRIC</v>
          </cell>
          <cell r="H1640">
            <v>145396.18</v>
          </cell>
        </row>
        <row r="1641">
          <cell r="D1641">
            <v>1080</v>
          </cell>
          <cell r="E1641" t="str">
            <v>MMR</v>
          </cell>
          <cell r="F1641" t="str">
            <v>MUDD MEMORIAL RESEARCH BUILDING</v>
          </cell>
          <cell r="G1641" t="str">
            <v>GAS</v>
          </cell>
          <cell r="H1641">
            <v>11848.56</v>
          </cell>
        </row>
        <row r="1642">
          <cell r="D1642">
            <v>1080</v>
          </cell>
          <cell r="E1642" t="str">
            <v>MMR</v>
          </cell>
          <cell r="F1642" t="str">
            <v>MUDD MEMORIAL RESEARCH BUILDING</v>
          </cell>
          <cell r="G1642" t="str">
            <v>WATER</v>
          </cell>
          <cell r="H1642">
            <v>2949.63</v>
          </cell>
        </row>
        <row r="1643">
          <cell r="C1643" t="str">
            <v>Bldg#</v>
          </cell>
          <cell r="H1643">
            <v>160194.37</v>
          </cell>
        </row>
        <row r="1650">
          <cell r="D1650" t="str">
            <v>Bldg Desc</v>
          </cell>
          <cell r="E1650" t="str">
            <v>Part Number</v>
          </cell>
          <cell r="F1650" t="str">
            <v>Amount</v>
          </cell>
        </row>
        <row r="1651">
          <cell r="C1651" t="str">
            <v>MRF-EGW-14</v>
          </cell>
          <cell r="D1651">
            <v>410</v>
          </cell>
          <cell r="E1651" t="str">
            <v>MRF</v>
          </cell>
          <cell r="F1651" t="str">
            <v>MONTGOMERY ROSS FISHER BUILDING (SCHOOL OF SOCIAL WORK)</v>
          </cell>
          <cell r="G1651" t="str">
            <v>ELECTRIC</v>
          </cell>
          <cell r="H1651">
            <v>71580.039999999994</v>
          </cell>
        </row>
        <row r="1652">
          <cell r="D1652">
            <v>410</v>
          </cell>
          <cell r="E1652" t="str">
            <v>MRF</v>
          </cell>
          <cell r="F1652" t="str">
            <v>MONTGOMERY ROSS FISHER BUILDING (SCHOOL OF SOCIAL WORK)</v>
          </cell>
          <cell r="G1652" t="str">
            <v>GAS</v>
          </cell>
          <cell r="H1652">
            <v>3982.18</v>
          </cell>
        </row>
        <row r="1653">
          <cell r="D1653">
            <v>410</v>
          </cell>
          <cell r="E1653" t="str">
            <v>MRF</v>
          </cell>
          <cell r="F1653" t="str">
            <v>MONTGOMERY ROSS FISHER BUILDING (SCHOOL OF SOCIAL WORK)</v>
          </cell>
          <cell r="G1653" t="str">
            <v>WATER</v>
          </cell>
          <cell r="H1653">
            <v>3534.37</v>
          </cell>
        </row>
        <row r="1654">
          <cell r="C1654" t="str">
            <v>Bldg#</v>
          </cell>
          <cell r="H1654">
            <v>79096.59</v>
          </cell>
        </row>
        <row r="1661">
          <cell r="D1661" t="str">
            <v>Bldg Desc</v>
          </cell>
          <cell r="E1661" t="str">
            <v>Part Number</v>
          </cell>
          <cell r="F1661" t="str">
            <v>Amount</v>
          </cell>
        </row>
        <row r="1662">
          <cell r="C1662" t="str">
            <v>MTS-EGW-14</v>
          </cell>
          <cell r="D1662">
            <v>930</v>
          </cell>
          <cell r="E1662" t="str">
            <v>MTS</v>
          </cell>
          <cell r="F1662" t="str">
            <v>DAVID X. MARKS TENNIS STADIUM</v>
          </cell>
          <cell r="G1662" t="str">
            <v>ELECTRIC</v>
          </cell>
          <cell r="H1662">
            <v>21692.89</v>
          </cell>
        </row>
        <row r="1663">
          <cell r="D1663">
            <v>930</v>
          </cell>
          <cell r="E1663" t="str">
            <v>MTS</v>
          </cell>
          <cell r="F1663" t="str">
            <v>DAVID X. MARKS TENNIS STADIUM</v>
          </cell>
          <cell r="G1663" t="str">
            <v>GAS</v>
          </cell>
          <cell r="H1663">
            <v>0</v>
          </cell>
        </row>
        <row r="1664">
          <cell r="D1664">
            <v>930</v>
          </cell>
          <cell r="E1664" t="str">
            <v>MTS</v>
          </cell>
          <cell r="F1664" t="str">
            <v>DAVID X. MARKS TENNIS STADIUM</v>
          </cell>
          <cell r="G1664" t="str">
            <v>WATER</v>
          </cell>
          <cell r="H1664">
            <v>2963.88</v>
          </cell>
        </row>
        <row r="1665">
          <cell r="C1665" t="str">
            <v>Bldg#</v>
          </cell>
          <cell r="H1665">
            <v>24656.77</v>
          </cell>
        </row>
        <row r="1672">
          <cell r="D1672" t="str">
            <v>Bldg Desc</v>
          </cell>
          <cell r="E1672" t="str">
            <v>Part Number</v>
          </cell>
          <cell r="F1672" t="str">
            <v>Amount</v>
          </cell>
        </row>
        <row r="1673">
          <cell r="C1673" t="str">
            <v>MUS-EGW-14</v>
          </cell>
          <cell r="D1673">
            <v>850</v>
          </cell>
          <cell r="E1673" t="str">
            <v>MUS</v>
          </cell>
          <cell r="F1673" t="str">
            <v>ALBERT S. RAUBENHEIMER MUSIC FACULTY MEMORIAL BUILDING</v>
          </cell>
          <cell r="G1673" t="str">
            <v>ELECTRIC</v>
          </cell>
          <cell r="H1673">
            <v>68613.259999999995</v>
          </cell>
        </row>
        <row r="1674">
          <cell r="D1674">
            <v>850</v>
          </cell>
          <cell r="E1674" t="str">
            <v>MUS</v>
          </cell>
          <cell r="F1674" t="str">
            <v>ALBERT S. RAUBENHEIMER MUSIC FACULTY MEMORIAL BUILDING</v>
          </cell>
          <cell r="G1674" t="str">
            <v>GAS</v>
          </cell>
          <cell r="H1674">
            <v>0</v>
          </cell>
        </row>
        <row r="1675">
          <cell r="D1675">
            <v>850</v>
          </cell>
          <cell r="E1675" t="str">
            <v>MUS</v>
          </cell>
          <cell r="F1675" t="str">
            <v>ALBERT S. RAUBENHEIMER MUSIC FACULTY MEMORIAL BUILDING</v>
          </cell>
          <cell r="G1675" t="str">
            <v>WATER</v>
          </cell>
          <cell r="H1675">
            <v>2630.03</v>
          </cell>
        </row>
        <row r="1676">
          <cell r="C1676" t="str">
            <v>Bldg#</v>
          </cell>
          <cell r="H1676">
            <v>71243.289999999994</v>
          </cell>
        </row>
        <row r="1683">
          <cell r="D1683" t="str">
            <v>Bldg Desc</v>
          </cell>
          <cell r="E1683" t="str">
            <v>Part Number</v>
          </cell>
          <cell r="F1683" t="str">
            <v>Amount</v>
          </cell>
        </row>
        <row r="1684">
          <cell r="C1684" t="str">
            <v>NCT-EGW-14</v>
          </cell>
          <cell r="D1684">
            <v>760</v>
          </cell>
          <cell r="E1684" t="str">
            <v>NCT</v>
          </cell>
          <cell r="F1684" t="str">
            <v>EILEEN L. NORRIS CINEMA THEATRE</v>
          </cell>
          <cell r="G1684" t="str">
            <v>ELECTRIC</v>
          </cell>
          <cell r="H1684">
            <v>28536.74</v>
          </cell>
        </row>
        <row r="1685">
          <cell r="D1685">
            <v>760</v>
          </cell>
          <cell r="E1685" t="str">
            <v>NCT</v>
          </cell>
          <cell r="F1685" t="str">
            <v>EILEEN L. NORRIS CINEMA THEATRE</v>
          </cell>
          <cell r="G1685" t="str">
            <v>GAS</v>
          </cell>
          <cell r="H1685">
            <v>0</v>
          </cell>
        </row>
        <row r="1686">
          <cell r="D1686">
            <v>760</v>
          </cell>
          <cell r="E1686" t="str">
            <v>NCT</v>
          </cell>
          <cell r="F1686" t="str">
            <v>EILEEN L. NORRIS CINEMA THEATRE</v>
          </cell>
          <cell r="G1686" t="str">
            <v>WATER</v>
          </cell>
          <cell r="H1686">
            <v>2652.96</v>
          </cell>
        </row>
        <row r="1687">
          <cell r="C1687" t="str">
            <v>Bldg#</v>
          </cell>
          <cell r="H1687">
            <v>31189.7</v>
          </cell>
        </row>
        <row r="1694">
          <cell r="D1694" t="str">
            <v>Bldg Desc</v>
          </cell>
          <cell r="E1694" t="str">
            <v>Part Number</v>
          </cell>
          <cell r="F1694" t="str">
            <v>Amount</v>
          </cell>
        </row>
        <row r="1695">
          <cell r="C1695" t="str">
            <v>NML-EGW-14</v>
          </cell>
          <cell r="D1695">
            <v>690</v>
          </cell>
          <cell r="E1695" t="str">
            <v>NML</v>
          </cell>
          <cell r="F1695" t="str">
            <v>NORRIS MEDICAL LIBRARY</v>
          </cell>
          <cell r="G1695" t="str">
            <v>ELECTRIC</v>
          </cell>
          <cell r="H1695">
            <v>110002.73</v>
          </cell>
        </row>
        <row r="1696">
          <cell r="D1696">
            <v>690</v>
          </cell>
          <cell r="E1696" t="str">
            <v>NML</v>
          </cell>
          <cell r="F1696" t="str">
            <v>NORRIS MEDICAL LIBRARY</v>
          </cell>
          <cell r="G1696" t="str">
            <v>GAS</v>
          </cell>
          <cell r="H1696">
            <v>11668.22</v>
          </cell>
        </row>
        <row r="1697">
          <cell r="D1697">
            <v>690</v>
          </cell>
          <cell r="E1697" t="str">
            <v>NML</v>
          </cell>
          <cell r="F1697" t="str">
            <v>NORRIS MEDICAL LIBRARY</v>
          </cell>
          <cell r="G1697" t="str">
            <v>WATER</v>
          </cell>
          <cell r="H1697">
            <v>4379.91</v>
          </cell>
        </row>
        <row r="1698">
          <cell r="C1698" t="str">
            <v>Bldg#</v>
          </cell>
          <cell r="H1698">
            <v>126050.86</v>
          </cell>
        </row>
        <row r="1705">
          <cell r="D1705" t="str">
            <v>Bldg Desc</v>
          </cell>
          <cell r="E1705" t="str">
            <v>Part Number</v>
          </cell>
          <cell r="F1705" t="str">
            <v>Amount</v>
          </cell>
        </row>
        <row r="1706">
          <cell r="C1706" t="str">
            <v>NOR-EGW-14</v>
          </cell>
          <cell r="D1706">
            <v>810</v>
          </cell>
          <cell r="E1706" t="str">
            <v>NOR</v>
          </cell>
          <cell r="F1706" t="str">
            <v>KENNETH NORRIS JR. CANCER HOSPITAL RESEARCH INSTITUTE</v>
          </cell>
          <cell r="G1706" t="str">
            <v>ELECTRIC</v>
          </cell>
          <cell r="H1706">
            <v>638094.84</v>
          </cell>
        </row>
        <row r="1707">
          <cell r="D1707">
            <v>810</v>
          </cell>
          <cell r="E1707" t="str">
            <v>NOR</v>
          </cell>
          <cell r="F1707" t="str">
            <v>KENNETH NORRIS JR. CANCER HOSPITAL RESEARCH INSTITUTE</v>
          </cell>
          <cell r="G1707" t="str">
            <v>GAS</v>
          </cell>
          <cell r="H1707">
            <v>55088.53</v>
          </cell>
        </row>
        <row r="1708">
          <cell r="D1708">
            <v>810</v>
          </cell>
          <cell r="E1708" t="str">
            <v>NOR</v>
          </cell>
          <cell r="F1708" t="str">
            <v>KENNETH NORRIS JR. CANCER HOSPITAL RESEARCH INSTITUTE</v>
          </cell>
          <cell r="G1708" t="str">
            <v>WATER</v>
          </cell>
          <cell r="H1708">
            <v>61269.25</v>
          </cell>
        </row>
        <row r="1709">
          <cell r="C1709" t="str">
            <v>Bldg#</v>
          </cell>
          <cell r="H1709">
            <v>754452.62</v>
          </cell>
        </row>
        <row r="1716">
          <cell r="D1716" t="str">
            <v>Bldg Desc</v>
          </cell>
          <cell r="E1716" t="str">
            <v>Part Number</v>
          </cell>
          <cell r="F1716" t="str">
            <v>Amount</v>
          </cell>
        </row>
        <row r="1717">
          <cell r="C1717" t="str">
            <v>NRT-ELC-14</v>
          </cell>
          <cell r="D1717">
            <v>2880</v>
          </cell>
          <cell r="E1717" t="str">
            <v>NRT</v>
          </cell>
          <cell r="F1717" t="str">
            <v>HARLYNE J. NORRIS RESEARCH TOWER</v>
          </cell>
          <cell r="G1717" t="str">
            <v>ELECTRIC</v>
          </cell>
          <cell r="H1717">
            <v>684543.07</v>
          </cell>
        </row>
        <row r="1718">
          <cell r="H1718">
            <v>684543.07</v>
          </cell>
        </row>
        <row r="1720">
          <cell r="C1720" t="str">
            <v>Bldg#</v>
          </cell>
        </row>
        <row r="1725">
          <cell r="D1725" t="str">
            <v>Bldg Desc</v>
          </cell>
          <cell r="E1725" t="str">
            <v>Part Number</v>
          </cell>
          <cell r="F1725" t="str">
            <v>Amount</v>
          </cell>
        </row>
        <row r="1726">
          <cell r="C1726" t="str">
            <v>NRT-GAS-14</v>
          </cell>
          <cell r="D1726">
            <v>2880</v>
          </cell>
          <cell r="E1726" t="str">
            <v>NRT</v>
          </cell>
          <cell r="F1726" t="str">
            <v>HARLYNE J. NORRIS RESEARCH TOWER</v>
          </cell>
          <cell r="G1726" t="str">
            <v>GAS</v>
          </cell>
          <cell r="H1726">
            <v>44479.1</v>
          </cell>
        </row>
        <row r="1727">
          <cell r="H1727">
            <v>44479.1</v>
          </cell>
        </row>
        <row r="1729">
          <cell r="C1729" t="str">
            <v>Bldg#</v>
          </cell>
        </row>
        <row r="1734">
          <cell r="D1734" t="str">
            <v>Bldg Desc</v>
          </cell>
          <cell r="E1734" t="str">
            <v>Part Number</v>
          </cell>
          <cell r="F1734" t="str">
            <v>Amount</v>
          </cell>
        </row>
        <row r="1735">
          <cell r="C1735" t="str">
            <v>NRT-WTR-14</v>
          </cell>
          <cell r="D1735">
            <v>2880</v>
          </cell>
          <cell r="E1735" t="str">
            <v>NRT</v>
          </cell>
          <cell r="F1735" t="str">
            <v>HARLYNE J. NORRIS RESEARCH TOWER</v>
          </cell>
          <cell r="G1735" t="str">
            <v>WATER</v>
          </cell>
          <cell r="H1735">
            <v>9233.66</v>
          </cell>
        </row>
        <row r="1736">
          <cell r="H1736">
            <v>9233.66</v>
          </cell>
        </row>
        <row r="1738">
          <cell r="C1738" t="str">
            <v>Bldg#</v>
          </cell>
        </row>
        <row r="1743">
          <cell r="D1743" t="str">
            <v>Bldg Desc</v>
          </cell>
          <cell r="E1743" t="str">
            <v>Part Number</v>
          </cell>
          <cell r="F1743" t="str">
            <v>Amount</v>
          </cell>
        </row>
        <row r="1744">
          <cell r="C1744" t="str">
            <v>NTT-EGW-14</v>
          </cell>
          <cell r="D1744">
            <v>170</v>
          </cell>
          <cell r="E1744" t="str">
            <v>NTT</v>
          </cell>
          <cell r="F1744" t="str">
            <v>DOCTOR NORMAN TOPPING TOWER</v>
          </cell>
          <cell r="G1744" t="str">
            <v>ELECTRIC</v>
          </cell>
          <cell r="H1744">
            <v>939837.41</v>
          </cell>
        </row>
        <row r="1745">
          <cell r="D1745">
            <v>170</v>
          </cell>
          <cell r="E1745" t="str">
            <v>NTT</v>
          </cell>
          <cell r="F1745" t="str">
            <v>DOCTOR NORMAN TOPPING TOWER</v>
          </cell>
          <cell r="G1745" t="str">
            <v>GAS</v>
          </cell>
          <cell r="H1745">
            <v>55180.46</v>
          </cell>
        </row>
        <row r="1746">
          <cell r="D1746">
            <v>170</v>
          </cell>
          <cell r="E1746" t="str">
            <v>NTT</v>
          </cell>
          <cell r="F1746" t="str">
            <v>DOCTOR NORMAN TOPPING TOWER</v>
          </cell>
          <cell r="G1746" t="str">
            <v>WATER</v>
          </cell>
          <cell r="H1746">
            <v>66425.47</v>
          </cell>
        </row>
        <row r="1747">
          <cell r="C1747" t="str">
            <v>Bldg#</v>
          </cell>
          <cell r="H1747">
            <v>1061443.3400000001</v>
          </cell>
        </row>
        <row r="1754">
          <cell r="D1754" t="str">
            <v>Bldg Desc</v>
          </cell>
          <cell r="E1754" t="str">
            <v>Part Number</v>
          </cell>
          <cell r="F1754" t="str">
            <v>Amount</v>
          </cell>
        </row>
        <row r="1755">
          <cell r="C1755" t="str">
            <v>OCW-EGW-14</v>
          </cell>
          <cell r="D1755">
            <v>400</v>
          </cell>
          <cell r="E1755" t="str">
            <v>OCW</v>
          </cell>
          <cell r="F1755" t="str">
            <v>HAROLD E. AND LILLIAN M. MOULTON ORGANIC CHEMISTRY WING</v>
          </cell>
          <cell r="G1755" t="str">
            <v>ELECTRIC</v>
          </cell>
          <cell r="H1755">
            <v>32015.200000000001</v>
          </cell>
        </row>
        <row r="1756">
          <cell r="D1756">
            <v>400</v>
          </cell>
          <cell r="E1756" t="str">
            <v>OCW</v>
          </cell>
          <cell r="F1756" t="str">
            <v>HAROLD E. AND LILLIAN M. MOULTON ORGANIC CHEMISTRY WING</v>
          </cell>
          <cell r="G1756" t="str">
            <v>GAS</v>
          </cell>
          <cell r="H1756">
            <v>3027.67</v>
          </cell>
        </row>
        <row r="1757">
          <cell r="D1757">
            <v>400</v>
          </cell>
          <cell r="E1757" t="str">
            <v>OCW</v>
          </cell>
          <cell r="F1757" t="str">
            <v>HAROLD E. AND LILLIAN M. MOULTON ORGANIC CHEMISTRY WING</v>
          </cell>
          <cell r="G1757" t="str">
            <v>WATER</v>
          </cell>
          <cell r="H1757">
            <v>9472.99</v>
          </cell>
        </row>
        <row r="1758">
          <cell r="C1758" t="str">
            <v>Bldg#</v>
          </cell>
          <cell r="H1758">
            <v>44515.86</v>
          </cell>
        </row>
        <row r="1765">
          <cell r="D1765" t="str">
            <v>Bldg Desc</v>
          </cell>
          <cell r="E1765" t="str">
            <v>Part Number</v>
          </cell>
          <cell r="F1765" t="str">
            <v>Amount</v>
          </cell>
        </row>
        <row r="1766">
          <cell r="C1766" t="str">
            <v>OHE-EGW-14</v>
          </cell>
          <cell r="D1766">
            <v>1450</v>
          </cell>
          <cell r="E1766" t="str">
            <v>OHE</v>
          </cell>
          <cell r="F1766" t="str">
            <v>OLIN HALL OF ENGINEERING</v>
          </cell>
          <cell r="G1766" t="str">
            <v>ELECTRIC</v>
          </cell>
          <cell r="H1766">
            <v>127097.57</v>
          </cell>
        </row>
        <row r="1767">
          <cell r="D1767">
            <v>1450</v>
          </cell>
          <cell r="E1767" t="str">
            <v>OHE</v>
          </cell>
          <cell r="F1767" t="str">
            <v>OLIN HALL OF ENGINEERING</v>
          </cell>
          <cell r="G1767" t="str">
            <v>GAS</v>
          </cell>
          <cell r="H1767">
            <v>10758.06</v>
          </cell>
        </row>
        <row r="1768">
          <cell r="D1768">
            <v>1450</v>
          </cell>
          <cell r="E1768" t="str">
            <v>OHE</v>
          </cell>
          <cell r="F1768" t="str">
            <v>OLIN HALL OF ENGINEERING</v>
          </cell>
          <cell r="G1768" t="str">
            <v>WATER</v>
          </cell>
          <cell r="H1768">
            <v>6175.59</v>
          </cell>
        </row>
        <row r="1769">
          <cell r="C1769" t="str">
            <v>Bldg#</v>
          </cell>
          <cell r="H1769">
            <v>144031.23000000001</v>
          </cell>
        </row>
        <row r="1776">
          <cell r="D1776" t="str">
            <v>Bldg Desc</v>
          </cell>
          <cell r="E1776" t="str">
            <v>Part Number</v>
          </cell>
          <cell r="F1776" t="str">
            <v>Amount</v>
          </cell>
        </row>
        <row r="1777">
          <cell r="C1777" t="str">
            <v>OHE1-EL-14</v>
          </cell>
          <cell r="D1777">
            <v>1451</v>
          </cell>
          <cell r="E1777" t="str">
            <v>OHE1</v>
          </cell>
          <cell r="F1777" t="str">
            <v>OHE CHILLER PLANT</v>
          </cell>
          <cell r="G1777" t="str">
            <v>ELECTRIC</v>
          </cell>
          <cell r="H1777">
            <v>54.41</v>
          </cell>
        </row>
        <row r="1778">
          <cell r="H1778">
            <v>54.41</v>
          </cell>
        </row>
        <row r="1780">
          <cell r="C1780" t="str">
            <v>Bldg#</v>
          </cell>
        </row>
        <row r="1785">
          <cell r="D1785" t="str">
            <v>Bldg Desc</v>
          </cell>
          <cell r="E1785" t="str">
            <v>Part Number</v>
          </cell>
          <cell r="F1785" t="str">
            <v>Amount</v>
          </cell>
        </row>
        <row r="1786">
          <cell r="C1786" t="str">
            <v>ONE-EGW-14</v>
          </cell>
          <cell r="D1786">
            <v>1580</v>
          </cell>
          <cell r="E1786" t="str">
            <v>ONE</v>
          </cell>
          <cell r="F1786" t="str">
            <v>ONE INSTITUTE</v>
          </cell>
          <cell r="G1786" t="str">
            <v>ELECTRIC</v>
          </cell>
          <cell r="H1786">
            <v>10414.01</v>
          </cell>
        </row>
        <row r="1787">
          <cell r="D1787">
            <v>1580</v>
          </cell>
          <cell r="E1787" t="str">
            <v>ONE</v>
          </cell>
          <cell r="F1787" t="str">
            <v>ONE INSTITUTE</v>
          </cell>
          <cell r="G1787" t="str">
            <v>GAS</v>
          </cell>
          <cell r="H1787">
            <v>0</v>
          </cell>
        </row>
        <row r="1788">
          <cell r="D1788">
            <v>1580</v>
          </cell>
          <cell r="E1788" t="str">
            <v>ONE</v>
          </cell>
          <cell r="F1788" t="str">
            <v>ONE INSTITUTE</v>
          </cell>
          <cell r="G1788" t="str">
            <v>WATER</v>
          </cell>
          <cell r="H1788">
            <v>3763.15</v>
          </cell>
        </row>
        <row r="1789">
          <cell r="C1789" t="str">
            <v>Bldg#</v>
          </cell>
          <cell r="H1789">
            <v>14177.16</v>
          </cell>
        </row>
        <row r="1796">
          <cell r="D1796" t="str">
            <v>Bldg Desc</v>
          </cell>
          <cell r="E1796" t="str">
            <v>Part Number</v>
          </cell>
          <cell r="F1796" t="str">
            <v>Amount</v>
          </cell>
        </row>
        <row r="1797">
          <cell r="C1797" t="str">
            <v>PCE-EGW-14</v>
          </cell>
          <cell r="D1797">
            <v>1210</v>
          </cell>
          <cell r="E1797" t="str">
            <v>PCE</v>
          </cell>
          <cell r="F1797" t="str">
            <v>JERRY &amp; NANCY NEELY PETROLEUM &amp; CHEMICAL ENGINEERING BUILDING</v>
          </cell>
          <cell r="G1797" t="str">
            <v>ELECTRIC</v>
          </cell>
          <cell r="H1797">
            <v>58162.9</v>
          </cell>
        </row>
        <row r="1798">
          <cell r="D1798">
            <v>1210</v>
          </cell>
          <cell r="E1798" t="str">
            <v>PCE</v>
          </cell>
          <cell r="F1798" t="str">
            <v>JERRY &amp; NANCY NEELY PETROLEUM &amp; CHEMICAL ENGINEERING BUILDING</v>
          </cell>
          <cell r="G1798" t="str">
            <v>GAS</v>
          </cell>
          <cell r="H1798">
            <v>5134.21</v>
          </cell>
        </row>
        <row r="1799">
          <cell r="D1799">
            <v>1210</v>
          </cell>
          <cell r="E1799" t="str">
            <v>PCE</v>
          </cell>
          <cell r="F1799" t="str">
            <v>JERRY &amp; NANCY NEELY PETROLEUM &amp; CHEMICAL ENGINEERING BUILDING</v>
          </cell>
          <cell r="G1799" t="str">
            <v>WATER</v>
          </cell>
          <cell r="H1799">
            <v>15135.12</v>
          </cell>
        </row>
        <row r="1800">
          <cell r="C1800" t="str">
            <v>Bldg#</v>
          </cell>
          <cell r="H1800">
            <v>78432.240000000005</v>
          </cell>
        </row>
        <row r="1807">
          <cell r="D1807" t="str">
            <v>Bldg Desc</v>
          </cell>
          <cell r="E1807" t="str">
            <v>Part Number</v>
          </cell>
          <cell r="F1807" t="str">
            <v>Amount</v>
          </cell>
        </row>
        <row r="1808">
          <cell r="C1808" t="str">
            <v>PED-EGW-14</v>
          </cell>
          <cell r="D1808">
            <v>650</v>
          </cell>
          <cell r="E1808" t="str">
            <v>PED</v>
          </cell>
          <cell r="F1808" t="str">
            <v>PHYSICAL EDUCATION BUILDING</v>
          </cell>
          <cell r="G1808" t="str">
            <v>ELECTRIC</v>
          </cell>
          <cell r="H1808">
            <v>123599.53</v>
          </cell>
        </row>
        <row r="1809">
          <cell r="D1809">
            <v>650</v>
          </cell>
          <cell r="E1809" t="str">
            <v>PED</v>
          </cell>
          <cell r="F1809" t="str">
            <v>PHYSICAL EDUCATION BUILDING</v>
          </cell>
          <cell r="G1809" t="str">
            <v>GAS</v>
          </cell>
          <cell r="H1809">
            <v>32782.379999999997</v>
          </cell>
        </row>
        <row r="1810">
          <cell r="D1810">
            <v>650</v>
          </cell>
          <cell r="E1810" t="str">
            <v>PED</v>
          </cell>
          <cell r="F1810" t="str">
            <v>PHYSICAL EDUCATION BUILDING</v>
          </cell>
          <cell r="G1810" t="str">
            <v>WATER</v>
          </cell>
          <cell r="H1810">
            <v>24535.62</v>
          </cell>
        </row>
        <row r="1811">
          <cell r="C1811" t="str">
            <v>Bldg#</v>
          </cell>
          <cell r="H1811">
            <v>180917.53</v>
          </cell>
        </row>
        <row r="1818">
          <cell r="D1818" t="str">
            <v>Bldg Desc</v>
          </cell>
          <cell r="E1818" t="str">
            <v>Part Number</v>
          </cell>
          <cell r="F1818" t="str">
            <v>Amount</v>
          </cell>
        </row>
        <row r="1819">
          <cell r="C1819" t="str">
            <v>PED1-EL-14</v>
          </cell>
          <cell r="D1819">
            <v>651</v>
          </cell>
          <cell r="E1819" t="str">
            <v>PED1</v>
          </cell>
          <cell r="F1819" t="str">
            <v>PED CHILLER PLANT</v>
          </cell>
          <cell r="G1819" t="str">
            <v>ELECTRIC</v>
          </cell>
          <cell r="H1819">
            <v>669479.38</v>
          </cell>
        </row>
        <row r="1820">
          <cell r="H1820">
            <v>669479.38</v>
          </cell>
        </row>
        <row r="1822">
          <cell r="C1822" t="str">
            <v>Bldg#</v>
          </cell>
        </row>
        <row r="1827">
          <cell r="D1827" t="str">
            <v>Bldg Desc</v>
          </cell>
          <cell r="E1827" t="str">
            <v>Part Number</v>
          </cell>
          <cell r="F1827" t="str">
            <v>Amount</v>
          </cell>
        </row>
        <row r="1828">
          <cell r="C1828" t="str">
            <v>PGH-NELC14</v>
          </cell>
          <cell r="D1828">
            <v>3380</v>
          </cell>
          <cell r="E1828" t="str">
            <v>PGH</v>
          </cell>
          <cell r="F1828" t="str">
            <v>PLAYGROUND HOUSE</v>
          </cell>
          <cell r="G1828" t="str">
            <v>ELECTRIC</v>
          </cell>
          <cell r="H1828">
            <v>178.99</v>
          </cell>
        </row>
        <row r="1829">
          <cell r="H1829">
            <v>178.99</v>
          </cell>
        </row>
        <row r="1831">
          <cell r="C1831" t="str">
            <v>Bldg#</v>
          </cell>
        </row>
        <row r="1836">
          <cell r="D1836" t="str">
            <v>Bldg Desc</v>
          </cell>
          <cell r="E1836" t="str">
            <v>Part Number</v>
          </cell>
          <cell r="F1836" t="str">
            <v>Amount</v>
          </cell>
        </row>
        <row r="1837">
          <cell r="C1837" t="str">
            <v>PHE-EGW-14</v>
          </cell>
          <cell r="D1837">
            <v>270</v>
          </cell>
          <cell r="E1837" t="str">
            <v>PHE</v>
          </cell>
          <cell r="F1837" t="str">
            <v>CHARLES LEE POWELL HALL</v>
          </cell>
          <cell r="G1837" t="str">
            <v>ELECTRIC</v>
          </cell>
          <cell r="H1837">
            <v>135022.42000000001</v>
          </cell>
        </row>
        <row r="1838">
          <cell r="D1838">
            <v>270</v>
          </cell>
          <cell r="E1838" t="str">
            <v>PHE</v>
          </cell>
          <cell r="F1838" t="str">
            <v>CHARLES LEE POWELL HALL</v>
          </cell>
          <cell r="G1838" t="str">
            <v>GAS</v>
          </cell>
          <cell r="H1838">
            <v>7236.17</v>
          </cell>
        </row>
        <row r="1839">
          <cell r="D1839">
            <v>270</v>
          </cell>
          <cell r="E1839" t="str">
            <v>PHE</v>
          </cell>
          <cell r="F1839" t="str">
            <v>CHARLES LEE POWELL HALL</v>
          </cell>
          <cell r="G1839" t="str">
            <v>WATER</v>
          </cell>
          <cell r="H1839">
            <v>6214.26</v>
          </cell>
        </row>
        <row r="1840">
          <cell r="C1840" t="str">
            <v>Bldg#</v>
          </cell>
          <cell r="H1840">
            <v>148472.85</v>
          </cell>
        </row>
        <row r="1847">
          <cell r="D1847" t="str">
            <v>Bldg Desc</v>
          </cell>
          <cell r="E1847" t="str">
            <v>Part Number</v>
          </cell>
          <cell r="F1847" t="str">
            <v>Amount</v>
          </cell>
        </row>
        <row r="1848">
          <cell r="C1848" t="str">
            <v>PKS-ELC-14</v>
          </cell>
          <cell r="D1848">
            <v>1170</v>
          </cell>
          <cell r="E1848" t="str">
            <v>PKS</v>
          </cell>
          <cell r="F1848" t="str">
            <v>PARKSIDE APARTMENTS I</v>
          </cell>
          <cell r="G1848" t="str">
            <v>ELECTRIC</v>
          </cell>
          <cell r="H1848">
            <v>44232.46</v>
          </cell>
        </row>
        <row r="1849">
          <cell r="H1849">
            <v>44232.46</v>
          </cell>
        </row>
        <row r="1851">
          <cell r="C1851" t="str">
            <v>Bldg#</v>
          </cell>
        </row>
        <row r="1856">
          <cell r="D1856" t="str">
            <v>Bldg Desc</v>
          </cell>
          <cell r="E1856" t="str">
            <v>Part Number</v>
          </cell>
          <cell r="F1856" t="str">
            <v>Amount</v>
          </cell>
        </row>
        <row r="1857">
          <cell r="C1857" t="str">
            <v>PKS-GAS-14</v>
          </cell>
          <cell r="D1857">
            <v>1170</v>
          </cell>
          <cell r="E1857" t="str">
            <v>PKS</v>
          </cell>
          <cell r="F1857" t="str">
            <v>PARKSIDE APARTMENTS I</v>
          </cell>
          <cell r="G1857" t="str">
            <v>GAS</v>
          </cell>
          <cell r="H1857">
            <v>7893.61</v>
          </cell>
        </row>
        <row r="1858">
          <cell r="H1858">
            <v>7893.61</v>
          </cell>
        </row>
        <row r="1860">
          <cell r="C1860" t="str">
            <v>Bldg#</v>
          </cell>
        </row>
        <row r="1865">
          <cell r="D1865" t="str">
            <v>Bldg Desc</v>
          </cell>
          <cell r="E1865" t="str">
            <v>Part Number</v>
          </cell>
          <cell r="F1865" t="str">
            <v>Amount</v>
          </cell>
        </row>
        <row r="1866">
          <cell r="C1866" t="str">
            <v>PKS-WTR-14</v>
          </cell>
          <cell r="D1866">
            <v>1170</v>
          </cell>
          <cell r="E1866" t="str">
            <v>PKS</v>
          </cell>
          <cell r="F1866" t="str">
            <v>PARKSIDE APARTMENTS I</v>
          </cell>
          <cell r="G1866" t="str">
            <v>WATER</v>
          </cell>
          <cell r="H1866">
            <v>15302.19</v>
          </cell>
        </row>
        <row r="1867">
          <cell r="H1867">
            <v>15302.19</v>
          </cell>
        </row>
        <row r="1869">
          <cell r="C1869" t="str">
            <v>Bldg#</v>
          </cell>
        </row>
        <row r="1874">
          <cell r="D1874" t="str">
            <v>Bldg Desc</v>
          </cell>
          <cell r="E1874" t="str">
            <v>Part Number</v>
          </cell>
          <cell r="F1874" t="str">
            <v>Amount</v>
          </cell>
        </row>
        <row r="1875">
          <cell r="C1875" t="str">
            <v>PMB-EGW-14</v>
          </cell>
          <cell r="D1875">
            <v>1700</v>
          </cell>
          <cell r="E1875" t="str">
            <v>PMB</v>
          </cell>
          <cell r="F1875" t="str">
            <v>PARKVIEW MEDICAL BUILDING</v>
          </cell>
          <cell r="G1875" t="str">
            <v>ELECTRIC</v>
          </cell>
          <cell r="H1875">
            <v>12830.48</v>
          </cell>
        </row>
        <row r="1876">
          <cell r="D1876">
            <v>1700</v>
          </cell>
          <cell r="E1876" t="str">
            <v>PMB</v>
          </cell>
          <cell r="F1876" t="str">
            <v>PARKVIEW MEDICAL BUILDING</v>
          </cell>
          <cell r="G1876" t="str">
            <v>GAS</v>
          </cell>
          <cell r="H1876">
            <v>587.74</v>
          </cell>
        </row>
        <row r="1877">
          <cell r="D1877">
            <v>1700</v>
          </cell>
          <cell r="E1877" t="str">
            <v>PMB</v>
          </cell>
          <cell r="F1877" t="str">
            <v>PARKVIEW MEDICAL BUILDING</v>
          </cell>
          <cell r="G1877" t="str">
            <v>WATER</v>
          </cell>
          <cell r="H1877">
            <v>0</v>
          </cell>
        </row>
        <row r="1878">
          <cell r="C1878" t="str">
            <v>Bldg#</v>
          </cell>
          <cell r="H1878">
            <v>13418.22</v>
          </cell>
        </row>
        <row r="1885">
          <cell r="D1885" t="str">
            <v>Bldg Desc</v>
          </cell>
          <cell r="E1885" t="str">
            <v>Part Number</v>
          </cell>
          <cell r="F1885" t="str">
            <v>Amount</v>
          </cell>
        </row>
        <row r="1886">
          <cell r="C1886" t="str">
            <v>PRB-NELC14</v>
          </cell>
          <cell r="D1886">
            <v>1390</v>
          </cell>
          <cell r="E1886" t="str">
            <v>PRB</v>
          </cell>
          <cell r="F1886" t="str">
            <v>PARKSIDE RESIDENTIAL BUILDING</v>
          </cell>
          <cell r="G1886" t="str">
            <v>ELECTRIC</v>
          </cell>
          <cell r="H1886">
            <v>142375.60999999999</v>
          </cell>
        </row>
        <row r="1887">
          <cell r="H1887">
            <v>142375.60999999999</v>
          </cell>
        </row>
        <row r="1889">
          <cell r="C1889" t="str">
            <v>Bldg#</v>
          </cell>
        </row>
        <row r="1894">
          <cell r="D1894" t="str">
            <v>Bldg Desc</v>
          </cell>
          <cell r="E1894" t="str">
            <v>Part Number</v>
          </cell>
          <cell r="F1894" t="str">
            <v>Amount</v>
          </cell>
        </row>
        <row r="1895">
          <cell r="C1895" t="str">
            <v>PRB-NGAS14</v>
          </cell>
          <cell r="D1895">
            <v>1390</v>
          </cell>
          <cell r="E1895" t="str">
            <v>PRB</v>
          </cell>
          <cell r="F1895" t="str">
            <v>PARKSIDE RESIDENTIAL BUILDING</v>
          </cell>
          <cell r="G1895" t="str">
            <v>GAS</v>
          </cell>
          <cell r="H1895">
            <v>13228.33</v>
          </cell>
        </row>
        <row r="1896">
          <cell r="H1896">
            <v>13228.33</v>
          </cell>
        </row>
        <row r="1898">
          <cell r="C1898" t="str">
            <v>Bldg#</v>
          </cell>
        </row>
        <row r="1903">
          <cell r="D1903" t="str">
            <v>Bldg Desc</v>
          </cell>
          <cell r="E1903" t="str">
            <v>Part Number</v>
          </cell>
          <cell r="F1903" t="str">
            <v>Amount</v>
          </cell>
        </row>
        <row r="1904">
          <cell r="C1904" t="str">
            <v>PRB-NWTR14</v>
          </cell>
          <cell r="D1904">
            <v>1390</v>
          </cell>
          <cell r="E1904" t="str">
            <v>PRB</v>
          </cell>
          <cell r="F1904" t="str">
            <v>PARKSIDE RESIDENTIAL BUILDING</v>
          </cell>
          <cell r="G1904" t="str">
            <v>WATER</v>
          </cell>
          <cell r="H1904">
            <v>22219.66</v>
          </cell>
        </row>
        <row r="1905">
          <cell r="H1905">
            <v>22219.66</v>
          </cell>
        </row>
        <row r="1907">
          <cell r="C1907" t="str">
            <v>Bldg#</v>
          </cell>
        </row>
        <row r="1912">
          <cell r="D1912" t="str">
            <v>Bldg Desc</v>
          </cell>
          <cell r="E1912" t="str">
            <v>Part Number</v>
          </cell>
          <cell r="F1912" t="str">
            <v>Amount</v>
          </cell>
        </row>
        <row r="1913">
          <cell r="C1913" t="str">
            <v>PSA-XGW-14</v>
          </cell>
          <cell r="D1913">
            <v>1910</v>
          </cell>
          <cell r="E1913" t="str">
            <v>PSA</v>
          </cell>
          <cell r="F1913" t="str">
            <v>PARKING STRUCTURE A</v>
          </cell>
          <cell r="G1913" t="str">
            <v>ELECTRIC</v>
          </cell>
          <cell r="H1913">
            <v>40250.06</v>
          </cell>
        </row>
        <row r="1914">
          <cell r="D1914">
            <v>1910</v>
          </cell>
          <cell r="E1914" t="str">
            <v>PSA</v>
          </cell>
          <cell r="F1914" t="str">
            <v>PARKING STRUCTURE A</v>
          </cell>
          <cell r="G1914" t="str">
            <v>GAS</v>
          </cell>
          <cell r="H1914">
            <v>0</v>
          </cell>
        </row>
        <row r="1915">
          <cell r="D1915">
            <v>1910</v>
          </cell>
          <cell r="E1915" t="str">
            <v>PSA</v>
          </cell>
          <cell r="F1915" t="str">
            <v>PARKING STRUCTURE A</v>
          </cell>
          <cell r="G1915" t="str">
            <v>WATER</v>
          </cell>
          <cell r="H1915">
            <v>6426.57</v>
          </cell>
        </row>
        <row r="1916">
          <cell r="C1916" t="str">
            <v>Bldg#</v>
          </cell>
          <cell r="H1916">
            <v>46676.63</v>
          </cell>
        </row>
        <row r="1923">
          <cell r="D1923" t="str">
            <v>Bldg Desc</v>
          </cell>
          <cell r="E1923" t="str">
            <v>Part Number</v>
          </cell>
          <cell r="F1923" t="str">
            <v>Amount</v>
          </cell>
        </row>
        <row r="1924">
          <cell r="C1924" t="str">
            <v>PSA1-ELC14</v>
          </cell>
          <cell r="D1924">
            <v>1911</v>
          </cell>
          <cell r="E1924" t="str">
            <v>PSA1</v>
          </cell>
          <cell r="F1924" t="str">
            <v>PARKING STRUCTURE A - AUX</v>
          </cell>
          <cell r="G1924" t="str">
            <v>ELECTRIC</v>
          </cell>
          <cell r="H1924">
            <v>63045.34</v>
          </cell>
        </row>
        <row r="1925">
          <cell r="H1925">
            <v>63045.34</v>
          </cell>
        </row>
        <row r="1927">
          <cell r="C1927" t="str">
            <v>Bldg#</v>
          </cell>
        </row>
        <row r="1932">
          <cell r="D1932" t="str">
            <v>Bldg Desc</v>
          </cell>
          <cell r="E1932" t="str">
            <v>Part Number</v>
          </cell>
          <cell r="F1932" t="str">
            <v>Amount</v>
          </cell>
        </row>
        <row r="1933">
          <cell r="C1933" t="str">
            <v>PSA9-EL-14</v>
          </cell>
          <cell r="D1933">
            <v>1919</v>
          </cell>
          <cell r="E1933" t="str">
            <v>PSA9</v>
          </cell>
          <cell r="F1933" t="str">
            <v>PARKING STRUCTURE A CELL TOWER</v>
          </cell>
          <cell r="G1933" t="str">
            <v>ELECTRIC</v>
          </cell>
          <cell r="H1933">
            <v>2768.9</v>
          </cell>
        </row>
        <row r="1934">
          <cell r="H1934">
            <v>2768.9</v>
          </cell>
        </row>
        <row r="1936">
          <cell r="C1936" t="str">
            <v>Bldg#</v>
          </cell>
        </row>
        <row r="1941">
          <cell r="D1941" t="str">
            <v>Bldg Desc</v>
          </cell>
          <cell r="E1941" t="str">
            <v>Part Number</v>
          </cell>
          <cell r="F1941" t="str">
            <v>Amount</v>
          </cell>
        </row>
        <row r="1942">
          <cell r="C1942" t="str">
            <v>PSB-XGW-14</v>
          </cell>
          <cell r="D1942">
            <v>1920</v>
          </cell>
          <cell r="E1942" t="str">
            <v>PSB</v>
          </cell>
          <cell r="F1942" t="str">
            <v>PARKING STRUCTURE B</v>
          </cell>
          <cell r="G1942" t="str">
            <v>ELECTRIC</v>
          </cell>
          <cell r="H1942">
            <v>33402.769999999997</v>
          </cell>
        </row>
        <row r="1943">
          <cell r="D1943">
            <v>1920</v>
          </cell>
          <cell r="E1943" t="str">
            <v>PSB</v>
          </cell>
          <cell r="F1943" t="str">
            <v>PARKING STRUCTURE B</v>
          </cell>
          <cell r="G1943" t="str">
            <v>GAS</v>
          </cell>
          <cell r="H1943">
            <v>0</v>
          </cell>
        </row>
        <row r="1944">
          <cell r="D1944">
            <v>1920</v>
          </cell>
          <cell r="E1944" t="str">
            <v>PSB</v>
          </cell>
          <cell r="F1944" t="str">
            <v>PARKING STRUCTURE B</v>
          </cell>
          <cell r="G1944" t="str">
            <v>WATER</v>
          </cell>
          <cell r="H1944">
            <v>5683.6</v>
          </cell>
        </row>
        <row r="1945">
          <cell r="C1945" t="str">
            <v>Bldg#</v>
          </cell>
          <cell r="H1945">
            <v>39086.370000000003</v>
          </cell>
        </row>
        <row r="1952">
          <cell r="D1952" t="str">
            <v>Bldg Desc</v>
          </cell>
          <cell r="E1952" t="str">
            <v>Part Number</v>
          </cell>
          <cell r="F1952" t="str">
            <v>Amount</v>
          </cell>
        </row>
        <row r="1953">
          <cell r="C1953" t="str">
            <v>PSB1-ELC14</v>
          </cell>
          <cell r="D1953">
            <v>1921</v>
          </cell>
          <cell r="E1953" t="str">
            <v>PSB1</v>
          </cell>
          <cell r="F1953" t="str">
            <v>PARKING STRUCTURE B - AUX</v>
          </cell>
          <cell r="G1953" t="str">
            <v>ELECTRIC</v>
          </cell>
          <cell r="H1953">
            <v>26368.91</v>
          </cell>
        </row>
        <row r="1954">
          <cell r="H1954">
            <v>26368.91</v>
          </cell>
        </row>
        <row r="1956">
          <cell r="C1956" t="str">
            <v>Bldg#</v>
          </cell>
        </row>
        <row r="1961">
          <cell r="D1961" t="str">
            <v>Bldg Desc</v>
          </cell>
          <cell r="E1961" t="str">
            <v>Part Number</v>
          </cell>
          <cell r="F1961" t="str">
            <v>Amount</v>
          </cell>
        </row>
        <row r="1962">
          <cell r="C1962" t="str">
            <v>PSC-EGW-14</v>
          </cell>
          <cell r="D1962">
            <v>710</v>
          </cell>
          <cell r="E1962" t="str">
            <v>PSC</v>
          </cell>
          <cell r="F1962" t="str">
            <v>JOHN STAUFFER PHARMACEUTICAL SCIENCES CENTER</v>
          </cell>
          <cell r="G1962" t="str">
            <v>ELECTRIC</v>
          </cell>
          <cell r="H1962">
            <v>346224.62</v>
          </cell>
        </row>
        <row r="1963">
          <cell r="D1963">
            <v>710</v>
          </cell>
          <cell r="E1963" t="str">
            <v>PSC</v>
          </cell>
          <cell r="F1963" t="str">
            <v>JOHN STAUFFER PHARMACEUTICAL SCIENCES CENTER</v>
          </cell>
          <cell r="G1963" t="str">
            <v>GAS</v>
          </cell>
          <cell r="H1963">
            <v>21760.240000000002</v>
          </cell>
        </row>
        <row r="1964">
          <cell r="D1964">
            <v>710</v>
          </cell>
          <cell r="E1964" t="str">
            <v>PSC</v>
          </cell>
          <cell r="F1964" t="str">
            <v>JOHN STAUFFER PHARMACEUTICAL SCIENCES CENTER</v>
          </cell>
          <cell r="G1964" t="str">
            <v>WATER</v>
          </cell>
          <cell r="H1964">
            <v>23563.61</v>
          </cell>
        </row>
        <row r="1965">
          <cell r="C1965" t="str">
            <v>Bldg#</v>
          </cell>
          <cell r="H1965">
            <v>391548.47</v>
          </cell>
        </row>
        <row r="1972">
          <cell r="D1972" t="str">
            <v>Bldg Desc</v>
          </cell>
          <cell r="E1972" t="str">
            <v>Part Number</v>
          </cell>
          <cell r="F1972" t="str">
            <v>Amount</v>
          </cell>
        </row>
        <row r="1973">
          <cell r="C1973" t="str">
            <v>PSD-ELC-14</v>
          </cell>
          <cell r="D1973">
            <v>1620</v>
          </cell>
          <cell r="E1973" t="str">
            <v>PSD</v>
          </cell>
          <cell r="F1973" t="str">
            <v>PARKING STRUCTURE D</v>
          </cell>
          <cell r="G1973" t="str">
            <v>ELECTRIC</v>
          </cell>
          <cell r="H1973">
            <v>49865.99</v>
          </cell>
        </row>
        <row r="1974">
          <cell r="H1974">
            <v>49865.99</v>
          </cell>
        </row>
        <row r="1976">
          <cell r="C1976" t="str">
            <v>Bldg#</v>
          </cell>
        </row>
        <row r="1981">
          <cell r="D1981" t="str">
            <v>Bldg Desc</v>
          </cell>
          <cell r="E1981" t="str">
            <v>Part Number</v>
          </cell>
          <cell r="F1981" t="str">
            <v>Amount</v>
          </cell>
        </row>
        <row r="1982">
          <cell r="C1982" t="str">
            <v>PSD-XGW-14</v>
          </cell>
          <cell r="D1982">
            <v>1620</v>
          </cell>
          <cell r="E1982" t="str">
            <v>PSD</v>
          </cell>
          <cell r="F1982" t="str">
            <v>PARKING STRUCTURE D</v>
          </cell>
          <cell r="G1982" t="str">
            <v>ELECTRIC</v>
          </cell>
          <cell r="H1982">
            <v>77199.63</v>
          </cell>
        </row>
        <row r="1983">
          <cell r="D1983">
            <v>1620</v>
          </cell>
          <cell r="E1983" t="str">
            <v>PSD</v>
          </cell>
          <cell r="F1983" t="str">
            <v>PARKING STRUCTURE D</v>
          </cell>
          <cell r="G1983" t="str">
            <v>GAS</v>
          </cell>
          <cell r="H1983">
            <v>0</v>
          </cell>
        </row>
        <row r="1984">
          <cell r="D1984">
            <v>1620</v>
          </cell>
          <cell r="E1984" t="str">
            <v>PSD</v>
          </cell>
          <cell r="F1984" t="str">
            <v>PARKING STRUCTURE D</v>
          </cell>
          <cell r="G1984" t="str">
            <v>WATER</v>
          </cell>
          <cell r="H1984">
            <v>4830.7700000000004</v>
          </cell>
        </row>
        <row r="1985">
          <cell r="C1985" t="str">
            <v>Bldg#</v>
          </cell>
          <cell r="H1985">
            <v>82030.399999999994</v>
          </cell>
        </row>
        <row r="1992">
          <cell r="D1992" t="str">
            <v>Bldg Desc</v>
          </cell>
          <cell r="E1992" t="str">
            <v>Part Number</v>
          </cell>
          <cell r="F1992" t="str">
            <v>Amount</v>
          </cell>
        </row>
        <row r="1993">
          <cell r="C1993" t="str">
            <v>PSX-EGW-14</v>
          </cell>
          <cell r="D1993">
            <v>1330</v>
          </cell>
          <cell r="E1993" t="str">
            <v>PSX</v>
          </cell>
          <cell r="F1993" t="str">
            <v>PARKING STRUCTURE C</v>
          </cell>
          <cell r="G1993" t="str">
            <v>ELECTRIC</v>
          </cell>
          <cell r="H1993">
            <v>24611.360000000001</v>
          </cell>
        </row>
        <row r="1994">
          <cell r="D1994">
            <v>1330</v>
          </cell>
          <cell r="E1994" t="str">
            <v>PSX</v>
          </cell>
          <cell r="F1994" t="str">
            <v>PARKING STRUCTURE C</v>
          </cell>
          <cell r="G1994" t="str">
            <v>GAS</v>
          </cell>
          <cell r="H1994">
            <v>0</v>
          </cell>
        </row>
        <row r="1995">
          <cell r="D1995">
            <v>1330</v>
          </cell>
          <cell r="E1995" t="str">
            <v>PSX</v>
          </cell>
          <cell r="F1995" t="str">
            <v>PARKING STRUCTURE C</v>
          </cell>
          <cell r="G1995" t="str">
            <v>WATER</v>
          </cell>
          <cell r="H1995">
            <v>5840.79</v>
          </cell>
        </row>
        <row r="1996">
          <cell r="C1996" t="str">
            <v>Bldg#</v>
          </cell>
          <cell r="H1996">
            <v>30452.15</v>
          </cell>
        </row>
        <row r="2003">
          <cell r="D2003" t="str">
            <v>Bldg Desc</v>
          </cell>
          <cell r="E2003" t="str">
            <v>Part Number</v>
          </cell>
          <cell r="F2003" t="str">
            <v>Amount</v>
          </cell>
        </row>
        <row r="2004">
          <cell r="C2004" t="str">
            <v>PSX-ELC-14</v>
          </cell>
          <cell r="D2004">
            <v>1330</v>
          </cell>
          <cell r="E2004" t="str">
            <v>PSX</v>
          </cell>
          <cell r="F2004" t="str">
            <v>PARKING STRUCTURE C</v>
          </cell>
          <cell r="G2004" t="str">
            <v>ELECTRIC</v>
          </cell>
          <cell r="H2004">
            <v>37684.01</v>
          </cell>
        </row>
        <row r="2005">
          <cell r="H2005">
            <v>37684.01</v>
          </cell>
        </row>
        <row r="2007">
          <cell r="C2007" t="str">
            <v>Bldg#</v>
          </cell>
        </row>
        <row r="2012">
          <cell r="D2012" t="str">
            <v>Bldg Desc</v>
          </cell>
          <cell r="E2012" t="str">
            <v>Part Number</v>
          </cell>
          <cell r="F2012" t="str">
            <v>Amount</v>
          </cell>
        </row>
        <row r="2013">
          <cell r="C2013" t="str">
            <v>PTD-ELC-14</v>
          </cell>
          <cell r="D2013">
            <v>1890</v>
          </cell>
          <cell r="E2013" t="str">
            <v>PTD</v>
          </cell>
          <cell r="F2013" t="str">
            <v>MARIANNE &amp; J.DOUGLAS PARDEE TOWER</v>
          </cell>
          <cell r="G2013" t="str">
            <v>ELECTRIC</v>
          </cell>
          <cell r="H2013">
            <v>45218.04</v>
          </cell>
        </row>
        <row r="2014">
          <cell r="H2014">
            <v>45218.04</v>
          </cell>
        </row>
        <row r="2016">
          <cell r="C2016" t="str">
            <v>Bldg#</v>
          </cell>
        </row>
        <row r="2021">
          <cell r="D2021" t="str">
            <v>Bldg Desc</v>
          </cell>
          <cell r="E2021" t="str">
            <v>Part Number</v>
          </cell>
          <cell r="F2021" t="str">
            <v>Amount</v>
          </cell>
        </row>
        <row r="2022">
          <cell r="C2022" t="str">
            <v>PTD-GAS-14</v>
          </cell>
          <cell r="D2022">
            <v>1890</v>
          </cell>
          <cell r="E2022" t="str">
            <v>PTD</v>
          </cell>
          <cell r="F2022" t="str">
            <v>MARIANNE &amp; J.DOUGLAS PARDEE TOWER</v>
          </cell>
          <cell r="G2022" t="str">
            <v>GAS</v>
          </cell>
          <cell r="H2022">
            <v>4012.53</v>
          </cell>
        </row>
        <row r="2023">
          <cell r="H2023">
            <v>4012.53</v>
          </cell>
        </row>
        <row r="2025">
          <cell r="C2025" t="str">
            <v>Bldg#</v>
          </cell>
        </row>
        <row r="2030">
          <cell r="D2030" t="str">
            <v>Bldg Desc</v>
          </cell>
          <cell r="E2030" t="str">
            <v>Part Number</v>
          </cell>
          <cell r="F2030" t="str">
            <v>Amount</v>
          </cell>
        </row>
        <row r="2031">
          <cell r="C2031" t="str">
            <v xml:space="preserve">PTD-WTR-14 </v>
          </cell>
          <cell r="D2031">
            <v>1890</v>
          </cell>
          <cell r="E2031" t="str">
            <v>PTD</v>
          </cell>
          <cell r="F2031" t="str">
            <v>MARIANNE &amp; J.DOUGLAS PARDEE TOWER</v>
          </cell>
          <cell r="G2031" t="str">
            <v>WATER</v>
          </cell>
          <cell r="H2031">
            <v>15525.69</v>
          </cell>
        </row>
        <row r="2032">
          <cell r="H2032">
            <v>15525.69</v>
          </cell>
        </row>
        <row r="2034">
          <cell r="C2034" t="str">
            <v>Bldg#</v>
          </cell>
        </row>
        <row r="2039">
          <cell r="D2039" t="str">
            <v>Bldg Desc</v>
          </cell>
          <cell r="E2039" t="str">
            <v>Part Number</v>
          </cell>
          <cell r="F2039" t="str">
            <v>Amount</v>
          </cell>
        </row>
        <row r="2040">
          <cell r="C2040" t="str">
            <v>RAN-EGW-14</v>
          </cell>
          <cell r="D2040">
            <v>1530</v>
          </cell>
          <cell r="E2040" t="str">
            <v>RAN</v>
          </cell>
          <cell r="F2040" t="str">
            <v>HOFFMAN CONTRACTS RESEARCH BUILDING</v>
          </cell>
          <cell r="G2040" t="str">
            <v>ELECTRIC</v>
          </cell>
          <cell r="H2040">
            <v>135242.09</v>
          </cell>
        </row>
        <row r="2041">
          <cell r="D2041">
            <v>1530</v>
          </cell>
          <cell r="E2041" t="str">
            <v>RAN</v>
          </cell>
          <cell r="F2041" t="str">
            <v>HOFFMAN CONTRACTS RESEARCH BUILDING</v>
          </cell>
          <cell r="G2041" t="str">
            <v>GAS</v>
          </cell>
          <cell r="H2041">
            <v>246.6</v>
          </cell>
        </row>
        <row r="2042">
          <cell r="D2042">
            <v>1530</v>
          </cell>
          <cell r="E2042" t="str">
            <v>RAN</v>
          </cell>
          <cell r="F2042" t="str">
            <v>HOFFMAN CONTRACTS RESEARCH BUILDING</v>
          </cell>
          <cell r="G2042" t="str">
            <v>WATER</v>
          </cell>
          <cell r="H2042">
            <v>4088.06</v>
          </cell>
        </row>
        <row r="2043">
          <cell r="C2043" t="str">
            <v>Bldg#</v>
          </cell>
          <cell r="H2043">
            <v>139576.75</v>
          </cell>
        </row>
        <row r="2050">
          <cell r="D2050" t="str">
            <v>Bldg Desc</v>
          </cell>
          <cell r="E2050" t="str">
            <v>Part Number</v>
          </cell>
          <cell r="F2050" t="str">
            <v>Amount</v>
          </cell>
        </row>
        <row r="2051">
          <cell r="C2051" t="str">
            <v>REG-EGW-14</v>
          </cell>
          <cell r="D2051">
            <v>1410</v>
          </cell>
          <cell r="E2051" t="str">
            <v>REG</v>
          </cell>
          <cell r="F2051" t="str">
            <v>REGISTRATION BUILDING</v>
          </cell>
          <cell r="G2051" t="str">
            <v>ELECTRIC</v>
          </cell>
          <cell r="H2051">
            <v>11390.4</v>
          </cell>
        </row>
        <row r="2052">
          <cell r="D2052">
            <v>1410</v>
          </cell>
          <cell r="E2052" t="str">
            <v>REG</v>
          </cell>
          <cell r="F2052" t="str">
            <v>REGISTRATION BUILDING</v>
          </cell>
          <cell r="G2052" t="str">
            <v>GAS</v>
          </cell>
          <cell r="H2052">
            <v>77.58</v>
          </cell>
        </row>
        <row r="2053">
          <cell r="D2053">
            <v>1410</v>
          </cell>
          <cell r="E2053" t="str">
            <v>REG</v>
          </cell>
          <cell r="F2053" t="str">
            <v>REGISTRATION BUILDING</v>
          </cell>
          <cell r="G2053" t="str">
            <v>WATER</v>
          </cell>
          <cell r="H2053">
            <v>2372.62</v>
          </cell>
        </row>
        <row r="2054">
          <cell r="C2054" t="str">
            <v>Bldg#</v>
          </cell>
          <cell r="H2054">
            <v>13840.6</v>
          </cell>
        </row>
        <row r="2061">
          <cell r="D2061" t="str">
            <v>Bldg Desc</v>
          </cell>
          <cell r="E2061" t="str">
            <v>Part Number</v>
          </cell>
          <cell r="F2061" t="str">
            <v>Amount</v>
          </cell>
        </row>
        <row r="2062">
          <cell r="C2062" t="str">
            <v>RGL-EGW-14</v>
          </cell>
          <cell r="D2062">
            <v>2620</v>
          </cell>
          <cell r="E2062" t="str">
            <v>RGL</v>
          </cell>
          <cell r="F2062" t="str">
            <v>RALPH AND GOLDY LEWIS HALL</v>
          </cell>
          <cell r="G2062" t="str">
            <v>ELECTRIC</v>
          </cell>
          <cell r="H2062">
            <v>55356.22</v>
          </cell>
        </row>
        <row r="2063">
          <cell r="D2063">
            <v>2620</v>
          </cell>
          <cell r="E2063" t="str">
            <v>RGL</v>
          </cell>
          <cell r="F2063" t="str">
            <v>RALPH AND GOLDY LEWIS HALL</v>
          </cell>
          <cell r="G2063" t="str">
            <v>GAS</v>
          </cell>
          <cell r="H2063">
            <v>3656.73</v>
          </cell>
        </row>
        <row r="2064">
          <cell r="D2064">
            <v>2620</v>
          </cell>
          <cell r="E2064" t="str">
            <v>RGL</v>
          </cell>
          <cell r="F2064" t="str">
            <v>RALPH AND GOLDY LEWIS HALL</v>
          </cell>
          <cell r="G2064" t="str">
            <v>WATER</v>
          </cell>
          <cell r="H2064">
            <v>7909.46</v>
          </cell>
        </row>
        <row r="2065">
          <cell r="C2065" t="str">
            <v>Bldg#</v>
          </cell>
          <cell r="H2065">
            <v>66922.41</v>
          </cell>
        </row>
        <row r="2072">
          <cell r="D2072" t="str">
            <v>Bldg Desc</v>
          </cell>
          <cell r="E2072" t="str">
            <v>Part Number</v>
          </cell>
          <cell r="F2072" t="str">
            <v>Amount</v>
          </cell>
        </row>
        <row r="2073">
          <cell r="C2073" t="str">
            <v>RHM-EGW-14</v>
          </cell>
          <cell r="D2073">
            <v>830</v>
          </cell>
          <cell r="E2073" t="str">
            <v>RHM</v>
          </cell>
          <cell r="F2073" t="str">
            <v>VIRGINIA RAMO HALL OF MUSIC</v>
          </cell>
          <cell r="G2073" t="str">
            <v>ELECTRIC</v>
          </cell>
          <cell r="H2073">
            <v>16029.93</v>
          </cell>
        </row>
        <row r="2074">
          <cell r="D2074">
            <v>830</v>
          </cell>
          <cell r="E2074" t="str">
            <v>RHM</v>
          </cell>
          <cell r="F2074" t="str">
            <v>VIRGINIA RAMO HALL OF MUSIC</v>
          </cell>
          <cell r="G2074" t="str">
            <v>GAS</v>
          </cell>
          <cell r="H2074">
            <v>0</v>
          </cell>
        </row>
        <row r="2075">
          <cell r="D2075">
            <v>830</v>
          </cell>
          <cell r="E2075" t="str">
            <v>RHM</v>
          </cell>
          <cell r="F2075" t="str">
            <v>VIRGINIA RAMO HALL OF MUSIC</v>
          </cell>
          <cell r="G2075" t="str">
            <v>WATER</v>
          </cell>
          <cell r="H2075">
            <v>2668.62</v>
          </cell>
        </row>
        <row r="2076">
          <cell r="C2076" t="str">
            <v>Bldg#</v>
          </cell>
          <cell r="H2076">
            <v>18698.55</v>
          </cell>
        </row>
        <row r="2083">
          <cell r="D2083" t="str">
            <v>Bldg Desc</v>
          </cell>
          <cell r="E2083" t="str">
            <v>Part Number</v>
          </cell>
          <cell r="F2083" t="str">
            <v>Amount</v>
          </cell>
        </row>
        <row r="2084">
          <cell r="C2084" t="str">
            <v>RMR-EGW-14</v>
          </cell>
          <cell r="D2084">
            <v>670</v>
          </cell>
          <cell r="E2084" t="str">
            <v>RMR</v>
          </cell>
          <cell r="F2084" t="str">
            <v>RAULSTON MEMORIAL RESEARCH BUILDING</v>
          </cell>
          <cell r="G2084" t="str">
            <v>ELECTRIC</v>
          </cell>
          <cell r="H2084">
            <v>16285.76</v>
          </cell>
        </row>
        <row r="2085">
          <cell r="D2085">
            <v>670</v>
          </cell>
          <cell r="E2085" t="str">
            <v>RMR</v>
          </cell>
          <cell r="F2085" t="str">
            <v>RAULSTON MEMORIAL RESEARCH BUILDING</v>
          </cell>
          <cell r="G2085" t="str">
            <v>GAS</v>
          </cell>
          <cell r="H2085">
            <v>8624.64</v>
          </cell>
        </row>
        <row r="2086">
          <cell r="D2086">
            <v>670</v>
          </cell>
          <cell r="E2086" t="str">
            <v>RMR</v>
          </cell>
          <cell r="F2086" t="str">
            <v>RAULSTON MEMORIAL RESEARCH BUILDING</v>
          </cell>
          <cell r="G2086" t="str">
            <v>WATER</v>
          </cell>
          <cell r="H2086">
            <v>1656.34</v>
          </cell>
        </row>
        <row r="2087">
          <cell r="C2087" t="str">
            <v>Bldg#</v>
          </cell>
          <cell r="H2087">
            <v>26566.74</v>
          </cell>
        </row>
        <row r="2094">
          <cell r="D2094" t="str">
            <v>Bldg Desc</v>
          </cell>
          <cell r="E2094" t="str">
            <v>Part Number</v>
          </cell>
          <cell r="F2094" t="str">
            <v>Amount</v>
          </cell>
        </row>
        <row r="2095">
          <cell r="C2095" t="str">
            <v>RRB-EGW-14</v>
          </cell>
          <cell r="D2095">
            <v>1190</v>
          </cell>
          <cell r="E2095" t="str">
            <v>RRB</v>
          </cell>
          <cell r="F2095" t="str">
            <v>ROBERT GLEN RAPP ENGINEERING RESEARCH BUILDING</v>
          </cell>
          <cell r="G2095" t="str">
            <v>ELECTRIC</v>
          </cell>
          <cell r="H2095">
            <v>71911.710000000006</v>
          </cell>
        </row>
        <row r="2096">
          <cell r="D2096">
            <v>1190</v>
          </cell>
          <cell r="E2096" t="str">
            <v>RRB</v>
          </cell>
          <cell r="F2096" t="str">
            <v>ROBERT GLEN RAPP ENGINEERING RESEARCH BUILDING</v>
          </cell>
          <cell r="G2096" t="str">
            <v>GAS</v>
          </cell>
          <cell r="H2096">
            <v>223.28</v>
          </cell>
        </row>
        <row r="2097">
          <cell r="D2097">
            <v>1190</v>
          </cell>
          <cell r="E2097" t="str">
            <v>RRB</v>
          </cell>
          <cell r="F2097" t="str">
            <v>ROBERT GLEN RAPP ENGINEERING RESEARCH BUILDING</v>
          </cell>
          <cell r="G2097" t="str">
            <v>WATER</v>
          </cell>
          <cell r="H2097">
            <v>4036.87</v>
          </cell>
        </row>
        <row r="2098">
          <cell r="C2098" t="str">
            <v>Bldg#</v>
          </cell>
          <cell r="H2098">
            <v>76171.86</v>
          </cell>
        </row>
        <row r="2105">
          <cell r="D2105" t="str">
            <v>Bldg Desc</v>
          </cell>
          <cell r="E2105" t="str">
            <v>Part Number</v>
          </cell>
          <cell r="F2105" t="str">
            <v>Amount</v>
          </cell>
        </row>
        <row r="2106">
          <cell r="C2106" t="str">
            <v>RRI-ELC-14</v>
          </cell>
          <cell r="D2106">
            <v>2910</v>
          </cell>
          <cell r="E2106" t="str">
            <v>RRI</v>
          </cell>
          <cell r="F2106" t="str">
            <v>RAY R. IRANI HALL</v>
          </cell>
          <cell r="G2106" t="str">
            <v>ELECTRIC</v>
          </cell>
          <cell r="H2106">
            <v>841617.44</v>
          </cell>
        </row>
        <row r="2107">
          <cell r="H2107">
            <v>841617.44</v>
          </cell>
        </row>
        <row r="2109">
          <cell r="C2109" t="str">
            <v>Bldg#</v>
          </cell>
        </row>
        <row r="2114">
          <cell r="D2114" t="str">
            <v>Bldg Desc</v>
          </cell>
          <cell r="E2114" t="str">
            <v>Part Number</v>
          </cell>
          <cell r="F2114" t="str">
            <v>Amount</v>
          </cell>
        </row>
        <row r="2115">
          <cell r="C2115" t="str">
            <v>RRI-GAS-14</v>
          </cell>
          <cell r="D2115">
            <v>2910</v>
          </cell>
          <cell r="E2115" t="str">
            <v>RRI</v>
          </cell>
          <cell r="F2115" t="str">
            <v>RAY R. IRANI HALL</v>
          </cell>
          <cell r="G2115" t="str">
            <v>GAS</v>
          </cell>
          <cell r="H2115">
            <v>67673.119999999995</v>
          </cell>
        </row>
        <row r="2116">
          <cell r="H2116">
            <v>67673.119999999995</v>
          </cell>
        </row>
        <row r="2118">
          <cell r="C2118" t="str">
            <v>Bldg#</v>
          </cell>
        </row>
        <row r="2123">
          <cell r="D2123" t="str">
            <v>Bldg Desc</v>
          </cell>
          <cell r="E2123" t="str">
            <v>Part Number</v>
          </cell>
          <cell r="F2123" t="str">
            <v>Amount</v>
          </cell>
        </row>
        <row r="2124">
          <cell r="C2124" t="str">
            <v>RRI-WTR-14</v>
          </cell>
          <cell r="D2124">
            <v>2910</v>
          </cell>
          <cell r="E2124" t="str">
            <v>RRI</v>
          </cell>
          <cell r="F2124" t="str">
            <v>RAY R. IRANI HALL</v>
          </cell>
          <cell r="G2124" t="str">
            <v>WATER</v>
          </cell>
          <cell r="H2124">
            <v>32866.639999999999</v>
          </cell>
        </row>
        <row r="2125">
          <cell r="H2125">
            <v>32866.639999999999</v>
          </cell>
        </row>
        <row r="2127">
          <cell r="C2127" t="str">
            <v>Bldg#</v>
          </cell>
        </row>
        <row r="2132">
          <cell r="D2132" t="str">
            <v>Bldg Desc</v>
          </cell>
          <cell r="E2132" t="str">
            <v>Part Number</v>
          </cell>
          <cell r="F2132" t="str">
            <v>Amount</v>
          </cell>
        </row>
        <row r="2133">
          <cell r="C2133" t="str">
            <v>RTH-ELC-14</v>
          </cell>
          <cell r="D2133">
            <v>2900</v>
          </cell>
          <cell r="E2133" t="str">
            <v>RTH</v>
          </cell>
          <cell r="F2133" t="str">
            <v>RONALD TUTOR HALL OF ENGINEERING</v>
          </cell>
          <cell r="G2133" t="str">
            <v>ELECTRIC</v>
          </cell>
          <cell r="H2133">
            <v>451383.96</v>
          </cell>
        </row>
        <row r="2134">
          <cell r="H2134">
            <v>451383.96</v>
          </cell>
        </row>
        <row r="2136">
          <cell r="C2136" t="str">
            <v>Bldg#</v>
          </cell>
        </row>
        <row r="2141">
          <cell r="D2141" t="str">
            <v>Bldg Desc</v>
          </cell>
          <cell r="E2141" t="str">
            <v>Part Number</v>
          </cell>
          <cell r="F2141" t="str">
            <v>Amount</v>
          </cell>
        </row>
        <row r="2142">
          <cell r="C2142" t="str">
            <v>RTH-GAS-14</v>
          </cell>
          <cell r="D2142">
            <v>2900</v>
          </cell>
          <cell r="E2142" t="str">
            <v>RTH</v>
          </cell>
          <cell r="F2142" t="str">
            <v>RONALD TUTOR HALL OF ENGINEERING</v>
          </cell>
          <cell r="G2142" t="str">
            <v>GAS</v>
          </cell>
          <cell r="H2142">
            <v>24693.41</v>
          </cell>
        </row>
        <row r="2143">
          <cell r="H2143">
            <v>24693.41</v>
          </cell>
        </row>
        <row r="2145">
          <cell r="C2145" t="str">
            <v>Bldg#</v>
          </cell>
        </row>
        <row r="2150">
          <cell r="D2150" t="str">
            <v>Bldg Desc</v>
          </cell>
          <cell r="E2150" t="str">
            <v>Part Number</v>
          </cell>
          <cell r="F2150" t="str">
            <v>Amount</v>
          </cell>
        </row>
        <row r="2151">
          <cell r="C2151" t="str">
            <v>RTH-WTR-14</v>
          </cell>
          <cell r="D2151">
            <v>2900</v>
          </cell>
          <cell r="E2151" t="str">
            <v>RTH</v>
          </cell>
          <cell r="F2151" t="str">
            <v>RONALD TUTOR HALL OF ENGINEERING</v>
          </cell>
          <cell r="G2151" t="str">
            <v>WATER</v>
          </cell>
          <cell r="H2151">
            <v>27502.98</v>
          </cell>
        </row>
        <row r="2152">
          <cell r="H2152">
            <v>27502.98</v>
          </cell>
        </row>
        <row r="2154">
          <cell r="C2154" t="str">
            <v>Bldg#</v>
          </cell>
        </row>
        <row r="2159">
          <cell r="D2159" t="str">
            <v>Bldg Desc</v>
          </cell>
          <cell r="E2159" t="str">
            <v>Part Number</v>
          </cell>
          <cell r="F2159" t="str">
            <v>Amount</v>
          </cell>
        </row>
        <row r="2160">
          <cell r="C2160" t="str">
            <v>RZC-EGW-14</v>
          </cell>
          <cell r="D2160">
            <v>1970</v>
          </cell>
          <cell r="E2160" t="str">
            <v>RZC</v>
          </cell>
          <cell r="F2160" t="str">
            <v>ROBERT ZEMECKIS CENTER FOR DIGITAL ARTS</v>
          </cell>
          <cell r="G2160" t="str">
            <v>ELECTRIC</v>
          </cell>
          <cell r="H2160">
            <v>197114.4</v>
          </cell>
        </row>
        <row r="2161">
          <cell r="D2161">
            <v>1970</v>
          </cell>
          <cell r="E2161" t="str">
            <v>RZC</v>
          </cell>
          <cell r="F2161" t="str">
            <v>ROBERT ZEMECKIS CENTER FOR DIGITAL ARTS</v>
          </cell>
          <cell r="G2161" t="str">
            <v>GAS</v>
          </cell>
          <cell r="H2161">
            <v>13643.71</v>
          </cell>
        </row>
        <row r="2162">
          <cell r="D2162">
            <v>1970</v>
          </cell>
          <cell r="E2162" t="str">
            <v>RZC</v>
          </cell>
          <cell r="F2162" t="str">
            <v>ROBERT ZEMECKIS CENTER FOR DIGITAL ARTS</v>
          </cell>
          <cell r="G2162" t="str">
            <v>WATER</v>
          </cell>
          <cell r="H2162">
            <v>7206.52</v>
          </cell>
        </row>
        <row r="2163">
          <cell r="C2163" t="str">
            <v>Bldg#</v>
          </cell>
          <cell r="H2163">
            <v>217964.63</v>
          </cell>
        </row>
        <row r="2170">
          <cell r="D2170" t="str">
            <v>Bldg Desc</v>
          </cell>
          <cell r="E2170" t="str">
            <v>Part Number</v>
          </cell>
          <cell r="F2170" t="str">
            <v>Amount</v>
          </cell>
        </row>
        <row r="2171">
          <cell r="C2171" t="str">
            <v>SAL-EGW-14</v>
          </cell>
          <cell r="D2171">
            <v>780</v>
          </cell>
          <cell r="E2171" t="str">
            <v>SAL</v>
          </cell>
          <cell r="F2171" t="str">
            <v>HENRY SALVATORI COMPUTER SCIENCE CENTER</v>
          </cell>
          <cell r="G2171" t="str">
            <v>ELECTRIC</v>
          </cell>
          <cell r="H2171">
            <v>90975.03</v>
          </cell>
        </row>
        <row r="2172">
          <cell r="D2172">
            <v>780</v>
          </cell>
          <cell r="E2172" t="str">
            <v>SAL</v>
          </cell>
          <cell r="F2172" t="str">
            <v>HENRY SALVATORI COMPUTER SCIENCE CENTER</v>
          </cell>
          <cell r="G2172" t="str">
            <v>GAS</v>
          </cell>
          <cell r="H2172">
            <v>5385.65</v>
          </cell>
        </row>
        <row r="2173">
          <cell r="D2173">
            <v>780</v>
          </cell>
          <cell r="E2173" t="str">
            <v>SAL</v>
          </cell>
          <cell r="F2173" t="str">
            <v>HENRY SALVATORI COMPUTER SCIENCE CENTER</v>
          </cell>
          <cell r="G2173" t="str">
            <v>WATER</v>
          </cell>
          <cell r="H2173">
            <v>1258.9100000000001</v>
          </cell>
        </row>
        <row r="2174">
          <cell r="C2174" t="str">
            <v>Bldg#</v>
          </cell>
          <cell r="H2174">
            <v>97619.59</v>
          </cell>
        </row>
        <row r="2181">
          <cell r="D2181" t="str">
            <v>Bldg Desc</v>
          </cell>
          <cell r="E2181" t="str">
            <v>Part Number</v>
          </cell>
          <cell r="F2181" t="str">
            <v>Amount</v>
          </cell>
        </row>
        <row r="2182">
          <cell r="C2182" t="str">
            <v>SCA-ELC-14</v>
          </cell>
          <cell r="D2182">
            <v>2940</v>
          </cell>
          <cell r="E2182" t="str">
            <v>SCA</v>
          </cell>
          <cell r="F2182" t="str">
            <v>SCHOOL OF CINEMATIC ARTS</v>
          </cell>
          <cell r="G2182" t="str">
            <v>ELECTRIC</v>
          </cell>
          <cell r="H2182">
            <v>230857.07</v>
          </cell>
        </row>
        <row r="2183">
          <cell r="H2183">
            <v>230857.07</v>
          </cell>
        </row>
        <row r="2185">
          <cell r="C2185" t="str">
            <v>Bldg#</v>
          </cell>
        </row>
        <row r="2190">
          <cell r="D2190" t="str">
            <v>Bldg Desc</v>
          </cell>
          <cell r="E2190" t="str">
            <v>Part Number</v>
          </cell>
          <cell r="F2190" t="str">
            <v>Amount</v>
          </cell>
        </row>
        <row r="2191">
          <cell r="C2191" t="str">
            <v>SCA-NGAS14</v>
          </cell>
          <cell r="D2191">
            <v>2940</v>
          </cell>
          <cell r="E2191" t="str">
            <v>SCA</v>
          </cell>
          <cell r="F2191" t="str">
            <v>SCHOOL OF CINEMATIC ARTS</v>
          </cell>
          <cell r="G2191" t="str">
            <v>GAS</v>
          </cell>
          <cell r="H2191">
            <v>8510.7900000000009</v>
          </cell>
        </row>
        <row r="2192">
          <cell r="H2192">
            <v>8510.7900000000009</v>
          </cell>
        </row>
        <row r="2194">
          <cell r="C2194" t="str">
            <v>Bldg#</v>
          </cell>
        </row>
        <row r="2199">
          <cell r="D2199" t="str">
            <v>Bldg Desc</v>
          </cell>
          <cell r="E2199" t="str">
            <v>Part Number</v>
          </cell>
          <cell r="F2199" t="str">
            <v>Amount</v>
          </cell>
        </row>
        <row r="2200">
          <cell r="C2200" t="str">
            <v>SCA-NWTR14</v>
          </cell>
          <cell r="D2200">
            <v>2940</v>
          </cell>
          <cell r="E2200" t="str">
            <v>SCA</v>
          </cell>
          <cell r="F2200" t="str">
            <v>SCHOOL OF CINEMATIC ARTS</v>
          </cell>
          <cell r="G2200" t="str">
            <v>WATER</v>
          </cell>
          <cell r="H2200">
            <v>6776.02</v>
          </cell>
        </row>
        <row r="2201">
          <cell r="H2201">
            <v>6776.02</v>
          </cell>
        </row>
        <row r="2203">
          <cell r="C2203" t="str">
            <v>Bldg#</v>
          </cell>
        </row>
        <row r="2208">
          <cell r="D2208" t="str">
            <v>Bldg Desc</v>
          </cell>
          <cell r="E2208" t="str">
            <v>Part Number</v>
          </cell>
          <cell r="F2208" t="str">
            <v>Amount</v>
          </cell>
        </row>
        <row r="2209">
          <cell r="C2209" t="str">
            <v>SCB-EGW-14</v>
          </cell>
          <cell r="D2209">
            <v>3120</v>
          </cell>
          <cell r="E2209" t="str">
            <v>SCB</v>
          </cell>
          <cell r="F2209" t="str">
            <v>SCHOOL OF CINEMATAIC ARTS-BUILDING B</v>
          </cell>
          <cell r="G2209" t="str">
            <v>GAS</v>
          </cell>
          <cell r="H2209">
            <v>2152.39</v>
          </cell>
        </row>
        <row r="2210">
          <cell r="H2210">
            <v>2152.39</v>
          </cell>
        </row>
        <row r="2212">
          <cell r="C2212" t="str">
            <v>Bldg#</v>
          </cell>
        </row>
        <row r="2217">
          <cell r="D2217" t="str">
            <v>Bldg Desc</v>
          </cell>
          <cell r="E2217" t="str">
            <v>Part Number</v>
          </cell>
          <cell r="F2217" t="str">
            <v>Amount</v>
          </cell>
        </row>
        <row r="2218">
          <cell r="C2218" t="str">
            <v>SCB-NELC14</v>
          </cell>
          <cell r="D2218">
            <v>3120</v>
          </cell>
          <cell r="E2218" t="str">
            <v>SCB</v>
          </cell>
          <cell r="F2218" t="str">
            <v>SCHOOL OF CINEMATAIC ARTS-BUILDING B</v>
          </cell>
          <cell r="G2218" t="str">
            <v>ELECTRIC</v>
          </cell>
          <cell r="H2218">
            <v>52780.61</v>
          </cell>
        </row>
        <row r="2219">
          <cell r="H2219">
            <v>52780.61</v>
          </cell>
        </row>
        <row r="2221">
          <cell r="C2221" t="str">
            <v>Bldg#</v>
          </cell>
        </row>
        <row r="2226">
          <cell r="D2226" t="str">
            <v>Bldg Desc</v>
          </cell>
          <cell r="E2226" t="str">
            <v>Part Number</v>
          </cell>
          <cell r="F2226" t="str">
            <v>Amount</v>
          </cell>
        </row>
        <row r="2227">
          <cell r="C2227" t="str">
            <v>SCC-NELC14</v>
          </cell>
          <cell r="D2227">
            <v>3130</v>
          </cell>
          <cell r="E2227" t="str">
            <v>SCC</v>
          </cell>
          <cell r="F2227" t="str">
            <v>SCHOOL OF CINEMATIC ARTS-BUILDING C</v>
          </cell>
          <cell r="G2227" t="str">
            <v>ELECTRIC</v>
          </cell>
          <cell r="H2227">
            <v>13349.46</v>
          </cell>
        </row>
        <row r="2228">
          <cell r="H2228">
            <v>13349.46</v>
          </cell>
        </row>
        <row r="2230">
          <cell r="C2230" t="str">
            <v>Bldg#</v>
          </cell>
        </row>
        <row r="2235">
          <cell r="D2235" t="str">
            <v>Bldg Desc</v>
          </cell>
          <cell r="E2235" t="str">
            <v>Part Number</v>
          </cell>
          <cell r="F2235" t="str">
            <v>Amount</v>
          </cell>
        </row>
        <row r="2236">
          <cell r="C2236" t="str">
            <v>SCC-NGAS14</v>
          </cell>
          <cell r="D2236">
            <v>3130</v>
          </cell>
          <cell r="E2236" t="str">
            <v>SCC</v>
          </cell>
          <cell r="F2236" t="str">
            <v>SCHOOL OF CINEMATIC ARTS-BUILDING C</v>
          </cell>
          <cell r="G2236" t="str">
            <v>GAS</v>
          </cell>
          <cell r="H2236">
            <v>678.01</v>
          </cell>
        </row>
        <row r="2237">
          <cell r="H2237">
            <v>678.01</v>
          </cell>
        </row>
        <row r="2239">
          <cell r="C2239" t="str">
            <v>Bldg#</v>
          </cell>
        </row>
        <row r="2244">
          <cell r="D2244" t="str">
            <v>Bldg Desc</v>
          </cell>
          <cell r="E2244" t="str">
            <v>Part Number</v>
          </cell>
          <cell r="F2244" t="str">
            <v>Amount</v>
          </cell>
        </row>
        <row r="2245">
          <cell r="C2245" t="str">
            <v>SCD-EGW-14</v>
          </cell>
          <cell r="D2245">
            <v>200</v>
          </cell>
          <cell r="E2245" t="str">
            <v>SCD</v>
          </cell>
          <cell r="F2245" t="str">
            <v>SCENE DOCK THEATRE</v>
          </cell>
          <cell r="G2245" t="str">
            <v>ELECTRIC</v>
          </cell>
          <cell r="H2245">
            <v>5390.57</v>
          </cell>
        </row>
        <row r="2246">
          <cell r="D2246">
            <v>200</v>
          </cell>
          <cell r="E2246" t="str">
            <v>SCD</v>
          </cell>
          <cell r="F2246" t="str">
            <v>SCENE DOCK THEATRE</v>
          </cell>
          <cell r="G2246" t="str">
            <v>GAS</v>
          </cell>
          <cell r="H2246">
            <v>214.84</v>
          </cell>
        </row>
        <row r="2247">
          <cell r="D2247">
            <v>200</v>
          </cell>
          <cell r="E2247" t="str">
            <v>SCD</v>
          </cell>
          <cell r="F2247" t="str">
            <v>SCENE DOCK THEATRE</v>
          </cell>
          <cell r="G2247" t="str">
            <v>WATER</v>
          </cell>
          <cell r="H2247">
            <v>668.89</v>
          </cell>
        </row>
        <row r="2248">
          <cell r="C2248" t="str">
            <v>Bldg#</v>
          </cell>
          <cell r="H2248">
            <v>6274.3</v>
          </cell>
        </row>
        <row r="2255">
          <cell r="D2255" t="str">
            <v>Bldg Desc</v>
          </cell>
          <cell r="E2255" t="str">
            <v>Part Number</v>
          </cell>
          <cell r="F2255" t="str">
            <v>Amount</v>
          </cell>
        </row>
        <row r="2256">
          <cell r="C2256" t="str">
            <v>SCE-NELC14</v>
          </cell>
          <cell r="D2256">
            <v>3150</v>
          </cell>
          <cell r="E2256" t="str">
            <v>SCE</v>
          </cell>
          <cell r="F2256" t="str">
            <v>SCHOOL OF CINEMATIC ARTS-BUILDING E</v>
          </cell>
          <cell r="G2256" t="str">
            <v>ELECTRIC</v>
          </cell>
          <cell r="H2256">
            <v>9722.52</v>
          </cell>
        </row>
        <row r="2257">
          <cell r="H2257">
            <v>9722.52</v>
          </cell>
        </row>
        <row r="2259">
          <cell r="C2259" t="str">
            <v>Bldg#</v>
          </cell>
        </row>
        <row r="2264">
          <cell r="D2264" t="str">
            <v>Bldg Desc</v>
          </cell>
          <cell r="E2264" t="str">
            <v>Part Number</v>
          </cell>
          <cell r="F2264" t="str">
            <v>Amount</v>
          </cell>
        </row>
        <row r="2265">
          <cell r="C2265" t="str">
            <v>SCE-NGAS14</v>
          </cell>
          <cell r="D2265">
            <v>3150</v>
          </cell>
          <cell r="E2265" t="str">
            <v>SCE</v>
          </cell>
          <cell r="F2265" t="str">
            <v>SCHOOL OF CINEMATIC ARTS-BUILDING E</v>
          </cell>
          <cell r="G2265" t="str">
            <v>GAS</v>
          </cell>
          <cell r="H2265">
            <v>406.81</v>
          </cell>
        </row>
        <row r="2266">
          <cell r="H2266">
            <v>406.81</v>
          </cell>
        </row>
        <row r="2268">
          <cell r="C2268" t="str">
            <v>Bldg#</v>
          </cell>
        </row>
        <row r="2273">
          <cell r="D2273" t="str">
            <v>Bldg Desc</v>
          </cell>
          <cell r="E2273" t="str">
            <v>Part Number</v>
          </cell>
          <cell r="F2273" t="str">
            <v>Amount</v>
          </cell>
        </row>
        <row r="2274">
          <cell r="C2274" t="str">
            <v>SCE-NWTR14</v>
          </cell>
          <cell r="D2274">
            <v>3150</v>
          </cell>
          <cell r="E2274" t="str">
            <v>SCE</v>
          </cell>
          <cell r="F2274" t="str">
            <v>SCHOOL OF CINEMATIC ARTS-BUILDING E</v>
          </cell>
          <cell r="G2274" t="str">
            <v>WATER</v>
          </cell>
          <cell r="H2274">
            <v>1157.22</v>
          </cell>
        </row>
        <row r="2275">
          <cell r="H2275">
            <v>1157.22</v>
          </cell>
        </row>
        <row r="2277">
          <cell r="C2277" t="str">
            <v>Bldg#</v>
          </cell>
        </row>
        <row r="2282">
          <cell r="D2282" t="str">
            <v>Bldg Desc</v>
          </cell>
          <cell r="E2282" t="str">
            <v>Part Number</v>
          </cell>
          <cell r="F2282" t="str">
            <v>Amount</v>
          </cell>
        </row>
        <row r="2283">
          <cell r="C2283" t="str">
            <v>SCI-NELC14</v>
          </cell>
          <cell r="D2283">
            <v>3280</v>
          </cell>
          <cell r="E2283" t="str">
            <v>SCI</v>
          </cell>
          <cell r="F2283" t="str">
            <v>SCHOOL OF CINEMATIC ARTS BUILDING "I".</v>
          </cell>
          <cell r="G2283" t="str">
            <v>ELECTRIC</v>
          </cell>
          <cell r="H2283">
            <v>408113.82</v>
          </cell>
        </row>
        <row r="2284">
          <cell r="H2284">
            <v>408113.82</v>
          </cell>
        </row>
        <row r="2286">
          <cell r="C2286" t="str">
            <v>Bldg#</v>
          </cell>
        </row>
        <row r="2291">
          <cell r="D2291" t="str">
            <v>Bldg Desc</v>
          </cell>
          <cell r="E2291" t="str">
            <v>Part Number</v>
          </cell>
          <cell r="F2291" t="str">
            <v>Amount</v>
          </cell>
        </row>
        <row r="2292">
          <cell r="C2292" t="str">
            <v>SCI-NWTR14</v>
          </cell>
          <cell r="D2292">
            <v>3280</v>
          </cell>
          <cell r="E2292" t="str">
            <v>SCI</v>
          </cell>
          <cell r="F2292" t="str">
            <v>SCHOOL OF CINEMATIC ARTS BUILDING "I".</v>
          </cell>
          <cell r="G2292" t="str">
            <v>WATER</v>
          </cell>
          <cell r="H2292">
            <v>505.26</v>
          </cell>
        </row>
        <row r="2293">
          <cell r="H2293">
            <v>505.26</v>
          </cell>
        </row>
        <row r="2300">
          <cell r="D2300" t="str">
            <v>Bldg Desc</v>
          </cell>
          <cell r="E2300" t="str">
            <v>Part Number</v>
          </cell>
          <cell r="F2300" t="str">
            <v>Amount</v>
          </cell>
        </row>
        <row r="2301">
          <cell r="C2301" t="str">
            <v>SCX-NELC14</v>
          </cell>
          <cell r="D2301">
            <v>3140</v>
          </cell>
          <cell r="E2301" t="str">
            <v>SCX</v>
          </cell>
          <cell r="F2301" t="str">
            <v>SCHOOL OF CINEMATIC ARTS-BUILDING D</v>
          </cell>
          <cell r="G2301" t="str">
            <v>ELECTRIC</v>
          </cell>
          <cell r="H2301">
            <v>15904.54</v>
          </cell>
        </row>
        <row r="2302">
          <cell r="H2302">
            <v>15904.54</v>
          </cell>
        </row>
        <row r="2304">
          <cell r="C2304" t="str">
            <v>Bldg#</v>
          </cell>
        </row>
        <row r="2309">
          <cell r="D2309" t="str">
            <v>Bldg Desc</v>
          </cell>
          <cell r="E2309" t="str">
            <v>Part Number</v>
          </cell>
          <cell r="F2309" t="str">
            <v>Amount</v>
          </cell>
        </row>
        <row r="2310">
          <cell r="C2310" t="str">
            <v>SCX-NGAS14</v>
          </cell>
          <cell r="D2310">
            <v>3140</v>
          </cell>
          <cell r="E2310" t="str">
            <v>SCX</v>
          </cell>
          <cell r="F2310" t="str">
            <v>SCHOOL OF CINEMATIC ARTS-BUILDING D</v>
          </cell>
          <cell r="G2310" t="str">
            <v>GAS</v>
          </cell>
          <cell r="H2310">
            <v>491.55</v>
          </cell>
        </row>
        <row r="2311">
          <cell r="H2311">
            <v>491.55</v>
          </cell>
        </row>
        <row r="2313">
          <cell r="C2313" t="str">
            <v>Bldg#</v>
          </cell>
        </row>
        <row r="2318">
          <cell r="D2318" t="str">
            <v>Bldg Desc</v>
          </cell>
          <cell r="E2318" t="str">
            <v>Part Number</v>
          </cell>
          <cell r="F2318" t="str">
            <v>Amount</v>
          </cell>
        </row>
        <row r="2319">
          <cell r="C2319" t="str">
            <v>SCX-NWTR14</v>
          </cell>
          <cell r="D2319">
            <v>3140</v>
          </cell>
          <cell r="E2319" t="str">
            <v>SCX</v>
          </cell>
          <cell r="F2319" t="str">
            <v>SCHOOL OF CINEMATIC ARTS-BUILDING D</v>
          </cell>
          <cell r="G2319" t="str">
            <v>WATER</v>
          </cell>
          <cell r="H2319">
            <v>283.72000000000003</v>
          </cell>
        </row>
        <row r="2320">
          <cell r="H2320">
            <v>283.72000000000003</v>
          </cell>
        </row>
        <row r="2322">
          <cell r="C2322" t="str">
            <v>Bldg#</v>
          </cell>
        </row>
        <row r="2327">
          <cell r="D2327" t="str">
            <v>Bldg Desc</v>
          </cell>
          <cell r="E2327" t="str">
            <v>Part Number</v>
          </cell>
          <cell r="F2327" t="str">
            <v>Amount</v>
          </cell>
        </row>
        <row r="2328">
          <cell r="C2328" t="str">
            <v>SGM-EGW-14</v>
          </cell>
          <cell r="D2328">
            <v>1060</v>
          </cell>
          <cell r="E2328" t="str">
            <v>SGM</v>
          </cell>
          <cell r="F2328" t="str">
            <v>SEELEY G. MUDD BUILDING</v>
          </cell>
          <cell r="G2328" t="str">
            <v>ELECTRIC</v>
          </cell>
          <cell r="H2328">
            <v>421196.28</v>
          </cell>
        </row>
        <row r="2329">
          <cell r="D2329">
            <v>1060</v>
          </cell>
          <cell r="E2329" t="str">
            <v>SGM</v>
          </cell>
          <cell r="F2329" t="str">
            <v>SEELEY G. MUDD BUILDING</v>
          </cell>
          <cell r="G2329" t="str">
            <v>GAS</v>
          </cell>
          <cell r="H2329">
            <v>32807.910000000003</v>
          </cell>
        </row>
        <row r="2330">
          <cell r="D2330">
            <v>1060</v>
          </cell>
          <cell r="E2330" t="str">
            <v>SGM</v>
          </cell>
          <cell r="F2330" t="str">
            <v>SEELEY G. MUDD BUILDING</v>
          </cell>
          <cell r="G2330" t="str">
            <v>WATER</v>
          </cell>
          <cell r="H2330">
            <v>36155</v>
          </cell>
        </row>
        <row r="2331">
          <cell r="C2331" t="str">
            <v>Bldg#</v>
          </cell>
          <cell r="H2331">
            <v>490159.2</v>
          </cell>
        </row>
        <row r="2338">
          <cell r="D2338" t="str">
            <v>Bldg Desc</v>
          </cell>
          <cell r="E2338" t="str">
            <v>Part Number</v>
          </cell>
          <cell r="F2338" t="str">
            <v>Amount</v>
          </cell>
        </row>
        <row r="2339">
          <cell r="C2339" t="str">
            <v>SHC-EGW-14</v>
          </cell>
          <cell r="D2339">
            <v>310</v>
          </cell>
          <cell r="E2339" t="str">
            <v>SHC</v>
          </cell>
          <cell r="F2339" t="str">
            <v>CLAIRE ZELLERBACH SARONI STUDENT HEALTH CENTER</v>
          </cell>
          <cell r="G2339" t="str">
            <v>ELECTRIC</v>
          </cell>
          <cell r="H2339">
            <v>1153.5899999999999</v>
          </cell>
        </row>
        <row r="2340">
          <cell r="D2340">
            <v>310</v>
          </cell>
          <cell r="E2340" t="str">
            <v>SHC</v>
          </cell>
          <cell r="F2340" t="str">
            <v>CLAIRE ZELLERBACH SARONI STUDENT HEALTH CENTER</v>
          </cell>
          <cell r="G2340" t="str">
            <v>GAS</v>
          </cell>
          <cell r="H2340">
            <v>0</v>
          </cell>
        </row>
        <row r="2341">
          <cell r="D2341">
            <v>310</v>
          </cell>
          <cell r="E2341" t="str">
            <v>SHC</v>
          </cell>
          <cell r="F2341" t="str">
            <v>CLAIRE ZELLERBACH SARONI STUDENT HEALTH CENTER</v>
          </cell>
          <cell r="G2341" t="str">
            <v>WATER</v>
          </cell>
          <cell r="H2341">
            <v>9351.4</v>
          </cell>
        </row>
        <row r="2342">
          <cell r="C2342" t="str">
            <v>Bldg#</v>
          </cell>
          <cell r="H2342">
            <v>10504.99</v>
          </cell>
        </row>
        <row r="2349">
          <cell r="D2349" t="str">
            <v>Bldg Desc</v>
          </cell>
          <cell r="E2349" t="str">
            <v>Part Number</v>
          </cell>
          <cell r="F2349" t="str">
            <v>Amount</v>
          </cell>
        </row>
        <row r="2350">
          <cell r="C2350" t="str">
            <v>SHS-EGW-14</v>
          </cell>
          <cell r="D2350">
            <v>1340</v>
          </cell>
          <cell r="E2350" t="str">
            <v>SHS</v>
          </cell>
          <cell r="F2350" t="str">
            <v>JOHN STAUFFER HALL OF SCIENCE</v>
          </cell>
          <cell r="G2350" t="str">
            <v>ELECTRIC</v>
          </cell>
          <cell r="H2350">
            <v>100757.27</v>
          </cell>
        </row>
        <row r="2351">
          <cell r="D2351">
            <v>1340</v>
          </cell>
          <cell r="E2351" t="str">
            <v>SHS</v>
          </cell>
          <cell r="F2351" t="str">
            <v>JOHN STAUFFER HALL OF SCIENCE</v>
          </cell>
          <cell r="G2351" t="str">
            <v>GAS</v>
          </cell>
          <cell r="H2351">
            <v>5855.58</v>
          </cell>
        </row>
        <row r="2352">
          <cell r="D2352">
            <v>1340</v>
          </cell>
          <cell r="E2352" t="str">
            <v>SHS</v>
          </cell>
          <cell r="F2352" t="str">
            <v>JOHN STAUFFER HALL OF SCIENCE</v>
          </cell>
          <cell r="G2352" t="str">
            <v>WATER</v>
          </cell>
          <cell r="H2352">
            <v>6476.76</v>
          </cell>
        </row>
        <row r="2353">
          <cell r="C2353" t="str">
            <v>Bldg#</v>
          </cell>
          <cell r="H2353">
            <v>113089.61</v>
          </cell>
        </row>
        <row r="2360">
          <cell r="D2360" t="str">
            <v>Bldg Desc</v>
          </cell>
          <cell r="E2360" t="str">
            <v>Part Number</v>
          </cell>
          <cell r="F2360" t="str">
            <v>Amount</v>
          </cell>
        </row>
        <row r="2361">
          <cell r="C2361" t="str">
            <v>SLH-EGW-14</v>
          </cell>
          <cell r="D2361">
            <v>1350</v>
          </cell>
          <cell r="E2361" t="str">
            <v>SLH</v>
          </cell>
          <cell r="F2361" t="str">
            <v>JOHN STAUFFER SCIENCE LECTURE HALL</v>
          </cell>
          <cell r="G2361" t="str">
            <v>ELECTRIC</v>
          </cell>
          <cell r="H2361">
            <v>17822.73</v>
          </cell>
        </row>
        <row r="2362">
          <cell r="D2362">
            <v>1350</v>
          </cell>
          <cell r="E2362" t="str">
            <v>SLH</v>
          </cell>
          <cell r="F2362" t="str">
            <v>JOHN STAUFFER SCIENCE LECTURE HALL</v>
          </cell>
          <cell r="G2362" t="str">
            <v>GAS</v>
          </cell>
          <cell r="H2362">
            <v>1171.26</v>
          </cell>
        </row>
        <row r="2363">
          <cell r="D2363">
            <v>1350</v>
          </cell>
          <cell r="E2363" t="str">
            <v>SLH</v>
          </cell>
          <cell r="F2363" t="str">
            <v>JOHN STAUFFER SCIENCE LECTURE HALL</v>
          </cell>
          <cell r="G2363" t="str">
            <v>WATER</v>
          </cell>
          <cell r="H2363">
            <v>2342.52</v>
          </cell>
        </row>
        <row r="2364">
          <cell r="C2364" t="str">
            <v>Bldg#</v>
          </cell>
          <cell r="H2364">
            <v>21336.51</v>
          </cell>
        </row>
        <row r="2371">
          <cell r="D2371" t="str">
            <v>Bldg Desc</v>
          </cell>
          <cell r="E2371" t="str">
            <v>Part Number</v>
          </cell>
          <cell r="F2371" t="str">
            <v>Amount</v>
          </cell>
        </row>
        <row r="2372">
          <cell r="C2372" t="str">
            <v>SMF-ELC-14</v>
          </cell>
          <cell r="D2372">
            <v>5090</v>
          </cell>
          <cell r="E2372" t="str">
            <v>SMF</v>
          </cell>
          <cell r="F2372" t="str">
            <v>SONI MCALISTER FIELD</v>
          </cell>
          <cell r="G2372" t="str">
            <v>ELECTRIC</v>
          </cell>
          <cell r="H2372">
            <v>3886.25</v>
          </cell>
        </row>
        <row r="2373">
          <cell r="H2373">
            <v>3886.25</v>
          </cell>
        </row>
        <row r="2375">
          <cell r="C2375" t="str">
            <v>Bldg#</v>
          </cell>
        </row>
        <row r="2380">
          <cell r="D2380" t="str">
            <v>Bldg Desc</v>
          </cell>
          <cell r="E2380" t="str">
            <v>Part Number</v>
          </cell>
          <cell r="F2380" t="str">
            <v>Amount</v>
          </cell>
        </row>
        <row r="2381">
          <cell r="C2381" t="str">
            <v>SMF-WTR-14</v>
          </cell>
          <cell r="D2381">
            <v>5090</v>
          </cell>
          <cell r="E2381" t="str">
            <v>SMF</v>
          </cell>
          <cell r="F2381" t="str">
            <v>SONI MCALISTER FIELD</v>
          </cell>
          <cell r="G2381" t="str">
            <v>WATER</v>
          </cell>
          <cell r="H2381">
            <v>11280.56</v>
          </cell>
        </row>
        <row r="2382">
          <cell r="H2382">
            <v>11280.56</v>
          </cell>
        </row>
        <row r="2384">
          <cell r="C2384" t="str">
            <v>Bldg#</v>
          </cell>
        </row>
        <row r="2389">
          <cell r="D2389" t="str">
            <v>Bldg Desc</v>
          </cell>
          <cell r="E2389" t="str">
            <v>Part Number</v>
          </cell>
          <cell r="F2389" t="str">
            <v>Amount</v>
          </cell>
        </row>
        <row r="2390">
          <cell r="C2390" t="str">
            <v>SOS-EGW-14</v>
          </cell>
          <cell r="D2390">
            <v>31</v>
          </cell>
          <cell r="E2390" t="str">
            <v>SOS</v>
          </cell>
          <cell r="F2390" t="str">
            <v>SOCIAL SCIENCES BUILDING</v>
          </cell>
          <cell r="G2390" t="str">
            <v>ELECTRIC</v>
          </cell>
          <cell r="H2390">
            <v>52201.81</v>
          </cell>
        </row>
        <row r="2391">
          <cell r="D2391">
            <v>31</v>
          </cell>
          <cell r="E2391" t="str">
            <v>SOS</v>
          </cell>
          <cell r="F2391" t="str">
            <v>SOCIAL SCIENCES BUILDING</v>
          </cell>
          <cell r="G2391" t="str">
            <v>GAS</v>
          </cell>
          <cell r="H2391">
            <v>2770.14</v>
          </cell>
        </row>
        <row r="2392">
          <cell r="D2392">
            <v>31</v>
          </cell>
          <cell r="E2392" t="str">
            <v>SOS</v>
          </cell>
          <cell r="F2392" t="str">
            <v>SOCIAL SCIENCES BUILDING</v>
          </cell>
          <cell r="G2392" t="str">
            <v>WATER</v>
          </cell>
          <cell r="H2392">
            <v>5624.67</v>
          </cell>
        </row>
        <row r="2393">
          <cell r="C2393" t="str">
            <v>Bldg#</v>
          </cell>
          <cell r="H2393">
            <v>60596.62</v>
          </cell>
        </row>
        <row r="2400">
          <cell r="D2400" t="str">
            <v>Bldg Desc</v>
          </cell>
          <cell r="E2400" t="str">
            <v>Part Number</v>
          </cell>
          <cell r="F2400" t="str">
            <v>Amount</v>
          </cell>
        </row>
        <row r="2401">
          <cell r="C2401" t="str">
            <v>SRH-EGW-14</v>
          </cell>
          <cell r="D2401">
            <v>1470</v>
          </cell>
          <cell r="E2401" t="str">
            <v>SRH</v>
          </cell>
          <cell r="F2401" t="str">
            <v>BLANCHE &amp; FRANK R. SEAVER STUDENT RESIDENCE HALL</v>
          </cell>
          <cell r="G2401" t="str">
            <v>ELECTRIC</v>
          </cell>
          <cell r="H2401">
            <v>6040.39</v>
          </cell>
        </row>
        <row r="2402">
          <cell r="D2402">
            <v>1470</v>
          </cell>
          <cell r="E2402" t="str">
            <v>SRH</v>
          </cell>
          <cell r="F2402" t="str">
            <v>BLANCHE &amp; FRANK R. SEAVER STUDENT RESIDENCE HALL</v>
          </cell>
          <cell r="G2402" t="str">
            <v>GAS</v>
          </cell>
          <cell r="H2402">
            <v>942.61</v>
          </cell>
        </row>
        <row r="2403">
          <cell r="D2403">
            <v>1470</v>
          </cell>
          <cell r="E2403" t="str">
            <v>SRH</v>
          </cell>
          <cell r="F2403" t="str">
            <v>BLANCHE &amp; FRANK R. SEAVER STUDENT RESIDENCE HALL</v>
          </cell>
          <cell r="G2403" t="str">
            <v>WATER</v>
          </cell>
          <cell r="H2403">
            <v>1167.3</v>
          </cell>
        </row>
        <row r="2404">
          <cell r="C2404" t="str">
            <v>Bldg#</v>
          </cell>
          <cell r="H2404">
            <v>8150.3</v>
          </cell>
        </row>
        <row r="2411">
          <cell r="D2411" t="str">
            <v>Bldg Desc</v>
          </cell>
          <cell r="E2411" t="str">
            <v>Part Number</v>
          </cell>
          <cell r="F2411" t="str">
            <v>Amount</v>
          </cell>
        </row>
        <row r="2412">
          <cell r="C2412" t="str">
            <v>SRHB-ELC14</v>
          </cell>
          <cell r="D2412">
            <v>1470</v>
          </cell>
          <cell r="E2412" t="str">
            <v>SRH</v>
          </cell>
          <cell r="F2412" t="str">
            <v>BLANCHE &amp; FRANK R. SEAVER STUDENT RESIDENCE HALL</v>
          </cell>
          <cell r="G2412" t="str">
            <v>ELECTRIC</v>
          </cell>
          <cell r="H2412">
            <v>17003.02</v>
          </cell>
        </row>
        <row r="2413">
          <cell r="H2413">
            <v>17003.02</v>
          </cell>
        </row>
        <row r="2415">
          <cell r="C2415" t="str">
            <v>Bldg#</v>
          </cell>
        </row>
        <row r="2420">
          <cell r="D2420" t="str">
            <v>Bldg Desc</v>
          </cell>
          <cell r="E2420" t="str">
            <v>Part Number</v>
          </cell>
          <cell r="F2420" t="str">
            <v>Amount</v>
          </cell>
        </row>
        <row r="2421">
          <cell r="C2421" t="str">
            <v>SRHB-GAS14</v>
          </cell>
          <cell r="D2421">
            <v>1470</v>
          </cell>
          <cell r="E2421" t="str">
            <v>SRH</v>
          </cell>
          <cell r="F2421" t="str">
            <v>BLANCHE &amp; FRANK R. SEAVER STUDENT RESIDENCE HALL</v>
          </cell>
          <cell r="G2421" t="str">
            <v>GAS</v>
          </cell>
          <cell r="H2421">
            <v>2466.31</v>
          </cell>
        </row>
        <row r="2422">
          <cell r="H2422">
            <v>2466.31</v>
          </cell>
        </row>
        <row r="2424">
          <cell r="C2424" t="str">
            <v>Bldg#</v>
          </cell>
        </row>
        <row r="2429">
          <cell r="D2429" t="str">
            <v>Bldg Desc</v>
          </cell>
          <cell r="E2429" t="str">
            <v>Part Number</v>
          </cell>
          <cell r="F2429" t="str">
            <v>Amount</v>
          </cell>
        </row>
        <row r="2430">
          <cell r="C2430" t="str">
            <v>SRHB-WTR14</v>
          </cell>
          <cell r="D2430">
            <v>1470</v>
          </cell>
          <cell r="E2430" t="str">
            <v>SRH</v>
          </cell>
          <cell r="F2430" t="str">
            <v>BLANCHE &amp; FRANK R. SEAVER STUDENT RESIDENCE HALL</v>
          </cell>
          <cell r="G2430" t="str">
            <v>WATER</v>
          </cell>
          <cell r="H2430">
            <v>3054.2</v>
          </cell>
        </row>
        <row r="2431">
          <cell r="H2431">
            <v>3054.2</v>
          </cell>
        </row>
        <row r="2433">
          <cell r="C2433" t="str">
            <v>Bldg#</v>
          </cell>
        </row>
        <row r="2438">
          <cell r="D2438" t="str">
            <v>Bldg Desc</v>
          </cell>
          <cell r="E2438" t="str">
            <v>Part Number</v>
          </cell>
          <cell r="F2438" t="str">
            <v>Amount</v>
          </cell>
        </row>
        <row r="2439">
          <cell r="C2439" t="str">
            <v>SRHC-ELC14</v>
          </cell>
          <cell r="D2439">
            <v>1470</v>
          </cell>
          <cell r="E2439" t="str">
            <v>SRH</v>
          </cell>
          <cell r="F2439" t="str">
            <v>BLANCHE &amp; FRANK R. SEAVER STUDENT RESIDENCE HALL</v>
          </cell>
          <cell r="G2439" t="str">
            <v>ELECTRIC</v>
          </cell>
          <cell r="H2439">
            <v>40885.03</v>
          </cell>
        </row>
        <row r="2440">
          <cell r="H2440">
            <v>40885.03</v>
          </cell>
        </row>
        <row r="2442">
          <cell r="C2442" t="str">
            <v>Bldg#</v>
          </cell>
        </row>
        <row r="2447">
          <cell r="D2447" t="str">
            <v>Bldg Desc</v>
          </cell>
          <cell r="E2447" t="str">
            <v>Part Number</v>
          </cell>
          <cell r="F2447" t="str">
            <v>Amount</v>
          </cell>
        </row>
        <row r="2448">
          <cell r="C2448" t="str">
            <v>SRHC-GAS14</v>
          </cell>
          <cell r="D2448">
            <v>1470</v>
          </cell>
          <cell r="E2448" t="str">
            <v>SRH</v>
          </cell>
          <cell r="F2448" t="str">
            <v>BLANCHE &amp; FRANK R. SEAVER STUDENT RESIDENCE HALL</v>
          </cell>
          <cell r="G2448" t="str">
            <v>GAS</v>
          </cell>
          <cell r="H2448">
            <v>3838.84</v>
          </cell>
        </row>
        <row r="2449">
          <cell r="H2449">
            <v>3838.84</v>
          </cell>
        </row>
        <row r="2451">
          <cell r="C2451" t="str">
            <v>Bldg#</v>
          </cell>
        </row>
        <row r="2456">
          <cell r="D2456" t="str">
            <v>Bldg Desc</v>
          </cell>
          <cell r="E2456" t="str">
            <v>Part Number</v>
          </cell>
          <cell r="F2456" t="str">
            <v>Amount</v>
          </cell>
        </row>
        <row r="2457">
          <cell r="C2457" t="str">
            <v>SRHC-WTR14</v>
          </cell>
          <cell r="D2457">
            <v>1470</v>
          </cell>
          <cell r="E2457" t="str">
            <v>SRH</v>
          </cell>
          <cell r="F2457" t="str">
            <v>BLANCHE &amp; FRANK R. SEAVER STUDENT RESIDENCE HALL</v>
          </cell>
          <cell r="G2457" t="str">
            <v>WATER</v>
          </cell>
          <cell r="H2457">
            <v>4752.87</v>
          </cell>
        </row>
        <row r="2458">
          <cell r="H2458">
            <v>4752.87</v>
          </cell>
        </row>
        <row r="2460">
          <cell r="C2460" t="str">
            <v>Bldg#</v>
          </cell>
        </row>
        <row r="2465">
          <cell r="D2465" t="str">
            <v>Bldg Desc</v>
          </cell>
          <cell r="E2465" t="str">
            <v>Part Number</v>
          </cell>
          <cell r="F2465" t="str">
            <v>Amount</v>
          </cell>
        </row>
        <row r="2466">
          <cell r="C2466" t="str">
            <v>SRHF-GAS14</v>
          </cell>
          <cell r="D2466">
            <v>1470</v>
          </cell>
          <cell r="E2466" t="str">
            <v>SRH</v>
          </cell>
          <cell r="F2466" t="str">
            <v>BLANCHE &amp; FRANK R. SEAVER STUDENT RESIDENCE HALL</v>
          </cell>
          <cell r="G2466" t="str">
            <v>GAS</v>
          </cell>
          <cell r="H2466">
            <v>1279.6099999999999</v>
          </cell>
        </row>
        <row r="2467">
          <cell r="H2467">
            <v>1279.6099999999999</v>
          </cell>
        </row>
        <row r="2469">
          <cell r="C2469" t="str">
            <v>Bldg#</v>
          </cell>
        </row>
        <row r="2474">
          <cell r="D2474" t="str">
            <v>Bldg Desc</v>
          </cell>
          <cell r="E2474" t="str">
            <v>Part Number</v>
          </cell>
          <cell r="F2474" t="str">
            <v>Amount</v>
          </cell>
        </row>
        <row r="2475">
          <cell r="C2475" t="str">
            <v>SRHF-WTR14</v>
          </cell>
          <cell r="D2475">
            <v>1470</v>
          </cell>
          <cell r="E2475" t="str">
            <v>SRH</v>
          </cell>
          <cell r="F2475" t="str">
            <v>BLANCHE &amp; FRANK R. SEAVER STUDENT RESIDENCE HALL</v>
          </cell>
          <cell r="G2475" t="str">
            <v>WATER</v>
          </cell>
          <cell r="H2475">
            <v>1583.59</v>
          </cell>
        </row>
        <row r="2476">
          <cell r="H2476">
            <v>1583.59</v>
          </cell>
        </row>
        <row r="2478">
          <cell r="C2478" t="str">
            <v>Bldg#</v>
          </cell>
        </row>
        <row r="2483">
          <cell r="D2483" t="str">
            <v>Bldg Desc</v>
          </cell>
          <cell r="E2483" t="str">
            <v>Part Number</v>
          </cell>
          <cell r="F2483" t="str">
            <v>Amount</v>
          </cell>
        </row>
        <row r="2484">
          <cell r="C2484" t="str">
            <v xml:space="preserve">SRHR-ELC14 </v>
          </cell>
          <cell r="D2484">
            <v>1470</v>
          </cell>
          <cell r="E2484" t="str">
            <v>SRH</v>
          </cell>
          <cell r="F2484" t="str">
            <v>BLANCHE &amp; FRANK R. SEAVER STUDENT RESIDENCE HALL</v>
          </cell>
          <cell r="G2484" t="str">
            <v>ELECTRIC</v>
          </cell>
          <cell r="H2484">
            <v>57608.51</v>
          </cell>
        </row>
        <row r="2485">
          <cell r="H2485">
            <v>57608.51</v>
          </cell>
        </row>
        <row r="2487">
          <cell r="C2487" t="str">
            <v>Bldg#</v>
          </cell>
        </row>
        <row r="2492">
          <cell r="D2492" t="str">
            <v>Bldg Desc</v>
          </cell>
          <cell r="E2492" t="str">
            <v>Part Number</v>
          </cell>
          <cell r="F2492" t="str">
            <v>Amount</v>
          </cell>
        </row>
        <row r="2493">
          <cell r="C2493" t="str">
            <v>SRHR-GAS14</v>
          </cell>
          <cell r="D2493">
            <v>1470</v>
          </cell>
          <cell r="E2493" t="str">
            <v>SRH</v>
          </cell>
          <cell r="F2493" t="str">
            <v>BLANCHE &amp; FRANK R. SEAVER STUDENT RESIDENCE HALL</v>
          </cell>
          <cell r="G2493" t="str">
            <v>GAS</v>
          </cell>
          <cell r="H2493">
            <v>8365.23</v>
          </cell>
        </row>
        <row r="2494">
          <cell r="H2494">
            <v>8365.23</v>
          </cell>
        </row>
        <row r="2496">
          <cell r="C2496" t="str">
            <v>Bldg#</v>
          </cell>
        </row>
        <row r="2501">
          <cell r="D2501" t="str">
            <v>Bldg Desc</v>
          </cell>
          <cell r="E2501" t="str">
            <v>Part Number</v>
          </cell>
          <cell r="F2501" t="str">
            <v>Amount</v>
          </cell>
        </row>
        <row r="2502">
          <cell r="C2502" t="str">
            <v>SRHR-WTR14</v>
          </cell>
          <cell r="D2502">
            <v>1470</v>
          </cell>
          <cell r="E2502" t="str">
            <v>SRH</v>
          </cell>
          <cell r="F2502" t="str">
            <v>BLANCHE &amp; FRANK R. SEAVER STUDENT RESIDENCE HALL</v>
          </cell>
          <cell r="G2502" t="str">
            <v>WATER</v>
          </cell>
          <cell r="H2502">
            <v>10361.33</v>
          </cell>
        </row>
        <row r="2503">
          <cell r="H2503">
            <v>10361.33</v>
          </cell>
        </row>
        <row r="2505">
          <cell r="C2505" t="str">
            <v>Bldg#</v>
          </cell>
        </row>
        <row r="2510">
          <cell r="D2510" t="str">
            <v>Bldg Desc</v>
          </cell>
          <cell r="E2510" t="str">
            <v>Part Number</v>
          </cell>
          <cell r="F2510" t="str">
            <v>Amount</v>
          </cell>
        </row>
        <row r="2511">
          <cell r="C2511" t="str">
            <v>SSB-EGW-14</v>
          </cell>
          <cell r="D2511">
            <v>2350</v>
          </cell>
          <cell r="E2511" t="str">
            <v>SSB</v>
          </cell>
          <cell r="F2511" t="str">
            <v>SOTO STREET BUILDING</v>
          </cell>
          <cell r="G2511" t="str">
            <v>ELECTRIC</v>
          </cell>
          <cell r="H2511">
            <v>379099.77</v>
          </cell>
        </row>
        <row r="2512">
          <cell r="D2512">
            <v>2350</v>
          </cell>
          <cell r="E2512" t="str">
            <v>SSB</v>
          </cell>
          <cell r="F2512" t="str">
            <v>SOTO STREET BUILDING</v>
          </cell>
          <cell r="G2512" t="str">
            <v>GAS</v>
          </cell>
          <cell r="H2512">
            <v>6554.65</v>
          </cell>
        </row>
        <row r="2513">
          <cell r="D2513">
            <v>2350</v>
          </cell>
          <cell r="E2513" t="str">
            <v>SSB</v>
          </cell>
          <cell r="F2513" t="str">
            <v>SOTO STREET BUILDING</v>
          </cell>
          <cell r="G2513" t="str">
            <v>WATER</v>
          </cell>
          <cell r="H2513">
            <v>16695.09</v>
          </cell>
        </row>
        <row r="2514">
          <cell r="C2514" t="str">
            <v>Bldg#</v>
          </cell>
          <cell r="H2514">
            <v>402349.51</v>
          </cell>
        </row>
        <row r="2521">
          <cell r="D2521" t="str">
            <v>Bldg Desc</v>
          </cell>
          <cell r="E2521" t="str">
            <v>Part Number</v>
          </cell>
          <cell r="F2521" t="str">
            <v>Amount</v>
          </cell>
        </row>
        <row r="2522">
          <cell r="C2522" t="str">
            <v>SSC-EGW-14</v>
          </cell>
          <cell r="D2522">
            <v>480</v>
          </cell>
          <cell r="E2522" t="str">
            <v>SSC</v>
          </cell>
          <cell r="F2522" t="str">
            <v>FRANK R. SEAVER SCIENCE CENTER</v>
          </cell>
          <cell r="G2522" t="str">
            <v>ELECTRIC</v>
          </cell>
          <cell r="H2522">
            <v>355435.68</v>
          </cell>
        </row>
        <row r="2523">
          <cell r="D2523">
            <v>480</v>
          </cell>
          <cell r="E2523" t="str">
            <v>SSC</v>
          </cell>
          <cell r="F2523" t="str">
            <v>FRANK R. SEAVER SCIENCE CENTER</v>
          </cell>
          <cell r="G2523" t="str">
            <v>GAS</v>
          </cell>
          <cell r="H2523">
            <v>25592.89</v>
          </cell>
        </row>
        <row r="2524">
          <cell r="D2524">
            <v>480</v>
          </cell>
          <cell r="E2524" t="str">
            <v>SSC</v>
          </cell>
          <cell r="F2524" t="str">
            <v>FRANK R. SEAVER SCIENCE CENTER</v>
          </cell>
          <cell r="G2524" t="str">
            <v>WATER</v>
          </cell>
          <cell r="H2524">
            <v>32614.13</v>
          </cell>
        </row>
        <row r="2525">
          <cell r="C2525" t="str">
            <v>Bldg#</v>
          </cell>
          <cell r="H2525">
            <v>413642.7</v>
          </cell>
        </row>
        <row r="2532">
          <cell r="D2532" t="str">
            <v>Bldg Desc</v>
          </cell>
          <cell r="E2532" t="str">
            <v>Part Number</v>
          </cell>
          <cell r="F2532" t="str">
            <v>Amount</v>
          </cell>
        </row>
        <row r="2533">
          <cell r="C2533" t="str">
            <v>SSC1-EG-14</v>
          </cell>
          <cell r="D2533">
            <v>481</v>
          </cell>
          <cell r="E2533" t="str">
            <v>SSC1</v>
          </cell>
          <cell r="F2533" t="str">
            <v>SSC CHILLER PLANT</v>
          </cell>
          <cell r="G2533" t="str">
            <v>ELECTRIC</v>
          </cell>
          <cell r="H2533">
            <v>62554.58</v>
          </cell>
        </row>
        <row r="2534">
          <cell r="H2534">
            <v>62554.58</v>
          </cell>
        </row>
        <row r="2536">
          <cell r="C2536" t="str">
            <v>Bldg#</v>
          </cell>
        </row>
        <row r="2541">
          <cell r="D2541" t="str">
            <v>Bldg Desc</v>
          </cell>
          <cell r="E2541" t="str">
            <v>Part Number</v>
          </cell>
          <cell r="F2541" t="str">
            <v>Amount</v>
          </cell>
        </row>
        <row r="2542">
          <cell r="C2542" t="str">
            <v>SSH-EGW-14</v>
          </cell>
          <cell r="D2542">
            <v>2340</v>
          </cell>
          <cell r="E2542" t="str">
            <v>SSH</v>
          </cell>
          <cell r="F2542" t="str">
            <v>SEVERANCE STREET HOUSE</v>
          </cell>
          <cell r="G2542" t="str">
            <v>GAS</v>
          </cell>
          <cell r="H2542">
            <v>37.25</v>
          </cell>
        </row>
        <row r="2543">
          <cell r="H2543">
            <v>37.25</v>
          </cell>
        </row>
        <row r="2545">
          <cell r="C2545" t="str">
            <v>Bldg#</v>
          </cell>
        </row>
        <row r="2550">
          <cell r="D2550" t="str">
            <v>Bldg Desc</v>
          </cell>
          <cell r="E2550" t="str">
            <v>Part Number</v>
          </cell>
          <cell r="F2550" t="str">
            <v>Amount</v>
          </cell>
        </row>
        <row r="2551">
          <cell r="C2551" t="str">
            <v>SSL-EGW-14</v>
          </cell>
          <cell r="D2551">
            <v>490</v>
          </cell>
          <cell r="E2551" t="str">
            <v>SSL</v>
          </cell>
          <cell r="F2551" t="str">
            <v>SEAVER SCIENCE LIBRARY</v>
          </cell>
          <cell r="G2551" t="str">
            <v>ELECTRIC</v>
          </cell>
          <cell r="H2551">
            <v>50982.45</v>
          </cell>
        </row>
        <row r="2552">
          <cell r="D2552">
            <v>490</v>
          </cell>
          <cell r="E2552" t="str">
            <v>SSL</v>
          </cell>
          <cell r="F2552" t="str">
            <v>SEAVER SCIENCE LIBRARY</v>
          </cell>
          <cell r="G2552" t="str">
            <v>GAS</v>
          </cell>
          <cell r="H2552">
            <v>5128</v>
          </cell>
        </row>
        <row r="2553">
          <cell r="D2553">
            <v>490</v>
          </cell>
          <cell r="E2553" t="str">
            <v>SSL</v>
          </cell>
          <cell r="F2553" t="str">
            <v>SEAVER SCIENCE LIBRARY</v>
          </cell>
          <cell r="G2553" t="str">
            <v>WATER</v>
          </cell>
          <cell r="H2553">
            <v>3557.39</v>
          </cell>
        </row>
        <row r="2554">
          <cell r="C2554" t="str">
            <v>Bldg#</v>
          </cell>
          <cell r="H2554">
            <v>59667.839999999997</v>
          </cell>
        </row>
        <row r="2561">
          <cell r="D2561" t="str">
            <v>Bldg Desc</v>
          </cell>
          <cell r="E2561" t="str">
            <v>Part Number</v>
          </cell>
          <cell r="F2561" t="str">
            <v>Amount</v>
          </cell>
        </row>
        <row r="2562">
          <cell r="C2562" t="str">
            <v xml:space="preserve">SSP-ELC-14 </v>
          </cell>
          <cell r="D2562">
            <v>9150</v>
          </cell>
          <cell r="E2562" t="str">
            <v>SSP</v>
          </cell>
          <cell r="F2562" t="str">
            <v>SAN PABLO SURFACE PARKING LOT</v>
          </cell>
          <cell r="G2562" t="str">
            <v>ELECTRIC</v>
          </cell>
          <cell r="H2562">
            <v>12409.5</v>
          </cell>
        </row>
        <row r="2563">
          <cell r="H2563">
            <v>12409.5</v>
          </cell>
        </row>
        <row r="2565">
          <cell r="C2565" t="str">
            <v>Bldg#</v>
          </cell>
        </row>
        <row r="2570">
          <cell r="D2570" t="str">
            <v>Bldg Desc</v>
          </cell>
          <cell r="E2570" t="str">
            <v>Part Number</v>
          </cell>
          <cell r="F2570" t="str">
            <v>Amount</v>
          </cell>
        </row>
        <row r="2571">
          <cell r="C2571" t="str">
            <v xml:space="preserve">SSP-WTR-14 </v>
          </cell>
          <cell r="D2571">
            <v>9150</v>
          </cell>
          <cell r="E2571" t="str">
            <v>SSP</v>
          </cell>
          <cell r="F2571" t="str">
            <v>SAN PABLO SURFACE PARKING LOT</v>
          </cell>
          <cell r="G2571" t="str">
            <v>WATER</v>
          </cell>
          <cell r="H2571">
            <v>17930.71</v>
          </cell>
        </row>
        <row r="2572">
          <cell r="H2572">
            <v>17930.71</v>
          </cell>
        </row>
        <row r="2574">
          <cell r="C2574" t="str">
            <v>Bldg#</v>
          </cell>
        </row>
        <row r="2579">
          <cell r="D2579" t="str">
            <v>Bldg Desc</v>
          </cell>
          <cell r="E2579" t="str">
            <v>Part Number</v>
          </cell>
          <cell r="F2579" t="str">
            <v>Amount</v>
          </cell>
        </row>
        <row r="2580">
          <cell r="C2580" t="str">
            <v xml:space="preserve">SST-NELC14 </v>
          </cell>
          <cell r="D2580">
            <v>3330</v>
          </cell>
          <cell r="E2580" t="str">
            <v>SST</v>
          </cell>
          <cell r="F2580" t="str">
            <v>SOTO STREET BUILDING TWO</v>
          </cell>
          <cell r="G2580" t="str">
            <v>ELECTRIC</v>
          </cell>
          <cell r="H2580">
            <v>61466.12</v>
          </cell>
        </row>
        <row r="2581">
          <cell r="H2581">
            <v>61466.12</v>
          </cell>
        </row>
        <row r="2583">
          <cell r="C2583" t="str">
            <v>Bldg#</v>
          </cell>
        </row>
        <row r="2588">
          <cell r="D2588" t="str">
            <v>Bldg Desc</v>
          </cell>
          <cell r="E2588" t="str">
            <v>Part Number</v>
          </cell>
          <cell r="F2588" t="str">
            <v>Amount</v>
          </cell>
        </row>
        <row r="2589">
          <cell r="C2589" t="str">
            <v>STO-EGW-14</v>
          </cell>
          <cell r="D2589">
            <v>1140</v>
          </cell>
          <cell r="E2589" t="str">
            <v>STO</v>
          </cell>
          <cell r="F2589" t="str">
            <v>STONIER HALL</v>
          </cell>
          <cell r="G2589" t="str">
            <v>ELECTRIC</v>
          </cell>
          <cell r="H2589">
            <v>23143.94</v>
          </cell>
        </row>
        <row r="2590">
          <cell r="D2590">
            <v>1140</v>
          </cell>
          <cell r="E2590" t="str">
            <v>STO</v>
          </cell>
          <cell r="F2590" t="str">
            <v>STONIER HALL</v>
          </cell>
          <cell r="G2590" t="str">
            <v>GAS</v>
          </cell>
          <cell r="H2590">
            <v>4641.41</v>
          </cell>
        </row>
        <row r="2591">
          <cell r="D2591">
            <v>1140</v>
          </cell>
          <cell r="E2591" t="str">
            <v>STO</v>
          </cell>
          <cell r="F2591" t="str">
            <v>STONIER HALL</v>
          </cell>
          <cell r="G2591" t="str">
            <v>WATER</v>
          </cell>
          <cell r="H2591">
            <v>2885.21</v>
          </cell>
        </row>
        <row r="2592">
          <cell r="C2592" t="str">
            <v>Bldg#</v>
          </cell>
          <cell r="H2592">
            <v>30670.560000000001</v>
          </cell>
        </row>
        <row r="2599">
          <cell r="D2599" t="str">
            <v>Bldg Desc</v>
          </cell>
          <cell r="E2599" t="str">
            <v>Part Number</v>
          </cell>
          <cell r="F2599" t="str">
            <v>Amount</v>
          </cell>
        </row>
        <row r="2600">
          <cell r="C2600" t="str">
            <v>STU-EGW-14</v>
          </cell>
          <cell r="D2600">
            <v>890</v>
          </cell>
          <cell r="E2600" t="str">
            <v>STU</v>
          </cell>
          <cell r="F2600" t="str">
            <v>GWYNN WILSON STUDENT UNION</v>
          </cell>
          <cell r="G2600" t="str">
            <v>ELECTRIC</v>
          </cell>
          <cell r="H2600">
            <v>67487.490000000005</v>
          </cell>
        </row>
        <row r="2601">
          <cell r="D2601">
            <v>890</v>
          </cell>
          <cell r="E2601" t="str">
            <v>STU</v>
          </cell>
          <cell r="F2601" t="str">
            <v>GWYNN WILSON STUDENT UNION</v>
          </cell>
          <cell r="G2601" t="str">
            <v>GAS</v>
          </cell>
          <cell r="H2601">
            <v>6255.33</v>
          </cell>
        </row>
        <row r="2602">
          <cell r="D2602">
            <v>890</v>
          </cell>
          <cell r="E2602" t="str">
            <v>STU</v>
          </cell>
          <cell r="F2602" t="str">
            <v>GWYNN WILSON STUDENT UNION</v>
          </cell>
          <cell r="G2602" t="str">
            <v>WATER</v>
          </cell>
          <cell r="H2602">
            <v>6270.9</v>
          </cell>
        </row>
        <row r="2603">
          <cell r="C2603" t="str">
            <v>Bldg#</v>
          </cell>
          <cell r="H2603">
            <v>80013.72</v>
          </cell>
        </row>
        <row r="2610">
          <cell r="D2610" t="str">
            <v>Bldg Desc</v>
          </cell>
          <cell r="E2610" t="str">
            <v>Part Number</v>
          </cell>
          <cell r="F2610" t="str">
            <v>Amount</v>
          </cell>
        </row>
        <row r="2611">
          <cell r="C2611" t="str">
            <v>SWC-EGW-14</v>
          </cell>
          <cell r="D2611">
            <v>2830</v>
          </cell>
          <cell r="E2611" t="str">
            <v>SWC</v>
          </cell>
          <cell r="F2611" t="str">
            <v>SOCIAL WORK CENTER</v>
          </cell>
          <cell r="G2611" t="str">
            <v>ELECTRIC</v>
          </cell>
          <cell r="H2611">
            <v>18012.86</v>
          </cell>
        </row>
        <row r="2612">
          <cell r="H2612">
            <v>18012.86</v>
          </cell>
        </row>
        <row r="2614">
          <cell r="C2614" t="str">
            <v>Bldg#</v>
          </cell>
        </row>
        <row r="2619">
          <cell r="D2619" t="str">
            <v>Bldg Desc</v>
          </cell>
          <cell r="E2619" t="str">
            <v>Part Number</v>
          </cell>
          <cell r="F2619" t="str">
            <v>Amount</v>
          </cell>
        </row>
        <row r="2620">
          <cell r="C2620" t="str">
            <v>TCC-NELC14</v>
          </cell>
          <cell r="D2620">
            <v>3100</v>
          </cell>
          <cell r="E2620" t="str">
            <v>TCC</v>
          </cell>
          <cell r="F2620" t="str">
            <v>RONALD TUTOR CAMPUS CENTER</v>
          </cell>
          <cell r="G2620" t="str">
            <v>ELECTRIC</v>
          </cell>
          <cell r="H2620">
            <v>445469.22</v>
          </cell>
        </row>
        <row r="2621">
          <cell r="H2621">
            <v>445469.22</v>
          </cell>
        </row>
        <row r="2623">
          <cell r="C2623" t="str">
            <v>Bldg#</v>
          </cell>
        </row>
        <row r="2628">
          <cell r="D2628" t="str">
            <v>Bldg Desc</v>
          </cell>
          <cell r="E2628" t="str">
            <v>Part Number</v>
          </cell>
          <cell r="F2628" t="str">
            <v>Amount</v>
          </cell>
        </row>
        <row r="2629">
          <cell r="C2629" t="str">
            <v>TCC-NGAS14</v>
          </cell>
          <cell r="D2629">
            <v>3100</v>
          </cell>
          <cell r="E2629" t="str">
            <v>TCC</v>
          </cell>
          <cell r="F2629" t="str">
            <v>RONALD TUTOR CAMPUS CENTER</v>
          </cell>
          <cell r="G2629" t="str">
            <v>GAS</v>
          </cell>
          <cell r="H2629">
            <v>58098.879999999997</v>
          </cell>
        </row>
        <row r="2630">
          <cell r="H2630">
            <v>58098.879999999997</v>
          </cell>
        </row>
        <row r="2632">
          <cell r="C2632" t="str">
            <v>Bldg#</v>
          </cell>
        </row>
        <row r="2637">
          <cell r="D2637" t="str">
            <v>Bldg Desc</v>
          </cell>
          <cell r="E2637" t="str">
            <v>Part Number</v>
          </cell>
          <cell r="F2637" t="str">
            <v>Amount</v>
          </cell>
        </row>
        <row r="2638">
          <cell r="C2638" t="str">
            <v>TCC-NWTR14</v>
          </cell>
          <cell r="D2638">
            <v>3100</v>
          </cell>
          <cell r="E2638" t="str">
            <v>TCC</v>
          </cell>
          <cell r="F2638" t="str">
            <v>RONALD TUTOR CAMPUS CENTER</v>
          </cell>
          <cell r="G2638" t="str">
            <v>WATER</v>
          </cell>
          <cell r="H2638">
            <v>7986.09</v>
          </cell>
        </row>
        <row r="2639">
          <cell r="H2639">
            <v>7986.09</v>
          </cell>
        </row>
        <row r="2641">
          <cell r="C2641" t="str">
            <v>Bldg#</v>
          </cell>
        </row>
        <row r="2646">
          <cell r="D2646" t="str">
            <v>Bldg Desc</v>
          </cell>
          <cell r="E2646" t="str">
            <v>Part Number</v>
          </cell>
          <cell r="F2646" t="str">
            <v>Amount</v>
          </cell>
        </row>
        <row r="2647">
          <cell r="C2647" t="str">
            <v>TCC1NELC14</v>
          </cell>
          <cell r="D2647">
            <v>3101</v>
          </cell>
          <cell r="E2647" t="str">
            <v>TCC1</v>
          </cell>
          <cell r="F2647" t="str">
            <v>TCC CHILLER PLANT</v>
          </cell>
          <cell r="G2647" t="str">
            <v>ELECTRIC</v>
          </cell>
          <cell r="H2647">
            <v>290365.61</v>
          </cell>
        </row>
        <row r="2648">
          <cell r="H2648">
            <v>290365.61</v>
          </cell>
        </row>
        <row r="2650">
          <cell r="C2650" t="str">
            <v>Bldg#</v>
          </cell>
        </row>
        <row r="2655">
          <cell r="D2655" t="str">
            <v>Bldg Desc</v>
          </cell>
          <cell r="E2655" t="str">
            <v>Part Number</v>
          </cell>
          <cell r="F2655" t="str">
            <v>Amount</v>
          </cell>
        </row>
        <row r="2656">
          <cell r="C2656" t="str">
            <v>TCC2-ELC14</v>
          </cell>
          <cell r="D2656">
            <v>3102</v>
          </cell>
          <cell r="E2656" t="str">
            <v>TCC2</v>
          </cell>
          <cell r="F2656" t="str">
            <v>TCC MECHANICAL EQUIPMENT</v>
          </cell>
          <cell r="G2656" t="str">
            <v>ELECTRIC</v>
          </cell>
          <cell r="H2656">
            <v>73912.62</v>
          </cell>
        </row>
        <row r="2657">
          <cell r="H2657">
            <v>73912.62</v>
          </cell>
        </row>
        <row r="2659">
          <cell r="C2659" t="str">
            <v>Bldg#</v>
          </cell>
        </row>
        <row r="2664">
          <cell r="D2664" t="str">
            <v>Bldg Desc</v>
          </cell>
          <cell r="E2664" t="str">
            <v>Part Number</v>
          </cell>
          <cell r="F2664" t="str">
            <v>Amount</v>
          </cell>
        </row>
        <row r="2665">
          <cell r="C2665" t="str">
            <v>TDF-EGW-14</v>
          </cell>
          <cell r="D2665">
            <v>8010</v>
          </cell>
          <cell r="E2665" t="str">
            <v>TDF</v>
          </cell>
          <cell r="F2665" t="str">
            <v>TEMPORARY DINING FACILITY</v>
          </cell>
          <cell r="G2665" t="str">
            <v>GAS</v>
          </cell>
          <cell r="H2665">
            <v>96.55</v>
          </cell>
        </row>
        <row r="2666">
          <cell r="D2666">
            <v>8010</v>
          </cell>
          <cell r="E2666" t="str">
            <v>TDF</v>
          </cell>
          <cell r="F2666" t="str">
            <v>TEMPORARY DINING FACILITY</v>
          </cell>
          <cell r="G2666" t="str">
            <v>WATER</v>
          </cell>
          <cell r="H2666">
            <v>0</v>
          </cell>
        </row>
        <row r="2667">
          <cell r="H2667">
            <v>96.55</v>
          </cell>
        </row>
        <row r="2668">
          <cell r="C2668" t="str">
            <v>Bldg#</v>
          </cell>
        </row>
        <row r="2674">
          <cell r="D2674" t="str">
            <v>Bldg Desc</v>
          </cell>
          <cell r="E2674" t="str">
            <v>Part Number</v>
          </cell>
          <cell r="F2674" t="str">
            <v>Amount</v>
          </cell>
        </row>
        <row r="2675">
          <cell r="C2675" t="str">
            <v>TES-ELC-14</v>
          </cell>
          <cell r="D2675">
            <v>4070</v>
          </cell>
          <cell r="E2675" t="str">
            <v>TES</v>
          </cell>
          <cell r="F2675" t="str">
            <v>THERMAL ENERGY STORAGE TANK</v>
          </cell>
          <cell r="G2675" t="str">
            <v>ELECTRIC</v>
          </cell>
          <cell r="H2675">
            <v>113229.93</v>
          </cell>
        </row>
        <row r="2676">
          <cell r="H2676">
            <v>113229.93</v>
          </cell>
        </row>
        <row r="2678">
          <cell r="C2678" t="str">
            <v>Bldg#</v>
          </cell>
        </row>
        <row r="2683">
          <cell r="D2683" t="str">
            <v>Bldg Desc</v>
          </cell>
          <cell r="E2683" t="str">
            <v>Part Number</v>
          </cell>
          <cell r="F2683" t="str">
            <v>Amount</v>
          </cell>
        </row>
        <row r="2684">
          <cell r="C2684" t="str">
            <v>TGF-EGW-14</v>
          </cell>
          <cell r="D2684">
            <v>1120</v>
          </cell>
          <cell r="E2684" t="str">
            <v>TGF</v>
          </cell>
          <cell r="F2684" t="str">
            <v>TOWN &amp; GOWN</v>
          </cell>
          <cell r="G2684" t="str">
            <v>ELECTRIC</v>
          </cell>
          <cell r="H2684">
            <v>3826.56</v>
          </cell>
        </row>
        <row r="2685">
          <cell r="D2685">
            <v>1120</v>
          </cell>
          <cell r="E2685" t="str">
            <v>TGF</v>
          </cell>
          <cell r="F2685" t="str">
            <v>TOWN &amp; GOWN</v>
          </cell>
          <cell r="G2685" t="str">
            <v>GAS</v>
          </cell>
          <cell r="H2685">
            <v>0</v>
          </cell>
        </row>
        <row r="2686">
          <cell r="H2686">
            <v>3826.56</v>
          </cell>
        </row>
        <row r="2687">
          <cell r="C2687" t="str">
            <v>Bldg#</v>
          </cell>
        </row>
        <row r="2693">
          <cell r="D2693" t="str">
            <v>Bldg Desc</v>
          </cell>
          <cell r="E2693" t="str">
            <v>Part Number</v>
          </cell>
          <cell r="F2693" t="str">
            <v>Amount</v>
          </cell>
        </row>
        <row r="2694">
          <cell r="C2694" t="str">
            <v>TGF-ELC-14</v>
          </cell>
          <cell r="D2694">
            <v>1120</v>
          </cell>
          <cell r="E2694" t="str">
            <v>TGF</v>
          </cell>
          <cell r="F2694" t="str">
            <v>TOWN &amp; GOWN</v>
          </cell>
          <cell r="G2694" t="str">
            <v>ELECTRIC</v>
          </cell>
          <cell r="H2694">
            <v>20469.060000000001</v>
          </cell>
        </row>
        <row r="2695">
          <cell r="H2695">
            <v>20469.060000000001</v>
          </cell>
        </row>
        <row r="2697">
          <cell r="C2697" t="str">
            <v>Bldg#</v>
          </cell>
        </row>
        <row r="2702">
          <cell r="D2702" t="str">
            <v>Bldg Desc</v>
          </cell>
          <cell r="E2702" t="str">
            <v>Part Number</v>
          </cell>
          <cell r="F2702" t="str">
            <v>Amount</v>
          </cell>
        </row>
        <row r="2703">
          <cell r="C2703" t="str">
            <v>TGF-GAS-14</v>
          </cell>
          <cell r="D2703">
            <v>1120</v>
          </cell>
          <cell r="E2703" t="str">
            <v>TGF</v>
          </cell>
          <cell r="F2703" t="str">
            <v>TOWN &amp; GOWN</v>
          </cell>
          <cell r="G2703" t="str">
            <v>GAS</v>
          </cell>
          <cell r="H2703">
            <v>1395.13</v>
          </cell>
        </row>
        <row r="2704">
          <cell r="H2704">
            <v>1395.13</v>
          </cell>
        </row>
        <row r="2706">
          <cell r="C2706" t="str">
            <v>Bldg#</v>
          </cell>
        </row>
        <row r="2711">
          <cell r="D2711" t="str">
            <v>Bldg Desc</v>
          </cell>
          <cell r="E2711" t="str">
            <v>Part Number</v>
          </cell>
          <cell r="F2711" t="str">
            <v>Amount</v>
          </cell>
        </row>
        <row r="2712">
          <cell r="C2712" t="str">
            <v>TGF-WTR-14</v>
          </cell>
          <cell r="D2712">
            <v>1120</v>
          </cell>
          <cell r="E2712" t="str">
            <v>TGF</v>
          </cell>
          <cell r="F2712" t="str">
            <v>TOWN &amp; GOWN</v>
          </cell>
          <cell r="G2712" t="str">
            <v>WATER</v>
          </cell>
          <cell r="H2712">
            <v>4044.31</v>
          </cell>
        </row>
        <row r="2713">
          <cell r="H2713">
            <v>4044.31</v>
          </cell>
        </row>
        <row r="2715">
          <cell r="C2715" t="str">
            <v>Bldg#</v>
          </cell>
        </row>
        <row r="2720">
          <cell r="D2720" t="str">
            <v>Bldg Desc</v>
          </cell>
          <cell r="E2720" t="str">
            <v>Part Number</v>
          </cell>
          <cell r="F2720" t="str">
            <v>Amount</v>
          </cell>
        </row>
        <row r="2721">
          <cell r="C2721" t="str">
            <v>THH-EGW-14</v>
          </cell>
          <cell r="D2721">
            <v>350</v>
          </cell>
          <cell r="E2721" t="str">
            <v>THH</v>
          </cell>
          <cell r="F2721" t="str">
            <v>MARK TAPER HALL OF HUMANITIES</v>
          </cell>
          <cell r="G2721" t="str">
            <v>ELECTRIC</v>
          </cell>
          <cell r="H2721">
            <v>231568.65</v>
          </cell>
        </row>
        <row r="2722">
          <cell r="D2722">
            <v>350</v>
          </cell>
          <cell r="E2722" t="str">
            <v>THH</v>
          </cell>
          <cell r="F2722" t="str">
            <v>MARK TAPER HALL OF HUMANITIES</v>
          </cell>
          <cell r="G2722" t="str">
            <v>GAS</v>
          </cell>
          <cell r="H2722">
            <v>0</v>
          </cell>
        </row>
        <row r="2723">
          <cell r="D2723">
            <v>350</v>
          </cell>
          <cell r="E2723" t="str">
            <v>THH</v>
          </cell>
          <cell r="F2723" t="str">
            <v>MARK TAPER HALL OF HUMANITIES</v>
          </cell>
          <cell r="G2723" t="str">
            <v>WATER</v>
          </cell>
          <cell r="H2723">
            <v>6233.78</v>
          </cell>
        </row>
        <row r="2724">
          <cell r="C2724" t="str">
            <v>Bldg#</v>
          </cell>
          <cell r="H2724">
            <v>237802.43</v>
          </cell>
        </row>
        <row r="2731">
          <cell r="C2731" t="str">
            <v>TRF-NELC14</v>
          </cell>
          <cell r="D2731" t="str">
            <v>Bldg Desc</v>
          </cell>
          <cell r="E2731" t="str">
            <v>Part Number</v>
          </cell>
          <cell r="F2731" t="str">
            <v>Amount</v>
          </cell>
        </row>
        <row r="2732">
          <cell r="D2732">
            <v>3300</v>
          </cell>
          <cell r="E2732" t="str">
            <v>TRF</v>
          </cell>
          <cell r="F2732" t="str">
            <v>TEMPORARY RESEARCH FACILITY-DORNSIFE</v>
          </cell>
          <cell r="G2732" t="str">
            <v>ELECTRIC</v>
          </cell>
          <cell r="H2732">
            <v>81939.789999999994</v>
          </cell>
        </row>
        <row r="2733">
          <cell r="H2733">
            <v>81939.789999999994</v>
          </cell>
        </row>
        <row r="2734">
          <cell r="C2734" t="str">
            <v>Bldg#</v>
          </cell>
        </row>
        <row r="2740">
          <cell r="C2740" t="str">
            <v>TRO-EGW-14</v>
          </cell>
          <cell r="D2740" t="str">
            <v>Bldg Desc</v>
          </cell>
          <cell r="E2740" t="str">
            <v>Part Number</v>
          </cell>
          <cell r="F2740" t="str">
            <v>Amount</v>
          </cell>
        </row>
        <row r="2741">
          <cell r="D2741">
            <v>1200</v>
          </cell>
          <cell r="E2741" t="str">
            <v>TRO</v>
          </cell>
          <cell r="F2741" t="str">
            <v>TROJAN RESIDENCE HALL</v>
          </cell>
          <cell r="G2741" t="str">
            <v>ELECTRIC</v>
          </cell>
          <cell r="H2741">
            <v>939.88</v>
          </cell>
        </row>
        <row r="2742">
          <cell r="D2742">
            <v>1200</v>
          </cell>
          <cell r="E2742" t="str">
            <v>TRO</v>
          </cell>
          <cell r="F2742" t="str">
            <v>TROJAN RESIDENCE HALL</v>
          </cell>
          <cell r="G2742" t="str">
            <v>GAS</v>
          </cell>
          <cell r="H2742">
            <v>0</v>
          </cell>
        </row>
        <row r="2743">
          <cell r="C2743" t="str">
            <v>Bldg#</v>
          </cell>
          <cell r="H2743">
            <v>939.88</v>
          </cell>
        </row>
        <row r="2750">
          <cell r="D2750" t="str">
            <v>Bldg Desc</v>
          </cell>
          <cell r="E2750" t="str">
            <v>Part Number</v>
          </cell>
          <cell r="F2750" t="str">
            <v>Amount</v>
          </cell>
        </row>
        <row r="2751">
          <cell r="C2751" t="str">
            <v>TRO-ELC-14</v>
          </cell>
          <cell r="D2751">
            <v>1200</v>
          </cell>
          <cell r="E2751" t="str">
            <v>TRO</v>
          </cell>
          <cell r="F2751" t="str">
            <v>TROJAN RESIDENCE HALL</v>
          </cell>
          <cell r="G2751" t="str">
            <v>ELECTRIC</v>
          </cell>
          <cell r="H2751">
            <v>49524.97</v>
          </cell>
        </row>
        <row r="2752">
          <cell r="H2752">
            <v>49524.97</v>
          </cell>
        </row>
        <row r="2754">
          <cell r="C2754" t="str">
            <v>Bldg#</v>
          </cell>
        </row>
        <row r="2759">
          <cell r="D2759" t="str">
            <v>Bldg Desc</v>
          </cell>
          <cell r="E2759" t="str">
            <v>Part Number</v>
          </cell>
          <cell r="F2759" t="str">
            <v>Amount</v>
          </cell>
        </row>
        <row r="2760">
          <cell r="C2760" t="str">
            <v>TRO-GAS-14</v>
          </cell>
          <cell r="D2760">
            <v>1200</v>
          </cell>
          <cell r="E2760" t="str">
            <v>TRO</v>
          </cell>
          <cell r="F2760" t="str">
            <v>TROJAN RESIDENCE HALL</v>
          </cell>
          <cell r="G2760" t="str">
            <v>GAS</v>
          </cell>
          <cell r="H2760">
            <v>3123.61</v>
          </cell>
        </row>
        <row r="2761">
          <cell r="H2761">
            <v>3123.61</v>
          </cell>
        </row>
        <row r="2763">
          <cell r="C2763" t="str">
            <v>Bldg#</v>
          </cell>
        </row>
        <row r="2768">
          <cell r="D2768" t="str">
            <v>Bldg Desc</v>
          </cell>
          <cell r="E2768" t="str">
            <v>Part Number</v>
          </cell>
          <cell r="F2768" t="str">
            <v>Amount</v>
          </cell>
        </row>
        <row r="2769">
          <cell r="C2769" t="str">
            <v>TRO-WTR-14</v>
          </cell>
          <cell r="D2769">
            <v>1200</v>
          </cell>
          <cell r="E2769" t="str">
            <v>TRO</v>
          </cell>
          <cell r="F2769" t="str">
            <v>TROJAN RESIDENCE HALL</v>
          </cell>
          <cell r="G2769" t="str">
            <v>WATER</v>
          </cell>
          <cell r="H2769">
            <v>7582.44</v>
          </cell>
        </row>
        <row r="2770">
          <cell r="H2770">
            <v>7582.44</v>
          </cell>
        </row>
        <row r="2772">
          <cell r="C2772" t="str">
            <v>Bldg#</v>
          </cell>
        </row>
        <row r="2777">
          <cell r="D2777" t="str">
            <v>Bldg Desc</v>
          </cell>
          <cell r="E2777" t="str">
            <v>Part Number</v>
          </cell>
          <cell r="F2777" t="str">
            <v>Amount</v>
          </cell>
        </row>
        <row r="2778">
          <cell r="C2778" t="str">
            <v>TTL-ELC-14</v>
          </cell>
          <cell r="D2778">
            <v>2960</v>
          </cell>
          <cell r="E2778" t="str">
            <v>TTL</v>
          </cell>
          <cell r="F2778" t="str">
            <v>TECHNICAL THEATRE LABORATORY</v>
          </cell>
          <cell r="G2778" t="str">
            <v>ELECTRIC</v>
          </cell>
          <cell r="H2778">
            <v>5410.17</v>
          </cell>
        </row>
        <row r="2779">
          <cell r="H2779">
            <v>5410.17</v>
          </cell>
        </row>
        <row r="2781">
          <cell r="C2781" t="str">
            <v>Bldg#</v>
          </cell>
        </row>
        <row r="2786">
          <cell r="D2786" t="str">
            <v>Bldg Desc</v>
          </cell>
          <cell r="E2786" t="str">
            <v>Part Number</v>
          </cell>
          <cell r="F2786" t="str">
            <v>Amount</v>
          </cell>
        </row>
        <row r="2787">
          <cell r="C2787" t="str">
            <v>TYL-EGW-14</v>
          </cell>
          <cell r="D2787">
            <v>800</v>
          </cell>
          <cell r="E2787" t="str">
            <v>TYL</v>
          </cell>
          <cell r="F2787" t="str">
            <v>JOHN &amp; ALICE TYLER BUILDING</v>
          </cell>
          <cell r="G2787" t="str">
            <v>ELECTRIC</v>
          </cell>
          <cell r="H2787">
            <v>39372.050000000003</v>
          </cell>
        </row>
        <row r="2788">
          <cell r="D2788">
            <v>800</v>
          </cell>
          <cell r="E2788" t="str">
            <v>TYL</v>
          </cell>
          <cell r="F2788" t="str">
            <v>JOHN &amp; ALICE TYLER BUILDING</v>
          </cell>
          <cell r="G2788" t="str">
            <v>GAS</v>
          </cell>
          <cell r="H2788">
            <v>1767.61</v>
          </cell>
        </row>
        <row r="2789">
          <cell r="D2789">
            <v>800</v>
          </cell>
          <cell r="E2789" t="str">
            <v>TYL</v>
          </cell>
          <cell r="F2789" t="str">
            <v>JOHN &amp; ALICE TYLER BUILDING</v>
          </cell>
          <cell r="G2789" t="str">
            <v>WATER</v>
          </cell>
          <cell r="H2789">
            <v>2284.46</v>
          </cell>
        </row>
        <row r="2790">
          <cell r="C2790" t="str">
            <v>Bldg#</v>
          </cell>
          <cell r="H2790">
            <v>43424.12</v>
          </cell>
        </row>
        <row r="2797">
          <cell r="D2797" t="str">
            <v>Bldg Desc</v>
          </cell>
          <cell r="E2797" t="str">
            <v>Part Number</v>
          </cell>
          <cell r="F2797" t="str">
            <v>Amount</v>
          </cell>
        </row>
        <row r="2798">
          <cell r="C2798" t="str">
            <v>UGB-ELC-14</v>
          </cell>
          <cell r="D2798">
            <v>2670</v>
          </cell>
          <cell r="E2798" t="str">
            <v>UGB</v>
          </cell>
          <cell r="F2798" t="str">
            <v>UNIVERSITY GARDENS BUILDING</v>
          </cell>
          <cell r="G2798" t="str">
            <v>ELECTRIC</v>
          </cell>
          <cell r="H2798">
            <v>166906.26999999999</v>
          </cell>
        </row>
        <row r="2799">
          <cell r="H2799">
            <v>166906.26999999999</v>
          </cell>
        </row>
        <row r="2801">
          <cell r="C2801" t="str">
            <v>Bldg#</v>
          </cell>
        </row>
        <row r="2806">
          <cell r="D2806" t="str">
            <v>Bldg Desc</v>
          </cell>
          <cell r="E2806" t="str">
            <v>Part Number</v>
          </cell>
          <cell r="F2806" t="str">
            <v>Amount</v>
          </cell>
        </row>
        <row r="2807">
          <cell r="C2807" t="str">
            <v>UGB-GAS-14</v>
          </cell>
          <cell r="D2807">
            <v>2670</v>
          </cell>
          <cell r="E2807" t="str">
            <v>UGB</v>
          </cell>
          <cell r="F2807" t="str">
            <v>UNIVERSITY GARDENS BUILDING</v>
          </cell>
          <cell r="G2807" t="str">
            <v>GAS</v>
          </cell>
          <cell r="H2807">
            <v>2735.05</v>
          </cell>
        </row>
        <row r="2808">
          <cell r="H2808">
            <v>2735.05</v>
          </cell>
        </row>
        <row r="2810">
          <cell r="C2810" t="str">
            <v>Bldg#</v>
          </cell>
        </row>
        <row r="2815">
          <cell r="D2815" t="str">
            <v>Bldg Desc</v>
          </cell>
          <cell r="E2815" t="str">
            <v>Part Number</v>
          </cell>
          <cell r="F2815" t="str">
            <v>Amount</v>
          </cell>
        </row>
        <row r="2816">
          <cell r="C2816" t="str">
            <v>UGB-WTR-14</v>
          </cell>
          <cell r="D2816">
            <v>2670</v>
          </cell>
          <cell r="E2816" t="str">
            <v>UGB</v>
          </cell>
          <cell r="F2816" t="str">
            <v>UNIVERSITY GARDENS BUILDING</v>
          </cell>
          <cell r="G2816" t="str">
            <v>WATER</v>
          </cell>
          <cell r="H2816">
            <v>17219.29</v>
          </cell>
        </row>
        <row r="2817">
          <cell r="H2817">
            <v>17219.29</v>
          </cell>
        </row>
        <row r="2819">
          <cell r="C2819" t="str">
            <v>Bldg#</v>
          </cell>
        </row>
        <row r="2824">
          <cell r="D2824" t="str">
            <v>Bldg Desc</v>
          </cell>
          <cell r="E2824" t="str">
            <v>Part Number</v>
          </cell>
          <cell r="F2824" t="str">
            <v>Amount</v>
          </cell>
        </row>
        <row r="2825">
          <cell r="C2825" t="str">
            <v>UNH-GAS-14</v>
          </cell>
          <cell r="D2825">
            <v>6400</v>
          </cell>
          <cell r="E2825" t="str">
            <v>UNH</v>
          </cell>
          <cell r="F2825" t="str">
            <v>USC UNIVERSITY HOSPITAL</v>
          </cell>
          <cell r="G2825" t="str">
            <v>GAS</v>
          </cell>
          <cell r="H2825">
            <v>41299.620000000003</v>
          </cell>
        </row>
        <row r="2826">
          <cell r="H2826">
            <v>41299.620000000003</v>
          </cell>
        </row>
        <row r="2828">
          <cell r="C2828" t="str">
            <v>Bldg#</v>
          </cell>
        </row>
        <row r="2833">
          <cell r="D2833" t="str">
            <v>Bldg Desc</v>
          </cell>
          <cell r="E2833" t="str">
            <v>Part Number</v>
          </cell>
          <cell r="F2833" t="str">
            <v>Amount</v>
          </cell>
        </row>
        <row r="2834">
          <cell r="C2834" t="str">
            <v>UPV-EGW-14</v>
          </cell>
          <cell r="D2834">
            <v>4010</v>
          </cell>
          <cell r="E2834" t="str">
            <v>UPV</v>
          </cell>
          <cell r="F2834" t="str">
            <v>UNIVERSITY PARK TELEPHONE VAULT</v>
          </cell>
          <cell r="G2834" t="str">
            <v>ELECTRIC</v>
          </cell>
          <cell r="H2834">
            <v>66868.899999999994</v>
          </cell>
        </row>
        <row r="2835">
          <cell r="H2835">
            <v>66868.899999999994</v>
          </cell>
        </row>
        <row r="2837">
          <cell r="C2837" t="str">
            <v>Bldg#</v>
          </cell>
        </row>
        <row r="2842">
          <cell r="D2842" t="str">
            <v>Bldg Desc</v>
          </cell>
          <cell r="E2842" t="str">
            <v>Part Number</v>
          </cell>
          <cell r="F2842" t="str">
            <v>Amount</v>
          </cell>
        </row>
        <row r="2843">
          <cell r="C2843" t="str">
            <v>UPX-XGW-14</v>
          </cell>
          <cell r="D2843">
            <v>1990</v>
          </cell>
          <cell r="E2843" t="str">
            <v>UPX</v>
          </cell>
          <cell r="F2843" t="str">
            <v>UNIVERSITY PARKING CENTER</v>
          </cell>
          <cell r="G2843" t="str">
            <v>ELECTRIC</v>
          </cell>
          <cell r="H2843">
            <v>51424.4</v>
          </cell>
        </row>
        <row r="2844">
          <cell r="D2844">
            <v>1990</v>
          </cell>
          <cell r="E2844" t="str">
            <v>UPX</v>
          </cell>
          <cell r="F2844" t="str">
            <v>UNIVERSITY PARKING CENTER</v>
          </cell>
          <cell r="G2844" t="str">
            <v>GAS</v>
          </cell>
          <cell r="H2844">
            <v>110.94</v>
          </cell>
        </row>
        <row r="2845">
          <cell r="D2845">
            <v>1990</v>
          </cell>
          <cell r="E2845" t="str">
            <v>UPX</v>
          </cell>
          <cell r="F2845" t="str">
            <v>UNIVERSITY PARKING CENTER</v>
          </cell>
          <cell r="G2845" t="str">
            <v>WATER</v>
          </cell>
          <cell r="H2845">
            <v>5195.66</v>
          </cell>
        </row>
        <row r="2846">
          <cell r="C2846" t="str">
            <v>Bldg#</v>
          </cell>
          <cell r="H2846">
            <v>56731</v>
          </cell>
        </row>
        <row r="2853">
          <cell r="D2853" t="str">
            <v>Bldg Desc</v>
          </cell>
          <cell r="E2853" t="str">
            <v>Part Number</v>
          </cell>
          <cell r="F2853" t="str">
            <v>Amount</v>
          </cell>
        </row>
        <row r="2854">
          <cell r="C2854" t="str">
            <v>UPX1-ELC14</v>
          </cell>
          <cell r="D2854">
            <v>1991</v>
          </cell>
          <cell r="E2854" t="str">
            <v>UPX1</v>
          </cell>
          <cell r="F2854" t="str">
            <v>UNIV PARKING CENTER - AUX</v>
          </cell>
          <cell r="G2854" t="str">
            <v>ELECTRIC</v>
          </cell>
          <cell r="H2854">
            <v>102771.71</v>
          </cell>
        </row>
        <row r="2855">
          <cell r="H2855">
            <v>102771.71</v>
          </cell>
        </row>
        <row r="2857">
          <cell r="C2857" t="str">
            <v>Bldg#</v>
          </cell>
        </row>
        <row r="2862">
          <cell r="D2862" t="str">
            <v>Bldg Desc</v>
          </cell>
          <cell r="E2862" t="str">
            <v>Part Number</v>
          </cell>
          <cell r="F2862" t="str">
            <v>Amount</v>
          </cell>
        </row>
        <row r="2863">
          <cell r="C2863" t="str">
            <v>UPX2-ELC14</v>
          </cell>
          <cell r="D2863">
            <v>1992</v>
          </cell>
          <cell r="E2863" t="str">
            <v>UPX2</v>
          </cell>
          <cell r="F2863" t="str">
            <v>UNIV PARKING CTR - ENGINR, ELECTRIC</v>
          </cell>
          <cell r="G2863" t="str">
            <v>ELECTRIC</v>
          </cell>
          <cell r="H2863">
            <v>178240.17</v>
          </cell>
        </row>
        <row r="2864">
          <cell r="H2864">
            <v>178240.17</v>
          </cell>
        </row>
        <row r="2866">
          <cell r="C2866" t="str">
            <v>Bldg#</v>
          </cell>
        </row>
        <row r="2871">
          <cell r="D2871" t="str">
            <v>Bldg Desc</v>
          </cell>
          <cell r="E2871" t="str">
            <v>Part Number</v>
          </cell>
          <cell r="F2871" t="str">
            <v>Amount</v>
          </cell>
        </row>
        <row r="2872">
          <cell r="C2872" t="str">
            <v>URC-EGW-14</v>
          </cell>
          <cell r="D2872">
            <v>750</v>
          </cell>
          <cell r="E2872" t="str">
            <v>URC</v>
          </cell>
          <cell r="F2872" t="str">
            <v>UNIVERSITY RELIGIOUS CENTER</v>
          </cell>
          <cell r="G2872" t="str">
            <v>ELECTRIC</v>
          </cell>
          <cell r="H2872">
            <v>24603.54</v>
          </cell>
        </row>
        <row r="2873">
          <cell r="D2873">
            <v>750</v>
          </cell>
          <cell r="E2873" t="str">
            <v>URC</v>
          </cell>
          <cell r="F2873" t="str">
            <v>UNIVERSITY RELIGIOUS CENTER</v>
          </cell>
          <cell r="G2873" t="str">
            <v>GAS</v>
          </cell>
          <cell r="H2873">
            <v>0</v>
          </cell>
        </row>
        <row r="2874">
          <cell r="D2874">
            <v>750</v>
          </cell>
          <cell r="E2874" t="str">
            <v>URC</v>
          </cell>
          <cell r="F2874" t="str">
            <v>UNIVERSITY RELIGIOUS CENTER</v>
          </cell>
          <cell r="G2874" t="str">
            <v>WATER</v>
          </cell>
          <cell r="H2874">
            <v>1107.6600000000001</v>
          </cell>
        </row>
        <row r="2875">
          <cell r="C2875" t="str">
            <v>Bldg#</v>
          </cell>
          <cell r="H2875">
            <v>25711.200000000001</v>
          </cell>
        </row>
        <row r="2882">
          <cell r="D2882" t="str">
            <v>Bldg Desc</v>
          </cell>
          <cell r="E2882" t="str">
            <v>Part Number</v>
          </cell>
          <cell r="F2882" t="str">
            <v>Amount</v>
          </cell>
        </row>
        <row r="2883">
          <cell r="C2883" t="str">
            <v xml:space="preserve">URH-GAS-14 </v>
          </cell>
          <cell r="D2883">
            <v>1001</v>
          </cell>
          <cell r="E2883" t="str">
            <v>URH</v>
          </cell>
          <cell r="F2883" t="str">
            <v>UNIVERSITY RESIDENCE HALL</v>
          </cell>
          <cell r="G2883" t="str">
            <v>GAS</v>
          </cell>
          <cell r="H2883">
            <v>1013.2</v>
          </cell>
        </row>
        <row r="2884">
          <cell r="H2884">
            <v>1013.2</v>
          </cell>
        </row>
        <row r="2886">
          <cell r="C2886" t="str">
            <v>Bldg#</v>
          </cell>
        </row>
        <row r="2891">
          <cell r="D2891" t="str">
            <v>Bldg Desc</v>
          </cell>
          <cell r="E2891" t="str">
            <v>Part Number</v>
          </cell>
          <cell r="F2891" t="str">
            <v>Amount</v>
          </cell>
        </row>
        <row r="2892">
          <cell r="C2892" t="str">
            <v xml:space="preserve">VBB-EGW-14 </v>
          </cell>
          <cell r="D2892">
            <v>6520</v>
          </cell>
          <cell r="E2892" t="str">
            <v>VBB</v>
          </cell>
          <cell r="F2892" t="str">
            <v>VALLEY BOULEVARD BUILDING</v>
          </cell>
          <cell r="G2892" t="str">
            <v>ELECTRIC</v>
          </cell>
          <cell r="H2892">
            <v>36102.69</v>
          </cell>
        </row>
        <row r="2893">
          <cell r="D2893">
            <v>6520</v>
          </cell>
          <cell r="E2893" t="str">
            <v>VBB</v>
          </cell>
          <cell r="F2893" t="str">
            <v>VALLEY BOULEVARD BUILDING</v>
          </cell>
          <cell r="G2893" t="str">
            <v>GAS</v>
          </cell>
          <cell r="H2893">
            <v>71.989999999999995</v>
          </cell>
        </row>
        <row r="2894">
          <cell r="D2894">
            <v>6520</v>
          </cell>
          <cell r="E2894" t="str">
            <v>VBB</v>
          </cell>
          <cell r="F2894" t="str">
            <v>VALLEY BOULEVARD BUILDING</v>
          </cell>
          <cell r="G2894" t="str">
            <v>WATER</v>
          </cell>
          <cell r="H2894">
            <v>4151.53</v>
          </cell>
        </row>
        <row r="2895">
          <cell r="C2895" t="str">
            <v>Bldg#</v>
          </cell>
          <cell r="H2895">
            <v>40326.21</v>
          </cell>
        </row>
        <row r="2902">
          <cell r="D2902" t="str">
            <v>Bldg Desc</v>
          </cell>
          <cell r="E2902" t="str">
            <v>Part Number</v>
          </cell>
          <cell r="F2902" t="str">
            <v>Amount</v>
          </cell>
        </row>
        <row r="2903">
          <cell r="C2903" t="str">
            <v>VHE-EGW-14</v>
          </cell>
          <cell r="D2903">
            <v>240</v>
          </cell>
          <cell r="E2903" t="str">
            <v>VHE</v>
          </cell>
          <cell r="F2903" t="str">
            <v>VIVIAN HALL OF ENGINEERING</v>
          </cell>
          <cell r="G2903" t="str">
            <v>ELECTRIC</v>
          </cell>
          <cell r="H2903">
            <v>479093.96</v>
          </cell>
        </row>
        <row r="2904">
          <cell r="D2904">
            <v>240</v>
          </cell>
          <cell r="E2904" t="str">
            <v>VHE</v>
          </cell>
          <cell r="F2904" t="str">
            <v>VIVIAN HALL OF ENGINEERING</v>
          </cell>
          <cell r="G2904" t="str">
            <v>GAS</v>
          </cell>
          <cell r="H2904">
            <v>15263.04</v>
          </cell>
        </row>
        <row r="2905">
          <cell r="D2905">
            <v>240</v>
          </cell>
          <cell r="E2905" t="str">
            <v>VHE</v>
          </cell>
          <cell r="F2905" t="str">
            <v>VIVIAN HALL OF ENGINEERING</v>
          </cell>
          <cell r="G2905" t="str">
            <v>WATER</v>
          </cell>
          <cell r="H2905">
            <v>16066.1</v>
          </cell>
        </row>
        <row r="2906">
          <cell r="C2906" t="str">
            <v>Bldg#</v>
          </cell>
          <cell r="H2906">
            <v>510423.1</v>
          </cell>
        </row>
        <row r="2913">
          <cell r="D2913" t="str">
            <v>Bldg Desc</v>
          </cell>
          <cell r="E2913" t="str">
            <v>Part Number</v>
          </cell>
          <cell r="F2913" t="str">
            <v>Amount</v>
          </cell>
        </row>
        <row r="2914">
          <cell r="C2914" t="str">
            <v>VHE2-EGW14</v>
          </cell>
          <cell r="D2914">
            <v>242</v>
          </cell>
          <cell r="E2914" t="str">
            <v>VHE2</v>
          </cell>
          <cell r="F2914" t="str">
            <v>VIVIAN HALL OF ENGINEERING2</v>
          </cell>
          <cell r="G2914" t="str">
            <v>ELECTRIC</v>
          </cell>
          <cell r="H2914">
            <v>89875.77</v>
          </cell>
        </row>
        <row r="2915">
          <cell r="H2915">
            <v>89875.77</v>
          </cell>
        </row>
        <row r="2917">
          <cell r="C2917" t="str">
            <v>Bldg#</v>
          </cell>
        </row>
        <row r="2922">
          <cell r="D2922" t="str">
            <v>Bldg Desc</v>
          </cell>
          <cell r="E2922" t="str">
            <v>Part Number</v>
          </cell>
          <cell r="F2922" t="str">
            <v>Amount</v>
          </cell>
        </row>
        <row r="2923">
          <cell r="C2923" t="str">
            <v>VKC-EGW-14</v>
          </cell>
          <cell r="D2923">
            <v>40</v>
          </cell>
          <cell r="E2923" t="str">
            <v>VKC</v>
          </cell>
          <cell r="F2923" t="str">
            <v>VON KLEINSMID CENTER FOR INTERNATIONAL &amp; PUBLIC AFFAIRS</v>
          </cell>
          <cell r="G2923" t="str">
            <v>ELECTRIC</v>
          </cell>
          <cell r="H2923">
            <v>186719.3</v>
          </cell>
        </row>
        <row r="2924">
          <cell r="D2924">
            <v>40</v>
          </cell>
          <cell r="E2924" t="str">
            <v>VKC</v>
          </cell>
          <cell r="F2924" t="str">
            <v>VON KLEINSMID CENTER FOR INTERNATIONAL &amp; PUBLIC AFFAIRS</v>
          </cell>
          <cell r="G2924" t="str">
            <v>GAS</v>
          </cell>
          <cell r="H2924">
            <v>8897.32</v>
          </cell>
        </row>
        <row r="2925">
          <cell r="D2925">
            <v>40</v>
          </cell>
          <cell r="E2925" t="str">
            <v>VKC</v>
          </cell>
          <cell r="F2925" t="str">
            <v>VON KLEINSMID CENTER FOR INTERNATIONAL &amp; PUBLIC AFFAIRS</v>
          </cell>
          <cell r="G2925" t="str">
            <v>WATER</v>
          </cell>
          <cell r="H2925">
            <v>8816.77</v>
          </cell>
        </row>
        <row r="2926">
          <cell r="C2926" t="str">
            <v>Bldg#</v>
          </cell>
          <cell r="H2926">
            <v>204433.39</v>
          </cell>
        </row>
        <row r="2933">
          <cell r="D2933" t="str">
            <v>Bldg Desc</v>
          </cell>
          <cell r="E2933" t="str">
            <v>Part Number</v>
          </cell>
          <cell r="F2933" t="str">
            <v>Amount</v>
          </cell>
        </row>
        <row r="2934">
          <cell r="C2934" t="str">
            <v>VWB-NELC14</v>
          </cell>
          <cell r="D2934">
            <v>2980</v>
          </cell>
          <cell r="E2934" t="str">
            <v>VWB</v>
          </cell>
          <cell r="F2934" t="str">
            <v>VALLEY WAREHOUSE BUILDING</v>
          </cell>
          <cell r="G2934" t="str">
            <v>ELECTRIC</v>
          </cell>
          <cell r="H2934">
            <v>102119.2</v>
          </cell>
        </row>
        <row r="2935">
          <cell r="H2935">
            <v>102119.2</v>
          </cell>
        </row>
        <row r="2937">
          <cell r="C2937" t="str">
            <v>Bldg#</v>
          </cell>
        </row>
        <row r="2942">
          <cell r="C2942" t="str">
            <v>VWB-NWTR14</v>
          </cell>
          <cell r="D2942" t="str">
            <v>Bldg Desc</v>
          </cell>
          <cell r="E2942" t="str">
            <v>Part Number</v>
          </cell>
          <cell r="F2942" t="str">
            <v>Amount</v>
          </cell>
        </row>
        <row r="2943">
          <cell r="D2943">
            <v>2980</v>
          </cell>
          <cell r="E2943" t="str">
            <v>VWB</v>
          </cell>
          <cell r="F2943" t="str">
            <v>VALLEY WAREHOUSE BUILDING</v>
          </cell>
          <cell r="G2943" t="str">
            <v>WATER</v>
          </cell>
          <cell r="H2943">
            <v>2065.41</v>
          </cell>
        </row>
        <row r="2944">
          <cell r="H2944">
            <v>2065.41</v>
          </cell>
        </row>
        <row r="2951">
          <cell r="D2951" t="str">
            <v>Bldg Desc</v>
          </cell>
          <cell r="E2951" t="str">
            <v>Part Number</v>
          </cell>
          <cell r="F2951" t="str">
            <v>Amount</v>
          </cell>
        </row>
        <row r="2952">
          <cell r="C2952" t="str">
            <v>WAH-EGW-14</v>
          </cell>
          <cell r="D2952">
            <v>290</v>
          </cell>
          <cell r="E2952" t="str">
            <v>WAH</v>
          </cell>
          <cell r="F2952" t="str">
            <v>RAY &amp; NADINE WATT HALL OF ARCHITECTURE &amp; FINE ARTS</v>
          </cell>
          <cell r="G2952" t="str">
            <v>ELECTRIC</v>
          </cell>
          <cell r="H2952">
            <v>178667.22</v>
          </cell>
        </row>
        <row r="2953">
          <cell r="D2953">
            <v>290</v>
          </cell>
          <cell r="E2953" t="str">
            <v>WAH</v>
          </cell>
          <cell r="F2953" t="str">
            <v>RAY &amp; NADINE WATT HALL OF ARCHITECTURE &amp; FINE ARTS</v>
          </cell>
          <cell r="G2953" t="str">
            <v>GAS</v>
          </cell>
          <cell r="H2953">
            <v>13977.21</v>
          </cell>
        </row>
        <row r="2954">
          <cell r="D2954">
            <v>290</v>
          </cell>
          <cell r="E2954" t="str">
            <v>WAH</v>
          </cell>
          <cell r="F2954" t="str">
            <v>RAY &amp; NADINE WATT HALL OF ARCHITECTURE &amp; FINE ARTS</v>
          </cell>
          <cell r="G2954" t="str">
            <v>WATER</v>
          </cell>
          <cell r="H2954">
            <v>4455.3</v>
          </cell>
        </row>
        <row r="2955">
          <cell r="C2955" t="str">
            <v>Bldg#</v>
          </cell>
          <cell r="H2955">
            <v>197099.73</v>
          </cell>
        </row>
        <row r="2962">
          <cell r="D2962" t="str">
            <v>Bldg Desc</v>
          </cell>
          <cell r="E2962" t="str">
            <v>Part Number</v>
          </cell>
          <cell r="F2962" t="str">
            <v>Amount</v>
          </cell>
        </row>
        <row r="2963">
          <cell r="C2963" t="str">
            <v>WPH-EGW-14</v>
          </cell>
          <cell r="D2963">
            <v>30</v>
          </cell>
          <cell r="E2963" t="str">
            <v>WPH</v>
          </cell>
          <cell r="F2963" t="str">
            <v>WAITE PHILLIPS HALL OF EDUCATION</v>
          </cell>
          <cell r="G2963" t="str">
            <v>ELECTRIC</v>
          </cell>
          <cell r="H2963">
            <v>123493.12</v>
          </cell>
        </row>
        <row r="2964">
          <cell r="D2964">
            <v>30</v>
          </cell>
          <cell r="E2964" t="str">
            <v>WPH</v>
          </cell>
          <cell r="F2964" t="str">
            <v>WAITE PHILLIPS HALL OF EDUCATION</v>
          </cell>
          <cell r="G2964" t="str">
            <v>GAS</v>
          </cell>
          <cell r="H2964">
            <v>7141.84</v>
          </cell>
        </row>
        <row r="2965">
          <cell r="D2965">
            <v>30</v>
          </cell>
          <cell r="E2965" t="str">
            <v>WPH</v>
          </cell>
          <cell r="F2965" t="str">
            <v>WAITE PHILLIPS HALL OF EDUCATION</v>
          </cell>
          <cell r="G2965" t="str">
            <v>WATER</v>
          </cell>
          <cell r="H2965">
            <v>16659.05</v>
          </cell>
        </row>
        <row r="2966">
          <cell r="C2966" t="str">
            <v>Bldg#</v>
          </cell>
          <cell r="H2966">
            <v>147294.01</v>
          </cell>
        </row>
        <row r="2973">
          <cell r="D2973" t="str">
            <v>Bldg Desc</v>
          </cell>
          <cell r="E2973" t="str">
            <v>Part Number</v>
          </cell>
          <cell r="F2973" t="str">
            <v>Amount</v>
          </cell>
        </row>
        <row r="2974">
          <cell r="C2974" t="str">
            <v>WTO-ELC-14</v>
          </cell>
          <cell r="D2974">
            <v>550</v>
          </cell>
          <cell r="E2974" t="str">
            <v>WTO</v>
          </cell>
          <cell r="F2974" t="str">
            <v>WEBB TOWER</v>
          </cell>
          <cell r="G2974" t="str">
            <v>ELECTRIC</v>
          </cell>
          <cell r="H2974">
            <v>107845.02</v>
          </cell>
        </row>
        <row r="2975">
          <cell r="H2975">
            <v>107845.02</v>
          </cell>
        </row>
        <row r="2977">
          <cell r="C2977" t="str">
            <v>Bldg#</v>
          </cell>
        </row>
        <row r="2982">
          <cell r="D2982" t="str">
            <v>Bldg Desc</v>
          </cell>
          <cell r="E2982" t="str">
            <v>Part Number</v>
          </cell>
          <cell r="F2982" t="str">
            <v>Amount</v>
          </cell>
        </row>
        <row r="2983">
          <cell r="C2983" t="str">
            <v>WTO-WTR-14</v>
          </cell>
          <cell r="D2983">
            <v>550</v>
          </cell>
          <cell r="E2983" t="str">
            <v>WTO</v>
          </cell>
          <cell r="F2983" t="str">
            <v>WEBB TOWER</v>
          </cell>
          <cell r="G2983" t="str">
            <v>WATER</v>
          </cell>
          <cell r="H2983">
            <v>25510.7</v>
          </cell>
        </row>
        <row r="2984">
          <cell r="H2984">
            <v>25510.7</v>
          </cell>
        </row>
        <row r="2986">
          <cell r="C2986" t="str">
            <v>Bldg#</v>
          </cell>
        </row>
        <row r="2991">
          <cell r="C2991" t="str">
            <v>YWC-EGW-14</v>
          </cell>
          <cell r="D2991" t="str">
            <v>Bldg Desc</v>
          </cell>
          <cell r="E2991" t="str">
            <v>Part Number</v>
          </cell>
          <cell r="F2991" t="str">
            <v>Amount</v>
          </cell>
        </row>
        <row r="2992">
          <cell r="D2992">
            <v>50</v>
          </cell>
          <cell r="E2992" t="str">
            <v>YWC</v>
          </cell>
          <cell r="F2992" t="str">
            <v>BELLE D. VIVIAN YWCA BUILDING</v>
          </cell>
          <cell r="G2992" t="str">
            <v>GAS</v>
          </cell>
          <cell r="H2992">
            <v>0</v>
          </cell>
        </row>
        <row r="2993">
          <cell r="D2993">
            <v>50</v>
          </cell>
          <cell r="E2993" t="str">
            <v>YWC</v>
          </cell>
          <cell r="F2993" t="str">
            <v>BELLE D. VIVIAN YWCA BUILDING</v>
          </cell>
          <cell r="G2993" t="str">
            <v>WATER</v>
          </cell>
          <cell r="H2993">
            <v>1481.33</v>
          </cell>
        </row>
        <row r="2994">
          <cell r="H2994">
            <v>1481.33</v>
          </cell>
        </row>
        <row r="2995">
          <cell r="C2995" t="str">
            <v>Bldg#</v>
          </cell>
        </row>
        <row r="3000">
          <cell r="C3000" t="str">
            <v>Bldg#</v>
          </cell>
        </row>
        <row r="3001">
          <cell r="D3001" t="str">
            <v>Bldg Desc</v>
          </cell>
          <cell r="E3001" t="str">
            <v>Part Number</v>
          </cell>
          <cell r="F3001" t="str">
            <v>Amount</v>
          </cell>
        </row>
        <row r="3002">
          <cell r="C3002" t="str">
            <v>ZHS-EGW-14</v>
          </cell>
          <cell r="D3002">
            <v>740</v>
          </cell>
          <cell r="E3002" t="str">
            <v>ZHS</v>
          </cell>
          <cell r="F3002" t="str">
            <v>JAMES H. ZUMBERGE HALL OF SCIENCE</v>
          </cell>
          <cell r="G3002" t="str">
            <v>ELECTRIC</v>
          </cell>
          <cell r="H3002">
            <v>232126.15</v>
          </cell>
        </row>
        <row r="3003">
          <cell r="D3003">
            <v>740</v>
          </cell>
          <cell r="E3003" t="str">
            <v>ZHS</v>
          </cell>
          <cell r="F3003" t="str">
            <v>JAMES H. ZUMBERGE HALL OF SCIENCE</v>
          </cell>
          <cell r="G3003" t="str">
            <v>GAS</v>
          </cell>
          <cell r="H3003">
            <v>18164.509999999998</v>
          </cell>
        </row>
        <row r="3004">
          <cell r="D3004">
            <v>740</v>
          </cell>
          <cell r="E3004" t="str">
            <v>ZHS</v>
          </cell>
          <cell r="F3004" t="str">
            <v>JAMES H. ZUMBERGE HALL OF SCIENCE</v>
          </cell>
          <cell r="G3004" t="str">
            <v>WATER</v>
          </cell>
          <cell r="H3004">
            <v>24085.67</v>
          </cell>
        </row>
        <row r="3005">
          <cell r="H3005">
            <v>274376.33</v>
          </cell>
        </row>
        <row r="3012">
          <cell r="D3012" t="str">
            <v>Bldg Desc</v>
          </cell>
          <cell r="E3012" t="str">
            <v>Part Number</v>
          </cell>
          <cell r="F3012" t="str">
            <v>Amount</v>
          </cell>
        </row>
        <row r="3013">
          <cell r="C3013" t="str">
            <v>ZNI-ELC-14</v>
          </cell>
          <cell r="D3013">
            <v>2820</v>
          </cell>
          <cell r="E3013" t="str">
            <v>ZNI</v>
          </cell>
          <cell r="F3013" t="str">
            <v>ZILKHA NEUROGENETIC INSTITUTE</v>
          </cell>
          <cell r="G3013" t="str">
            <v>ELECTRIC</v>
          </cell>
          <cell r="H3013">
            <v>647211.80000000005</v>
          </cell>
        </row>
        <row r="3014">
          <cell r="H3014">
            <v>647211.80000000005</v>
          </cell>
        </row>
        <row r="3021">
          <cell r="D3021" t="str">
            <v>Bldg Desc</v>
          </cell>
          <cell r="E3021" t="str">
            <v>Part Number</v>
          </cell>
          <cell r="F3021" t="str">
            <v>Amount</v>
          </cell>
        </row>
        <row r="3022">
          <cell r="C3022" t="str">
            <v>ZNI-GAS-14</v>
          </cell>
          <cell r="D3022">
            <v>2820</v>
          </cell>
          <cell r="E3022" t="str">
            <v>ZNI</v>
          </cell>
          <cell r="F3022" t="str">
            <v>ZILKHA NEUROGENETIC INSTITUTE</v>
          </cell>
          <cell r="G3022" t="str">
            <v>GAS</v>
          </cell>
          <cell r="H3022">
            <v>64788.62</v>
          </cell>
        </row>
        <row r="3023">
          <cell r="H3023">
            <v>64788.62</v>
          </cell>
        </row>
        <row r="3025">
          <cell r="C3025" t="str">
            <v>Bldg#</v>
          </cell>
        </row>
        <row r="3030">
          <cell r="D3030" t="str">
            <v>Bldg Desc</v>
          </cell>
          <cell r="E3030" t="str">
            <v>Part Number</v>
          </cell>
          <cell r="F3030" t="str">
            <v>Amount</v>
          </cell>
        </row>
        <row r="3031">
          <cell r="C3031" t="str">
            <v>ZNI-WTR-14 - ZNI: UTILITIES FY14 - WATER ONLY</v>
          </cell>
          <cell r="D3031">
            <v>2820</v>
          </cell>
          <cell r="E3031" t="str">
            <v>ZNI</v>
          </cell>
          <cell r="F3031" t="str">
            <v>ZILKHA NEUROGENETIC INSTITUTE</v>
          </cell>
          <cell r="G3031" t="str">
            <v>WATER</v>
          </cell>
          <cell r="H3031">
            <v>33499.089999999997</v>
          </cell>
        </row>
        <row r="3032">
          <cell r="H3032">
            <v>33499.089999999997</v>
          </cell>
        </row>
        <row r="3034">
          <cell r="C3034" t="str">
            <v>Bldg#</v>
          </cell>
        </row>
        <row r="3039">
          <cell r="D3039" t="str">
            <v>Bldg Desc</v>
          </cell>
          <cell r="E3039" t="str">
            <v>Part Number</v>
          </cell>
          <cell r="F3039" t="str">
            <v>Amount</v>
          </cell>
        </row>
        <row r="3040">
          <cell r="C3040" t="str">
            <v>ZNI1-EG-14 - ZNI1: UTILITIES FY14 - GAS/WATER/ELECTRIC</v>
          </cell>
          <cell r="D3040">
            <v>2821</v>
          </cell>
          <cell r="E3040" t="str">
            <v>ZNI1</v>
          </cell>
          <cell r="F3040" t="str">
            <v>ZILKHA NEUROGENETIC INS, CAFE</v>
          </cell>
          <cell r="G3040" t="str">
            <v>ELECTRIC</v>
          </cell>
          <cell r="H3040">
            <v>3921.56</v>
          </cell>
        </row>
        <row r="3041">
          <cell r="H3041">
            <v>3921.56</v>
          </cell>
        </row>
      </sheetData>
      <sheetData sheetId="1" refreshError="1"/>
      <sheetData sheetId="2" refreshError="1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O MATRIX 04-15-16 NUMRC"/>
      <sheetName val="SWO MATRIX MASTER"/>
    </sheetNames>
    <sheetDataSet>
      <sheetData sheetId="0">
        <row r="552">
          <cell r="D552" t="str">
            <v>PSA2NELC</v>
          </cell>
        </row>
        <row r="762">
          <cell r="D762" t="str">
            <v>BCI-NELC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4 CHANGES"/>
      <sheetName val="FY13 UPC$"/>
    </sheetNames>
    <sheetDataSet>
      <sheetData sheetId="0">
        <row r="143">
          <cell r="F143">
            <v>4.0000000208237907E-2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42123</v>
          </cell>
          <cell r="Z9">
            <v>42152</v>
          </cell>
          <cell r="AA9">
            <v>43504.402491847977</v>
          </cell>
          <cell r="AB9">
            <v>6332.83</v>
          </cell>
          <cell r="AC9">
            <v>0.14556756643621688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42123</v>
          </cell>
          <cell r="Z10">
            <v>42152</v>
          </cell>
          <cell r="AA10">
            <v>34366.779844345438</v>
          </cell>
          <cell r="AB10">
            <v>4770.09</v>
          </cell>
          <cell r="AC10">
            <v>0.13879944590691265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42123</v>
          </cell>
          <cell r="Z11">
            <v>42156</v>
          </cell>
          <cell r="AA11">
            <v>4570.2345156463798</v>
          </cell>
          <cell r="AB11">
            <v>596.42999999999995</v>
          </cell>
          <cell r="AC11">
            <v>0.13050314988390599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42123</v>
          </cell>
          <cell r="Z12">
            <v>42152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42123</v>
          </cell>
          <cell r="Z13">
            <v>42152</v>
          </cell>
          <cell r="AA13">
            <v>86827.557825976444</v>
          </cell>
          <cell r="AB13">
            <v>13128.17</v>
          </cell>
          <cell r="AC13">
            <v>0.15119819477488988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42123</v>
          </cell>
          <cell r="Z14">
            <v>42152</v>
          </cell>
          <cell r="AA14">
            <v>36682.687536368729</v>
          </cell>
          <cell r="AB14">
            <v>5548.46</v>
          </cell>
          <cell r="AC14">
            <v>0.15125554785207676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42123</v>
          </cell>
          <cell r="Z15">
            <v>42152</v>
          </cell>
          <cell r="AA15">
            <v>103065.32492276</v>
          </cell>
          <cell r="AB15">
            <v>15425.6</v>
          </cell>
          <cell r="AC15">
            <v>0.1496681838587359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42123</v>
          </cell>
          <cell r="Z16">
            <v>42152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42123</v>
          </cell>
          <cell r="Z17">
            <v>42152</v>
          </cell>
          <cell r="AA17">
            <v>237550.9464338861</v>
          </cell>
          <cell r="AB17">
            <v>33775.42</v>
          </cell>
          <cell r="AC17">
            <v>0.14218179513504986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42123</v>
          </cell>
          <cell r="Z18">
            <v>42152</v>
          </cell>
          <cell r="AA18">
            <v>50268.042907141862</v>
          </cell>
          <cell r="AB18">
            <v>7434.92</v>
          </cell>
          <cell r="AC18">
            <v>0.14790549959810906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42123</v>
          </cell>
          <cell r="Z19">
            <v>42152</v>
          </cell>
          <cell r="AA19">
            <v>46437.224741536498</v>
          </cell>
          <cell r="AB19">
            <v>6912.65</v>
          </cell>
          <cell r="AC19">
            <v>0.14886010174972564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42123</v>
          </cell>
          <cell r="Z20">
            <v>42152</v>
          </cell>
          <cell r="AA20">
            <v>28790.464734092253</v>
          </cell>
          <cell r="AB20">
            <v>3798.85</v>
          </cell>
          <cell r="AC20">
            <v>0.13194820004074434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42123</v>
          </cell>
          <cell r="Z21">
            <v>42152</v>
          </cell>
          <cell r="AA21">
            <v>3818.66427928852</v>
          </cell>
          <cell r="AB21">
            <v>577.02</v>
          </cell>
          <cell r="AC21">
            <v>0.15110519223426164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42123</v>
          </cell>
          <cell r="Z22">
            <v>42152</v>
          </cell>
          <cell r="AA22">
            <v>10207.43124683339</v>
          </cell>
          <cell r="AB22">
            <v>1790.85</v>
          </cell>
          <cell r="AC22">
            <v>0.1754457078077864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42123</v>
          </cell>
          <cell r="Z23">
            <v>42152</v>
          </cell>
          <cell r="AA23">
            <v>86645.123891719733</v>
          </cell>
          <cell r="AB23">
            <v>12797.58</v>
          </cell>
          <cell r="AC23">
            <v>0.14770109874842022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42123</v>
          </cell>
          <cell r="Z24">
            <v>42152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42123</v>
          </cell>
          <cell r="Z25">
            <v>42152</v>
          </cell>
          <cell r="AA25">
            <v>173190.49009842006</v>
          </cell>
          <cell r="AB25">
            <v>24303.69</v>
          </cell>
          <cell r="AC25">
            <v>0.14032924086183246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42123</v>
          </cell>
          <cell r="Z26">
            <v>42152</v>
          </cell>
          <cell r="AA26">
            <v>137374.6609797822</v>
          </cell>
          <cell r="AB26">
            <v>19070.740000000002</v>
          </cell>
          <cell r="AC26">
            <v>0.13882283576886639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42123</v>
          </cell>
          <cell r="Z27">
            <v>42152</v>
          </cell>
          <cell r="AA27">
            <v>2241.7483599427701</v>
          </cell>
          <cell r="AB27">
            <v>401.64</v>
          </cell>
          <cell r="AC27">
            <v>0.17916373094179647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42123</v>
          </cell>
          <cell r="Z28">
            <v>42152</v>
          </cell>
          <cell r="AA28">
            <v>40293.616142369698</v>
          </cell>
          <cell r="AB28">
            <v>5518.6</v>
          </cell>
          <cell r="AC28">
            <v>0.13695966081825703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42123</v>
          </cell>
          <cell r="Z29">
            <v>42152</v>
          </cell>
          <cell r="AA29">
            <v>258764.19640878431</v>
          </cell>
          <cell r="AB29">
            <v>34568.699999999997</v>
          </cell>
          <cell r="AC29">
            <v>0.13359151103497288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42123</v>
          </cell>
          <cell r="Z30">
            <v>42152</v>
          </cell>
          <cell r="AA30">
            <v>188.59746135384</v>
          </cell>
          <cell r="AB30">
            <v>22.9</v>
          </cell>
          <cell r="AC30">
            <v>0.12142263122532607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42123</v>
          </cell>
          <cell r="Z31">
            <v>42152</v>
          </cell>
          <cell r="AA31">
            <v>50019.326706888001</v>
          </cell>
          <cell r="AB31">
            <v>6519.28</v>
          </cell>
          <cell r="AC31">
            <v>0.13033522098773573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42123</v>
          </cell>
          <cell r="Z32">
            <v>42152</v>
          </cell>
          <cell r="AA32">
            <v>105321.41315557956</v>
          </cell>
          <cell r="AB32">
            <v>13869.6</v>
          </cell>
          <cell r="AC32">
            <v>0.13168832039418224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42123</v>
          </cell>
          <cell r="Z33">
            <v>42152</v>
          </cell>
          <cell r="AA33">
            <v>122861.97516784229</v>
          </cell>
          <cell r="AB33">
            <v>17362.919999999998</v>
          </cell>
          <cell r="AC33">
            <v>0.14132053449637641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42123</v>
          </cell>
          <cell r="Z34">
            <v>42152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42123</v>
          </cell>
          <cell r="Z35">
            <v>42152</v>
          </cell>
          <cell r="AA35">
            <v>110823.36152732342</v>
          </cell>
          <cell r="AB35">
            <v>15686.35</v>
          </cell>
          <cell r="AC35">
            <v>0.14154371229871548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42123</v>
          </cell>
          <cell r="Z36">
            <v>42152</v>
          </cell>
          <cell r="AA36">
            <v>106431.67644086987</v>
          </cell>
          <cell r="AB36">
            <v>14958.06</v>
          </cell>
          <cell r="AC36">
            <v>0.14054142995962515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42123</v>
          </cell>
          <cell r="Z37">
            <v>42152</v>
          </cell>
          <cell r="AA37">
            <v>204507.69062600884</v>
          </cell>
          <cell r="AB37">
            <v>28283.64</v>
          </cell>
          <cell r="AC37">
            <v>0.13830110698244297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42123</v>
          </cell>
          <cell r="Z38">
            <v>42152</v>
          </cell>
          <cell r="AA38">
            <v>53567.104203989322</v>
          </cell>
          <cell r="AB38">
            <v>7635.05</v>
          </cell>
          <cell r="AC38">
            <v>0.14253243876922869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42123</v>
          </cell>
          <cell r="Z39">
            <v>42152</v>
          </cell>
          <cell r="AA39">
            <v>21631.650490390712</v>
          </cell>
          <cell r="AB39">
            <v>2822</v>
          </cell>
          <cell r="AC39">
            <v>0.13045698945873774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42123</v>
          </cell>
          <cell r="Z40">
            <v>42152</v>
          </cell>
          <cell r="AA40">
            <v>47447.71915070383</v>
          </cell>
          <cell r="AB40">
            <v>6074.39</v>
          </cell>
          <cell r="AC40">
            <v>0.12802280296564886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42123</v>
          </cell>
          <cell r="Z41">
            <v>42152</v>
          </cell>
          <cell r="AA41">
            <v>34937.368951623946</v>
          </cell>
          <cell r="AB41">
            <v>5596.65</v>
          </cell>
          <cell r="AC41">
            <v>0.16019094075885923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42123</v>
          </cell>
          <cell r="Z42">
            <v>42153</v>
          </cell>
          <cell r="AA42">
            <v>13705.199999999999</v>
          </cell>
          <cell r="AB42">
            <v>2198.9711400000001</v>
          </cell>
          <cell r="AC42">
            <v>0.1604479423868313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42123</v>
          </cell>
          <cell r="Z43">
            <v>42152</v>
          </cell>
          <cell r="AA43">
            <v>39341.320820738278</v>
          </cell>
          <cell r="AB43">
            <v>5691.07</v>
          </cell>
          <cell r="AC43">
            <v>0.14465884421958769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42123</v>
          </cell>
          <cell r="Z44">
            <v>42152</v>
          </cell>
          <cell r="AA44">
            <v>10291.05151795782</v>
          </cell>
          <cell r="AB44">
            <v>1582.33</v>
          </cell>
          <cell r="AC44">
            <v>0.15375785431049918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42123</v>
          </cell>
          <cell r="Z45">
            <v>42152</v>
          </cell>
          <cell r="AA45">
            <v>6817.8441455300308</v>
          </cell>
          <cell r="AB45">
            <v>976.07</v>
          </cell>
          <cell r="AC45">
            <v>0.14316402357773739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42123</v>
          </cell>
          <cell r="Z46">
            <v>42152</v>
          </cell>
          <cell r="AA46">
            <v>5798.4348421968207</v>
          </cell>
          <cell r="AB46">
            <v>768.5</v>
          </cell>
          <cell r="AC46">
            <v>0.13253576541162662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42123</v>
          </cell>
          <cell r="Z47">
            <v>42152</v>
          </cell>
          <cell r="AA47">
            <v>225429.46052034519</v>
          </cell>
          <cell r="AB47">
            <v>29691.54</v>
          </cell>
          <cell r="AC47">
            <v>0.13171100144348841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42123</v>
          </cell>
          <cell r="Z48">
            <v>42152</v>
          </cell>
          <cell r="AA48">
            <v>49600.241944004782</v>
          </cell>
          <cell r="AB48">
            <v>6696.87</v>
          </cell>
          <cell r="AC48">
            <v>0.13501688172328474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42123</v>
          </cell>
          <cell r="Z49">
            <v>42152</v>
          </cell>
          <cell r="AA49">
            <v>32224.334168511592</v>
          </cell>
          <cell r="AB49">
            <v>4570.75</v>
          </cell>
          <cell r="AC49">
            <v>0.14184156532445485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42123</v>
          </cell>
          <cell r="Z50">
            <v>42153</v>
          </cell>
          <cell r="AA50">
            <v>8650.7999999999993</v>
          </cell>
          <cell r="AB50">
            <v>1388.00306</v>
          </cell>
          <cell r="AC50">
            <v>0.1604479423868313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42123</v>
          </cell>
          <cell r="Z51">
            <v>42152</v>
          </cell>
          <cell r="AA51">
            <v>50319.337062490231</v>
          </cell>
          <cell r="AB51">
            <v>7265.49</v>
          </cell>
          <cell r="AC51">
            <v>0.14438763354487724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42123</v>
          </cell>
          <cell r="Z52">
            <v>42152</v>
          </cell>
          <cell r="AA52">
            <v>52772.056572521229</v>
          </cell>
          <cell r="AB52">
            <v>8713.83</v>
          </cell>
          <cell r="AC52">
            <v>0.16512204689285032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str">
            <v>Biegler</v>
          </cell>
          <cell r="Y53">
            <v>42123</v>
          </cell>
          <cell r="Z53">
            <v>42152</v>
          </cell>
          <cell r="AA53">
            <v>6318.4812584624997</v>
          </cell>
          <cell r="AB53">
            <v>1076.29</v>
          </cell>
          <cell r="AC53">
            <v>0.17033998455855162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42123</v>
          </cell>
          <cell r="Z55">
            <v>42152</v>
          </cell>
          <cell r="AA55">
            <v>107106.84828431388</v>
          </cell>
          <cell r="AB55">
            <v>14680.05</v>
          </cell>
          <cell r="AC55">
            <v>0.13705986344619139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42123</v>
          </cell>
          <cell r="Z56">
            <v>42152</v>
          </cell>
          <cell r="AA56">
            <v>4478.1905340775802</v>
          </cell>
          <cell r="AB56">
            <v>604.96</v>
          </cell>
          <cell r="AC56">
            <v>0.13509027706535714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42123</v>
          </cell>
          <cell r="Z57">
            <v>42152</v>
          </cell>
          <cell r="AA57">
            <v>68267.021484927158</v>
          </cell>
          <cell r="AB57">
            <v>9933.09</v>
          </cell>
          <cell r="AC57">
            <v>0.14550349178765842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42123</v>
          </cell>
          <cell r="Z58">
            <v>42152</v>
          </cell>
          <cell r="AA58">
            <v>459814.79493316828</v>
          </cell>
          <cell r="AB58">
            <v>57777.07</v>
          </cell>
          <cell r="AC58">
            <v>0.12565291642779264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42123</v>
          </cell>
          <cell r="Z59">
            <v>42152</v>
          </cell>
          <cell r="AA59">
            <v>15953.992049868119</v>
          </cell>
          <cell r="AB59">
            <v>2106.9899999999998</v>
          </cell>
          <cell r="AC59">
            <v>0.1320666321892405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42123</v>
          </cell>
          <cell r="Z60">
            <v>42152</v>
          </cell>
          <cell r="AA60">
            <v>30102.558850360259</v>
          </cell>
          <cell r="AB60">
            <v>5139.29</v>
          </cell>
          <cell r="AC60">
            <v>0.17072601786271382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42123</v>
          </cell>
          <cell r="Z61">
            <v>42152</v>
          </cell>
          <cell r="AA61">
            <v>152761.05574709942</v>
          </cell>
          <cell r="AB61">
            <v>20524.91</v>
          </cell>
          <cell r="AC61">
            <v>0.13435957155192493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42123</v>
          </cell>
          <cell r="Z62">
            <v>42152</v>
          </cell>
          <cell r="AA62">
            <v>11931.450253399811</v>
          </cell>
          <cell r="AB62">
            <v>1907.17</v>
          </cell>
          <cell r="AC62">
            <v>0.15984393845639686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42123</v>
          </cell>
          <cell r="Z63">
            <v>42152</v>
          </cell>
          <cell r="AA63">
            <v>21146.210499260163</v>
          </cell>
          <cell r="AB63">
            <v>2623.97</v>
          </cell>
          <cell r="AC63">
            <v>0.12408700840709988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42123</v>
          </cell>
          <cell r="Z64">
            <v>42152</v>
          </cell>
          <cell r="AA64">
            <v>40421.98696074012</v>
          </cell>
          <cell r="AB64">
            <v>5592.36</v>
          </cell>
          <cell r="AC64">
            <v>0.13834945831414924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42123</v>
          </cell>
          <cell r="Z65">
            <v>42152</v>
          </cell>
          <cell r="AA65">
            <v>4212.2990276049604</v>
          </cell>
          <cell r="AB65">
            <v>718.35</v>
          </cell>
          <cell r="AC65">
            <v>0.17053632595700149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42137</v>
          </cell>
          <cell r="Z66">
            <v>42167</v>
          </cell>
          <cell r="AA66">
            <v>16000</v>
          </cell>
          <cell r="AB66">
            <v>3128.27</v>
          </cell>
          <cell r="AC66">
            <v>0.19551687500000001</v>
          </cell>
          <cell r="AE66" t="str">
            <v>1-52-34746-03601-00-9002-0-02</v>
          </cell>
          <cell r="AF66">
            <v>42137</v>
          </cell>
          <cell r="AG66">
            <v>42167</v>
          </cell>
          <cell r="AH66">
            <v>10160</v>
          </cell>
          <cell r="AI66">
            <v>1828.71</v>
          </cell>
          <cell r="AK66">
            <v>1828.71</v>
          </cell>
          <cell r="AL66">
            <v>3128.27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42123</v>
          </cell>
          <cell r="Z67">
            <v>42152</v>
          </cell>
          <cell r="AA67">
            <v>5941.7414848890703</v>
          </cell>
          <cell r="AB67">
            <v>1010.05</v>
          </cell>
          <cell r="AC67">
            <v>0.16999224933779783</v>
          </cell>
          <cell r="AE67" t="str">
            <v>1-52-34746-03601-00-9003-0-01</v>
          </cell>
          <cell r="AF67">
            <v>42137</v>
          </cell>
          <cell r="AG67">
            <v>42167</v>
          </cell>
          <cell r="AH67">
            <v>5840</v>
          </cell>
          <cell r="AI67">
            <v>1299.56</v>
          </cell>
          <cell r="AK67">
            <v>1299.56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42123</v>
          </cell>
          <cell r="Z68">
            <v>42152</v>
          </cell>
          <cell r="AA68">
            <v>19665.561298681692</v>
          </cell>
          <cell r="AB68">
            <v>2914.34</v>
          </cell>
          <cell r="AC68">
            <v>0.14819510898961052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42123</v>
          </cell>
          <cell r="Z69">
            <v>42152</v>
          </cell>
          <cell r="AA69">
            <v>40984.446049610495</v>
          </cell>
          <cell r="AB69">
            <v>5594.8</v>
          </cell>
          <cell r="AC69">
            <v>0.13651032377569908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42123</v>
          </cell>
          <cell r="Z70">
            <v>42152</v>
          </cell>
          <cell r="AA70">
            <v>5873.5500445461903</v>
          </cell>
          <cell r="AB70">
            <v>852.72</v>
          </cell>
          <cell r="AC70">
            <v>0.1451796602621582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42123</v>
          </cell>
          <cell r="Z71">
            <v>42152</v>
          </cell>
          <cell r="AA71">
            <v>30951.368923413393</v>
          </cell>
          <cell r="AB71">
            <v>4477.8</v>
          </cell>
          <cell r="AC71">
            <v>0.14467211486121814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42123</v>
          </cell>
          <cell r="Z72">
            <v>42152</v>
          </cell>
          <cell r="AA72">
            <v>57399.913777136033</v>
          </cell>
          <cell r="AB72">
            <v>8359.75</v>
          </cell>
          <cell r="AC72">
            <v>0.1456404626748746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42123</v>
          </cell>
          <cell r="Z73">
            <v>42152</v>
          </cell>
          <cell r="AA73">
            <v>42698.01433009914</v>
          </cell>
          <cell r="AB73">
            <v>6207.9</v>
          </cell>
          <cell r="AC73">
            <v>0.14539083602358202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42123</v>
          </cell>
          <cell r="Z74">
            <v>42152</v>
          </cell>
          <cell r="AA74">
            <v>40878.477124307283</v>
          </cell>
          <cell r="AB74">
            <v>6100.25</v>
          </cell>
          <cell r="AC74">
            <v>0.1492288957205955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42123</v>
          </cell>
          <cell r="Z75">
            <v>42152</v>
          </cell>
          <cell r="AA75">
            <v>8534.4292090463405</v>
          </cell>
          <cell r="AB75">
            <v>1616.7</v>
          </cell>
          <cell r="AC75">
            <v>0.18943270374617757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42123</v>
          </cell>
          <cell r="Z76">
            <v>42152</v>
          </cell>
          <cell r="AA76">
            <v>13624.070499463311</v>
          </cell>
          <cell r="AB76">
            <v>1916.69</v>
          </cell>
          <cell r="AC76">
            <v>0.14068409291301773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42123</v>
          </cell>
          <cell r="Z78">
            <v>42152</v>
          </cell>
          <cell r="AA78">
            <v>22617.049332222541</v>
          </cell>
          <cell r="AB78">
            <v>3295.48</v>
          </cell>
          <cell r="AC78">
            <v>0.1457077778622928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42123</v>
          </cell>
          <cell r="Z79">
            <v>42152</v>
          </cell>
          <cell r="AA79">
            <v>26729.255982713941</v>
          </cell>
          <cell r="AB79">
            <v>3894.21</v>
          </cell>
          <cell r="AC79">
            <v>0.14569092392689201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42123</v>
          </cell>
          <cell r="Z80">
            <v>42152</v>
          </cell>
          <cell r="AA80">
            <v>64596.008226213002</v>
          </cell>
          <cell r="AB80">
            <v>9407.5300000000007</v>
          </cell>
          <cell r="AC80">
            <v>0.14563639856901303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42123</v>
          </cell>
          <cell r="Z81">
            <v>42152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42123</v>
          </cell>
          <cell r="Z82">
            <v>42152</v>
          </cell>
          <cell r="AA82">
            <v>14176.299957498</v>
          </cell>
          <cell r="AB82">
            <v>2271.89</v>
          </cell>
          <cell r="AC82">
            <v>0.16025972974692684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42123</v>
          </cell>
          <cell r="Z83">
            <v>42152</v>
          </cell>
          <cell r="AA83">
            <v>190950.17099641616</v>
          </cell>
          <cell r="AB83">
            <v>27229.83</v>
          </cell>
          <cell r="AC83">
            <v>0.14260175760990057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42123</v>
          </cell>
          <cell r="Z84">
            <v>42152</v>
          </cell>
          <cell r="AA84">
            <v>133527.9551509498</v>
          </cell>
          <cell r="AB84">
            <v>18521.3</v>
          </cell>
          <cell r="AC84">
            <v>0.13870728402200244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42123</v>
          </cell>
          <cell r="Z85">
            <v>42152</v>
          </cell>
          <cell r="AA85">
            <v>3153.9648000000002</v>
          </cell>
          <cell r="AB85">
            <v>470.96588800000006</v>
          </cell>
          <cell r="AC85">
            <v>0.14932502987985155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42123</v>
          </cell>
          <cell r="Z86">
            <v>42152</v>
          </cell>
          <cell r="AA86">
            <v>12743.0352</v>
          </cell>
          <cell r="AB86">
            <v>1902.854112</v>
          </cell>
          <cell r="AC86">
            <v>0.14932502987985155</v>
          </cell>
          <cell r="AL86">
            <v>15897</v>
          </cell>
          <cell r="AM86">
            <v>2373.8200000000002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42123</v>
          </cell>
          <cell r="Z87">
            <v>42152</v>
          </cell>
          <cell r="AA87">
            <v>10080</v>
          </cell>
          <cell r="AB87">
            <v>2008.38</v>
          </cell>
          <cell r="AC87">
            <v>0.19924404761904763</v>
          </cell>
          <cell r="AE87" t="str">
            <v>1-63-86192-02715-00-9001-0-01</v>
          </cell>
          <cell r="AF87">
            <v>42123</v>
          </cell>
          <cell r="AG87">
            <v>42153</v>
          </cell>
          <cell r="AH87">
            <v>10080</v>
          </cell>
          <cell r="AI87">
            <v>2008.38</v>
          </cell>
          <cell r="AK87">
            <v>2008.38</v>
          </cell>
          <cell r="AM87">
            <v>2373.8200000000002</v>
          </cell>
          <cell r="AN87">
            <v>2373.8200000000002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42123</v>
          </cell>
          <cell r="Z88">
            <v>42152</v>
          </cell>
          <cell r="AA88">
            <v>24948.521204223238</v>
          </cell>
          <cell r="AB88">
            <v>3438.38</v>
          </cell>
          <cell r="AC88">
            <v>0.13781899022608032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42123</v>
          </cell>
          <cell r="Z89">
            <v>42152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42123</v>
          </cell>
          <cell r="Z90">
            <v>42152</v>
          </cell>
          <cell r="AA90">
            <v>27532.35062758674</v>
          </cell>
          <cell r="AB90">
            <v>3756.11</v>
          </cell>
          <cell r="AC90">
            <v>0.13642532927197543</v>
          </cell>
          <cell r="AL90">
            <v>27532</v>
          </cell>
          <cell r="AM90">
            <v>3756.11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42123</v>
          </cell>
          <cell r="Z91">
            <v>42152</v>
          </cell>
          <cell r="AA91">
            <v>0</v>
          </cell>
          <cell r="AB91">
            <v>0</v>
          </cell>
          <cell r="AC91">
            <v>0</v>
          </cell>
          <cell r="AM91">
            <v>3756.11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42123</v>
          </cell>
          <cell r="Z92">
            <v>42152</v>
          </cell>
          <cell r="AA92">
            <v>41112.371350931222</v>
          </cell>
          <cell r="AB92">
            <v>6147.1</v>
          </cell>
          <cell r="AC92">
            <v>0.14951947061211696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42123</v>
          </cell>
          <cell r="Z93">
            <v>42152</v>
          </cell>
          <cell r="AA93">
            <v>503.84631845718002</v>
          </cell>
          <cell r="AB93">
            <v>74.42</v>
          </cell>
          <cell r="AC93">
            <v>0.14770376853775638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42123</v>
          </cell>
          <cell r="Z94">
            <v>42152</v>
          </cell>
          <cell r="AA94">
            <v>28021.62884473271</v>
          </cell>
          <cell r="AB94">
            <v>3938.3</v>
          </cell>
          <cell r="AC94">
            <v>0.1405450062100973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42123</v>
          </cell>
          <cell r="Z95">
            <v>42152</v>
          </cell>
          <cell r="AA95">
            <v>34759.526278970698</v>
          </cell>
          <cell r="AB95">
            <v>4876.46</v>
          </cell>
          <cell r="AC95">
            <v>0.14029132505612507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42123</v>
          </cell>
          <cell r="Z96">
            <v>42152</v>
          </cell>
          <cell r="AA96">
            <v>7720.5416088563998</v>
          </cell>
          <cell r="AB96">
            <v>1345.64</v>
          </cell>
          <cell r="AC96">
            <v>0.17429347164665074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42123</v>
          </cell>
          <cell r="Z97">
            <v>42152</v>
          </cell>
          <cell r="AA97">
            <v>4338.7873041333096</v>
          </cell>
          <cell r="AB97">
            <v>563.29999999999995</v>
          </cell>
          <cell r="AC97">
            <v>0.12982890391132493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42123</v>
          </cell>
          <cell r="Z98">
            <v>42152</v>
          </cell>
          <cell r="AA98">
            <v>75403.367590072681</v>
          </cell>
          <cell r="AB98">
            <v>9662.61</v>
          </cell>
          <cell r="AC98">
            <v>0.12814560289310134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42123</v>
          </cell>
          <cell r="Z99">
            <v>42152</v>
          </cell>
          <cell r="AA99">
            <v>20148.60934199113</v>
          </cell>
          <cell r="AB99">
            <v>3106.12</v>
          </cell>
          <cell r="AC99">
            <v>0.15416051536254791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42123</v>
          </cell>
          <cell r="Z100">
            <v>42152</v>
          </cell>
          <cell r="AA100">
            <v>13866.244601232842</v>
          </cell>
          <cell r="AB100">
            <v>1975.39</v>
          </cell>
          <cell r="AC100">
            <v>0.14246034573949237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42123</v>
          </cell>
          <cell r="Z101">
            <v>42152</v>
          </cell>
          <cell r="AA101">
            <v>20583.997764351043</v>
          </cell>
          <cell r="AB101">
            <v>2717.66</v>
          </cell>
          <cell r="AC101">
            <v>0.13202780291332197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42123</v>
          </cell>
          <cell r="Z102">
            <v>42152</v>
          </cell>
          <cell r="AA102">
            <v>62228.382566967681</v>
          </cell>
          <cell r="AB102">
            <v>8162.4</v>
          </cell>
          <cell r="AC102">
            <v>0.13116844216890827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42123</v>
          </cell>
          <cell r="Z103">
            <v>42152</v>
          </cell>
          <cell r="AA103">
            <v>9472.7361270906003</v>
          </cell>
          <cell r="AB103">
            <v>1377.23</v>
          </cell>
          <cell r="AC103">
            <v>0.14538882763358407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42123</v>
          </cell>
          <cell r="Z104">
            <v>42152</v>
          </cell>
          <cell r="AA104">
            <v>78978.500028637296</v>
          </cell>
          <cell r="AB104">
            <v>10443.48</v>
          </cell>
          <cell r="AC104">
            <v>0.13223193649174439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42123</v>
          </cell>
          <cell r="Z106">
            <v>42152</v>
          </cell>
          <cell r="AA106">
            <v>87157.60215010884</v>
          </cell>
          <cell r="AB106">
            <v>12818.56</v>
          </cell>
          <cell r="AC106">
            <v>0.1470733439628478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42123</v>
          </cell>
          <cell r="Z107">
            <v>42152</v>
          </cell>
          <cell r="AA107">
            <v>3972.30852305484</v>
          </cell>
          <cell r="AB107">
            <v>528.97</v>
          </cell>
          <cell r="AC107">
            <v>0.13316437958681118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42123</v>
          </cell>
          <cell r="Z108">
            <v>42152</v>
          </cell>
          <cell r="AA108">
            <v>13755.0042425145</v>
          </cell>
          <cell r="AB108">
            <v>1871.01</v>
          </cell>
          <cell r="AC108">
            <v>0.13602394932144113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42123</v>
          </cell>
          <cell r="Z109">
            <v>42152</v>
          </cell>
          <cell r="AA109">
            <v>78791.011433520296</v>
          </cell>
          <cell r="AB109">
            <v>11578.55</v>
          </cell>
          <cell r="AC109">
            <v>0.14695267631853373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42123</v>
          </cell>
          <cell r="Z110">
            <v>42152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42123</v>
          </cell>
          <cell r="Z111">
            <v>42152</v>
          </cell>
          <cell r="AA111">
            <v>186988.78174510179</v>
          </cell>
          <cell r="AB111">
            <v>24236.33</v>
          </cell>
          <cell r="AC111">
            <v>0.12961381840028421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42123</v>
          </cell>
          <cell r="Z112">
            <v>42152</v>
          </cell>
          <cell r="AA112">
            <v>28809.463427225513</v>
          </cell>
          <cell r="AB112">
            <v>4048.91</v>
          </cell>
          <cell r="AC112">
            <v>0.14054097224781006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42146</v>
          </cell>
          <cell r="Z113">
            <v>42177</v>
          </cell>
          <cell r="AA113">
            <v>0</v>
          </cell>
          <cell r="AB113">
            <v>0</v>
          </cell>
          <cell r="AC113">
            <v>0</v>
          </cell>
          <cell r="AE113" t="str">
            <v>1-44-38866-03717-00-9001-3-01</v>
          </cell>
          <cell r="AF113">
            <v>42146</v>
          </cell>
          <cell r="AG113">
            <v>42177</v>
          </cell>
          <cell r="AH113">
            <v>0</v>
          </cell>
          <cell r="AK113">
            <v>0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42146</v>
          </cell>
          <cell r="Z114">
            <v>42177</v>
          </cell>
          <cell r="AA114">
            <v>0</v>
          </cell>
          <cell r="AB114">
            <v>0</v>
          </cell>
          <cell r="AC114">
            <v>0</v>
          </cell>
          <cell r="AE114" t="str">
            <v>1-44-38866-03717-00-9001-3-02</v>
          </cell>
          <cell r="AF114">
            <v>42123</v>
          </cell>
          <cell r="AG114">
            <v>42152</v>
          </cell>
          <cell r="AK114">
            <v>0</v>
          </cell>
          <cell r="AL114">
            <v>0</v>
          </cell>
          <cell r="AM114">
            <v>0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42123</v>
          </cell>
          <cell r="Z115">
            <v>42152</v>
          </cell>
          <cell r="AA115">
            <v>50532.509029650762</v>
          </cell>
          <cell r="AB115">
            <v>7594.95</v>
          </cell>
          <cell r="AC115">
            <v>0.15029829600472719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42094</v>
          </cell>
          <cell r="Z116">
            <v>42153</v>
          </cell>
          <cell r="AA116">
            <v>5440</v>
          </cell>
          <cell r="AB116">
            <v>870.91</v>
          </cell>
          <cell r="AC116">
            <v>0.16009375000000001</v>
          </cell>
          <cell r="AE116" t="str">
            <v>1-63-00433-00909-00-9001-3-01</v>
          </cell>
          <cell r="AF116">
            <v>42094</v>
          </cell>
          <cell r="AG116">
            <v>42153</v>
          </cell>
          <cell r="AH116">
            <v>5440</v>
          </cell>
          <cell r="AI116">
            <v>870.91</v>
          </cell>
          <cell r="AK116">
            <v>870.91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42123</v>
          </cell>
          <cell r="Z118">
            <v>42152</v>
          </cell>
          <cell r="AA118">
            <v>47426.307055968216</v>
          </cell>
          <cell r="AB118">
            <v>6527.12</v>
          </cell>
          <cell r="AC118">
            <v>0.1376265706772675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42123</v>
          </cell>
          <cell r="Z119">
            <v>42152</v>
          </cell>
          <cell r="AA119">
            <v>32672.868563514283</v>
          </cell>
          <cell r="AB119">
            <v>4189.4799999999996</v>
          </cell>
          <cell r="AC119">
            <v>0.12822504371955826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42125</v>
          </cell>
          <cell r="Z120">
            <v>42157</v>
          </cell>
          <cell r="AA120">
            <v>6720</v>
          </cell>
          <cell r="AB120">
            <v>1184.4000000000001</v>
          </cell>
          <cell r="AC120">
            <v>0.17625000000000002</v>
          </cell>
          <cell r="AE120" t="str">
            <v>1-44-43997-03440-00-9001-2-01</v>
          </cell>
          <cell r="AF120">
            <v>42125</v>
          </cell>
          <cell r="AG120">
            <v>42157</v>
          </cell>
          <cell r="AH120">
            <v>6720</v>
          </cell>
          <cell r="AI120">
            <v>1184.4000000000001</v>
          </cell>
          <cell r="AK120">
            <v>1184.4000000000001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42123</v>
          </cell>
          <cell r="Z121">
            <v>42152</v>
          </cell>
          <cell r="AA121">
            <v>75738.239099230952</v>
          </cell>
          <cell r="AB121">
            <v>9763.07</v>
          </cell>
          <cell r="AC121">
            <v>0.12890542632247617</v>
          </cell>
          <cell r="AE121" t="str">
            <v>1-44-43997-03440-00-9001-2-01</v>
          </cell>
          <cell r="AK121">
            <v>0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42123</v>
          </cell>
          <cell r="Z123">
            <v>42152</v>
          </cell>
          <cell r="AA123">
            <v>47281.488347359802</v>
          </cell>
          <cell r="AB123">
            <v>6761.56</v>
          </cell>
          <cell r="AC123">
            <v>0.14300649654522912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42124</v>
          </cell>
          <cell r="Z124">
            <v>42156</v>
          </cell>
          <cell r="AA124">
            <v>558</v>
          </cell>
          <cell r="AB124">
            <v>91.98</v>
          </cell>
          <cell r="AC124">
            <v>0.16483870967741937</v>
          </cell>
          <cell r="AE124" t="str">
            <v>1-63-43981-02712-00-0000-0-01</v>
          </cell>
          <cell r="AF124">
            <v>42124</v>
          </cell>
          <cell r="AG124">
            <v>42156</v>
          </cell>
          <cell r="AH124">
            <v>558</v>
          </cell>
          <cell r="AI124">
            <v>91.98</v>
          </cell>
          <cell r="AK124">
            <v>91.98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42123</v>
          </cell>
          <cell r="Z125">
            <v>42152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42123</v>
          </cell>
          <cell r="AG125">
            <v>42152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42123</v>
          </cell>
          <cell r="Z126">
            <v>42152</v>
          </cell>
          <cell r="AA126">
            <v>25394.366621820351</v>
          </cell>
          <cell r="AB126">
            <v>3488.78</v>
          </cell>
          <cell r="AC126">
            <v>0.13738401323237701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42123</v>
          </cell>
          <cell r="Z127">
            <v>42152</v>
          </cell>
          <cell r="AA127">
            <v>44743.17925326978</v>
          </cell>
          <cell r="AB127">
            <v>5699.71</v>
          </cell>
          <cell r="AC127">
            <v>0.12738723745437627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42123</v>
          </cell>
          <cell r="Z128">
            <v>42152</v>
          </cell>
          <cell r="AA128">
            <v>23420.296656685623</v>
          </cell>
          <cell r="AB128">
            <v>2801.77</v>
          </cell>
          <cell r="AC128">
            <v>0.11962999619819926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42123</v>
          </cell>
          <cell r="Z129">
            <v>42152</v>
          </cell>
          <cell r="AA129">
            <v>75029.815161082617</v>
          </cell>
          <cell r="AB129">
            <v>11957.31</v>
          </cell>
          <cell r="AC129">
            <v>0.15936744578576761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42123</v>
          </cell>
          <cell r="Z130">
            <v>42152</v>
          </cell>
          <cell r="AA130">
            <v>3193.0427999507397</v>
          </cell>
          <cell r="AB130">
            <v>412.77</v>
          </cell>
          <cell r="AC130">
            <v>0.12927167778846183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42123</v>
          </cell>
          <cell r="Z131">
            <v>42152</v>
          </cell>
          <cell r="AA131">
            <v>1564.3768933789199</v>
          </cell>
          <cell r="AB131">
            <v>212.32</v>
          </cell>
          <cell r="AC131">
            <v>0.13572176941415121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42123</v>
          </cell>
          <cell r="Z132">
            <v>42152</v>
          </cell>
          <cell r="AA132">
            <v>23878.026818341012</v>
          </cell>
          <cell r="AB132">
            <v>3052.27</v>
          </cell>
          <cell r="AC132">
            <v>0.12782756394491998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42123</v>
          </cell>
          <cell r="Z133">
            <v>42152</v>
          </cell>
          <cell r="AA133">
            <v>9126.4771516010387</v>
          </cell>
          <cell r="AB133">
            <v>1564.68</v>
          </cell>
          <cell r="AC133">
            <v>0.17144402752660282</v>
          </cell>
          <cell r="AE133" t="str">
            <v>1-63-34103-03131-00-9002-0-01</v>
          </cell>
          <cell r="AF133">
            <v>42094</v>
          </cell>
          <cell r="AG133">
            <v>42123</v>
          </cell>
          <cell r="AH133">
            <v>1760</v>
          </cell>
          <cell r="AI133">
            <v>3573.76</v>
          </cell>
          <cell r="AK133">
            <v>3573.76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42123</v>
          </cell>
          <cell r="Z134">
            <v>42152</v>
          </cell>
          <cell r="AA134">
            <v>2804.7349736910001</v>
          </cell>
          <cell r="AB134">
            <v>346.05</v>
          </cell>
          <cell r="AC134">
            <v>0.12338064139607531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42094</v>
          </cell>
          <cell r="Z136">
            <v>42153</v>
          </cell>
          <cell r="AA136">
            <v>62480</v>
          </cell>
          <cell r="AB136">
            <v>12572.11</v>
          </cell>
          <cell r="AC136">
            <v>0.20121814980793856</v>
          </cell>
          <cell r="AE136" t="str">
            <v>1-63-34103-03131-00-9001-0-01</v>
          </cell>
          <cell r="AF136">
            <v>42094</v>
          </cell>
          <cell r="AG136">
            <v>42153</v>
          </cell>
          <cell r="AH136">
            <v>60720</v>
          </cell>
          <cell r="AI136">
            <v>8998.35</v>
          </cell>
          <cell r="AK136">
            <v>8998.35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E137" t="str">
            <v>1-44-38866-03447-00-9001-4-01</v>
          </cell>
          <cell r="AF137">
            <v>42125</v>
          </cell>
          <cell r="AG137">
            <v>42157</v>
          </cell>
          <cell r="AH137">
            <v>54400</v>
          </cell>
          <cell r="AI137">
            <v>7529.98</v>
          </cell>
          <cell r="AK137">
            <v>7529.98</v>
          </cell>
          <cell r="AL137">
            <v>0</v>
          </cell>
          <cell r="AM137">
            <v>0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L138">
            <v>0</v>
          </cell>
          <cell r="AM138">
            <v>0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42125</v>
          </cell>
          <cell r="Z139">
            <v>42157</v>
          </cell>
          <cell r="AA139">
            <v>54400</v>
          </cell>
          <cell r="AB139">
            <v>7529.98</v>
          </cell>
          <cell r="AC139">
            <v>0.13841874999999998</v>
          </cell>
          <cell r="AE139" t="str">
            <v>1-44-38866-03447-00-9004-0-01</v>
          </cell>
          <cell r="AK139">
            <v>0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42123</v>
          </cell>
          <cell r="Z140">
            <v>42152</v>
          </cell>
          <cell r="AA140">
            <v>20352.601018190409</v>
          </cell>
          <cell r="AB140">
            <v>2696.6</v>
          </cell>
          <cell r="AC140">
            <v>0.13249412188593868</v>
          </cell>
          <cell r="AE140" t="str">
            <v>1-44-38866-03447-00-9004-0-01</v>
          </cell>
          <cell r="AK140">
            <v>0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42123</v>
          </cell>
          <cell r="Z141">
            <v>42152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42123</v>
          </cell>
          <cell r="Z142">
            <v>42152</v>
          </cell>
          <cell r="AA142">
            <v>22488.672899874389</v>
          </cell>
          <cell r="AB142">
            <v>2953.52</v>
          </cell>
          <cell r="AC142">
            <v>0.13133367242922089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42123</v>
          </cell>
          <cell r="Z143">
            <v>42152</v>
          </cell>
          <cell r="AA143">
            <v>43486.467900000003</v>
          </cell>
          <cell r="AB143">
            <v>6438.4712460000001</v>
          </cell>
          <cell r="AC143">
            <v>0.14805689118752272</v>
          </cell>
          <cell r="AL143">
            <v>74247</v>
          </cell>
          <cell r="AM143">
            <v>10992.78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42123</v>
          </cell>
          <cell r="Z144">
            <v>42152</v>
          </cell>
          <cell r="AA144">
            <v>30760.5321</v>
          </cell>
          <cell r="AB144">
            <v>4554.3087540000006</v>
          </cell>
          <cell r="AC144">
            <v>0.14805689118752274</v>
          </cell>
          <cell r="AM144">
            <v>10992.78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42123</v>
          </cell>
          <cell r="Z145">
            <v>42152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42123</v>
          </cell>
          <cell r="Z146">
            <v>42153</v>
          </cell>
          <cell r="AA146">
            <v>27568</v>
          </cell>
          <cell r="AB146">
            <v>4231.9441927680036</v>
          </cell>
          <cell r="AC146">
            <v>0.15350929312130018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>
            <v>0</v>
          </cell>
          <cell r="AB147">
            <v>0</v>
          </cell>
          <cell r="AC147">
            <v>0</v>
          </cell>
          <cell r="AE147" t="str">
            <v>1-42-78217-02716-00-0000-4-01</v>
          </cell>
          <cell r="AF147">
            <v>42123</v>
          </cell>
          <cell r="AG147">
            <v>42152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42123</v>
          </cell>
          <cell r="AG148">
            <v>42152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42123</v>
          </cell>
          <cell r="Z149">
            <v>42152</v>
          </cell>
          <cell r="AA149">
            <v>137256.56331670063</v>
          </cell>
          <cell r="AB149">
            <v>20696.43</v>
          </cell>
          <cell r="AC149">
            <v>0.15078645057027865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42123</v>
          </cell>
          <cell r="Z151">
            <v>42152</v>
          </cell>
          <cell r="AA151">
            <v>122755.40481382686</v>
          </cell>
          <cell r="AB151">
            <v>16177.14</v>
          </cell>
          <cell r="AC151">
            <v>0.13178352533262835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42123</v>
          </cell>
          <cell r="Z152">
            <v>42152</v>
          </cell>
          <cell r="AA152">
            <v>98108.179904272591</v>
          </cell>
          <cell r="AB152">
            <v>14387.9</v>
          </cell>
          <cell r="AC152">
            <v>0.14665341884885391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42123</v>
          </cell>
          <cell r="Z153">
            <v>42152</v>
          </cell>
          <cell r="AA153">
            <v>5954.7034999999996</v>
          </cell>
          <cell r="AB153">
            <v>827.96539499999994</v>
          </cell>
          <cell r="AC153">
            <v>0.1390439330858371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42123</v>
          </cell>
          <cell r="Z154">
            <v>42152</v>
          </cell>
          <cell r="AA154">
            <v>60578.296499999997</v>
          </cell>
          <cell r="AB154">
            <v>8423.0446049999991</v>
          </cell>
          <cell r="AC154">
            <v>0.1390439330858371</v>
          </cell>
          <cell r="AL154">
            <v>66533</v>
          </cell>
          <cell r="AM154">
            <v>9251.01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42123</v>
          </cell>
          <cell r="Z155">
            <v>42152</v>
          </cell>
          <cell r="AA155">
            <v>3369.4204437792</v>
          </cell>
          <cell r="AB155">
            <v>437.53</v>
          </cell>
          <cell r="AC155">
            <v>0.1298531920549692</v>
          </cell>
          <cell r="AM155">
            <v>9251.0099999999984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42123</v>
          </cell>
          <cell r="Z156">
            <v>42152</v>
          </cell>
          <cell r="AA156">
            <v>1001.8834714173599</v>
          </cell>
          <cell r="AB156">
            <v>200.36</v>
          </cell>
          <cell r="AC156">
            <v>0.19998333710062274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42123</v>
          </cell>
          <cell r="Z157">
            <v>42152</v>
          </cell>
          <cell r="AA157">
            <v>82106.045226104761</v>
          </cell>
          <cell r="AB157">
            <v>11005.91</v>
          </cell>
          <cell r="AC157">
            <v>0.13404506293893187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42123</v>
          </cell>
          <cell r="Z158">
            <v>42152</v>
          </cell>
          <cell r="AA158">
            <v>172931.15420453667</v>
          </cell>
          <cell r="AB158">
            <v>25673.14</v>
          </cell>
          <cell r="AC158">
            <v>0.14845873271414556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42096</v>
          </cell>
          <cell r="Z159">
            <v>42157</v>
          </cell>
          <cell r="AA159">
            <v>11440</v>
          </cell>
          <cell r="AB159">
            <v>1837.59</v>
          </cell>
          <cell r="AC159">
            <v>0.1606284965034965</v>
          </cell>
          <cell r="AE159" t="str">
            <v>1-44-43997-03500-00-9001-1-01</v>
          </cell>
          <cell r="AF159">
            <v>42096</v>
          </cell>
          <cell r="AG159">
            <v>42157</v>
          </cell>
          <cell r="AH159">
            <v>11440</v>
          </cell>
          <cell r="AI159">
            <v>1837.59</v>
          </cell>
          <cell r="AK159">
            <v>1837.59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42123</v>
          </cell>
          <cell r="Z160">
            <v>42152</v>
          </cell>
          <cell r="AA160">
            <v>19496.213072789222</v>
          </cell>
          <cell r="AB160">
            <v>3415.14</v>
          </cell>
          <cell r="AC160">
            <v>0.17516940275783585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42123</v>
          </cell>
          <cell r="Z161">
            <v>42153</v>
          </cell>
          <cell r="AA161">
            <v>26244</v>
          </cell>
          <cell r="AB161">
            <v>4210.7958000000008</v>
          </cell>
          <cell r="AC161">
            <v>0.1604479423868313</v>
          </cell>
          <cell r="AE161" t="str">
            <v>1-63-00433-00746-00-0000-4-01</v>
          </cell>
          <cell r="AF161">
            <v>42123</v>
          </cell>
          <cell r="AG161">
            <v>42153</v>
          </cell>
          <cell r="AH161">
            <v>48600</v>
          </cell>
          <cell r="AI161">
            <v>7797.77</v>
          </cell>
          <cell r="AK161">
            <v>7797.77</v>
          </cell>
          <cell r="AL161">
            <v>48600</v>
          </cell>
          <cell r="AM161">
            <v>7797.77</v>
          </cell>
          <cell r="AN161" t="str">
            <v>#42</v>
          </cell>
          <cell r="AO161">
            <v>0.28199999999999997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42123</v>
          </cell>
          <cell r="Z162">
            <v>42152</v>
          </cell>
          <cell r="AA162">
            <v>38129.677403646245</v>
          </cell>
          <cell r="AB162">
            <v>5281.39</v>
          </cell>
          <cell r="AC162">
            <v>0.13851126890192242</v>
          </cell>
          <cell r="AL162">
            <v>48600</v>
          </cell>
          <cell r="AM162">
            <v>7797.7700000000013</v>
          </cell>
          <cell r="AN162" t="str">
            <v>#52</v>
          </cell>
          <cell r="AO162">
            <v>0.17799999999999999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42123</v>
          </cell>
          <cell r="Z163">
            <v>42152</v>
          </cell>
          <cell r="AC163">
            <v>0</v>
          </cell>
          <cell r="AN163" t="str">
            <v>#261</v>
          </cell>
          <cell r="AO163">
            <v>0.54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42123</v>
          </cell>
          <cell r="Z164">
            <v>42152</v>
          </cell>
          <cell r="AA164">
            <v>39115.097147368622</v>
          </cell>
          <cell r="AB164">
            <v>5503.69</v>
          </cell>
          <cell r="AC164">
            <v>0.14070500654170681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42123</v>
          </cell>
          <cell r="Z165">
            <v>42152</v>
          </cell>
          <cell r="AA165">
            <v>6583.5503670818707</v>
          </cell>
          <cell r="AB165">
            <v>923.32</v>
          </cell>
          <cell r="AC165">
            <v>0.14024651571235075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42123</v>
          </cell>
          <cell r="Z166">
            <v>42153</v>
          </cell>
          <cell r="AA166">
            <v>4120</v>
          </cell>
          <cell r="AB166">
            <v>731.04</v>
          </cell>
          <cell r="AC166">
            <v>0.17743689320388348</v>
          </cell>
          <cell r="AE166" t="str">
            <v>1-63-96497-01102-00-0000-1-01</v>
          </cell>
          <cell r="AF166">
            <v>42123</v>
          </cell>
          <cell r="AG166">
            <v>42153</v>
          </cell>
          <cell r="AH166">
            <v>4120</v>
          </cell>
          <cell r="AI166">
            <v>731.04</v>
          </cell>
          <cell r="AK166">
            <v>731.04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42123</v>
          </cell>
          <cell r="Z167">
            <v>42153</v>
          </cell>
          <cell r="AA167">
            <v>1840</v>
          </cell>
          <cell r="AB167">
            <v>452.04</v>
          </cell>
          <cell r="AC167">
            <v>0.24567391304347827</v>
          </cell>
          <cell r="AE167" t="str">
            <v>1-63-43981-02653-00-0000-0-01</v>
          </cell>
          <cell r="AF167">
            <v>42123</v>
          </cell>
          <cell r="AG167">
            <v>42153</v>
          </cell>
          <cell r="AH167">
            <v>1840</v>
          </cell>
          <cell r="AI167">
            <v>452.04</v>
          </cell>
          <cell r="AK167">
            <v>452.04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42123</v>
          </cell>
          <cell r="Z168">
            <v>42153</v>
          </cell>
          <cell r="AA168">
            <v>73680</v>
          </cell>
          <cell r="AB168">
            <v>12057.9</v>
          </cell>
          <cell r="AC168">
            <v>0.16365228013029315</v>
          </cell>
          <cell r="AE168" t="str">
            <v>1-63-34103-03500-00-9001-6-01</v>
          </cell>
          <cell r="AF168">
            <v>42123</v>
          </cell>
          <cell r="AG168">
            <v>42153</v>
          </cell>
          <cell r="AH168">
            <v>49280</v>
          </cell>
          <cell r="AI168">
            <v>8175.76</v>
          </cell>
          <cell r="AK168">
            <v>8175.76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42123</v>
          </cell>
          <cell r="Z169">
            <v>42152</v>
          </cell>
          <cell r="AA169">
            <v>13990.154528288562</v>
          </cell>
          <cell r="AB169">
            <v>1622.28</v>
          </cell>
          <cell r="AC169">
            <v>0.11595869057198013</v>
          </cell>
          <cell r="AE169" t="str">
            <v>1-63-34103-03500-00-0000-4-01</v>
          </cell>
          <cell r="AF169">
            <v>42123</v>
          </cell>
          <cell r="AG169">
            <v>42153</v>
          </cell>
          <cell r="AH169">
            <v>24400</v>
          </cell>
          <cell r="AI169">
            <v>3882.14</v>
          </cell>
          <cell r="AK169">
            <v>3882.14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42123</v>
          </cell>
          <cell r="Z170">
            <v>42152</v>
          </cell>
          <cell r="AA170">
            <v>142290.84174217403</v>
          </cell>
          <cell r="AB170">
            <v>20691.060000000001</v>
          </cell>
          <cell r="AC170">
            <v>0.14541385620229494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42123</v>
          </cell>
          <cell r="Z171">
            <v>42152</v>
          </cell>
          <cell r="AA171">
            <v>44953.306515021104</v>
          </cell>
          <cell r="AB171">
            <v>5374.18</v>
          </cell>
          <cell r="AC171">
            <v>0.11955027152906368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42128</v>
          </cell>
          <cell r="Z172">
            <v>42157</v>
          </cell>
          <cell r="AA172">
            <v>2419875.06</v>
          </cell>
          <cell r="AB172">
            <v>313719.48223922489</v>
          </cell>
          <cell r="AC172">
            <v>0.12964284289918046</v>
          </cell>
          <cell r="AE172" t="str">
            <v>1-44-38866-03430-00-0000-1-01</v>
          </cell>
          <cell r="AF172">
            <v>42128</v>
          </cell>
          <cell r="AG172">
            <v>42157</v>
          </cell>
          <cell r="AH172">
            <v>192000</v>
          </cell>
          <cell r="AI172">
            <v>27984.27</v>
          </cell>
          <cell r="AK172">
            <v>27984.27</v>
          </cell>
        </row>
        <row r="173">
          <cell r="R173" t="str">
            <v>2811</v>
          </cell>
          <cell r="S173" t="str">
            <v>CAL URBAN MARKET</v>
          </cell>
          <cell r="Y173">
            <v>42128</v>
          </cell>
          <cell r="Z173">
            <v>42157</v>
          </cell>
          <cell r="AA173">
            <v>18585</v>
          </cell>
          <cell r="AB173">
            <v>2409.4122352812687</v>
          </cell>
          <cell r="AC173">
            <v>0.12964284289918046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42123</v>
          </cell>
          <cell r="Z174">
            <v>42152</v>
          </cell>
          <cell r="AA174">
            <v>10174.357618840941</v>
          </cell>
          <cell r="AB174">
            <v>1455.51</v>
          </cell>
          <cell r="AC174">
            <v>0.14305669748669708</v>
          </cell>
          <cell r="AE174" t="str">
            <v>1-44-38866-03434-00-9003-0-01</v>
          </cell>
          <cell r="AF174">
            <v>42096</v>
          </cell>
          <cell r="AG174">
            <v>42125</v>
          </cell>
          <cell r="AH174">
            <v>1902462.06</v>
          </cell>
          <cell r="AI174">
            <v>240373.15</v>
          </cell>
          <cell r="AK174">
            <v>240373.15</v>
          </cell>
          <cell r="AL174">
            <v>0.12964284289918046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42123</v>
          </cell>
          <cell r="Z175">
            <v>42153</v>
          </cell>
          <cell r="AA175">
            <v>524136.83999999997</v>
          </cell>
          <cell r="AB175">
            <v>80459.875807232005</v>
          </cell>
          <cell r="AC175">
            <v>0.15350929312130018</v>
          </cell>
          <cell r="AE175" t="str">
            <v>1-63-34103-03400-00-9001-0-01</v>
          </cell>
          <cell r="AF175">
            <v>42123</v>
          </cell>
          <cell r="AG175">
            <v>42153</v>
          </cell>
          <cell r="AH175">
            <v>551704.84</v>
          </cell>
          <cell r="AI175">
            <v>84691.82</v>
          </cell>
          <cell r="AK175">
            <v>84691.82</v>
          </cell>
          <cell r="AL175">
            <v>551704.84</v>
          </cell>
          <cell r="AM175">
            <v>0.15350929312130018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42123</v>
          </cell>
          <cell r="Z176">
            <v>42152</v>
          </cell>
          <cell r="AA176">
            <v>308718.6441133559</v>
          </cell>
          <cell r="AB176">
            <v>41101.019999999997</v>
          </cell>
          <cell r="AC176">
            <v>0.13313423333418259</v>
          </cell>
          <cell r="AE176" t="str">
            <v>1-44-38866-03434-00-9003-3-01</v>
          </cell>
          <cell r="AF176">
            <v>42128</v>
          </cell>
          <cell r="AG176">
            <v>42157</v>
          </cell>
          <cell r="AH176">
            <v>407400</v>
          </cell>
          <cell r="AI176">
            <v>55991.09</v>
          </cell>
          <cell r="AK176">
            <v>55991.09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42123</v>
          </cell>
          <cell r="Z177">
            <v>42152</v>
          </cell>
          <cell r="AA177">
            <v>454379.91730934026</v>
          </cell>
          <cell r="AB177">
            <v>59682.95</v>
          </cell>
          <cell r="AC177">
            <v>0.1313503254136297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42123</v>
          </cell>
          <cell r="Z178">
            <v>42152</v>
          </cell>
          <cell r="AA178">
            <v>37560.804718921041</v>
          </cell>
          <cell r="AB178">
            <v>5591.33</v>
          </cell>
          <cell r="AC178">
            <v>0.14886076168606152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42123</v>
          </cell>
          <cell r="Z179">
            <v>42152</v>
          </cell>
          <cell r="AA179">
            <v>12806.97885711112</v>
          </cell>
          <cell r="AB179">
            <v>1736.66</v>
          </cell>
          <cell r="AC179">
            <v>0.13560262879919674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42123</v>
          </cell>
          <cell r="Z180">
            <v>42152</v>
          </cell>
          <cell r="AA180">
            <v>122058.28837477109</v>
          </cell>
          <cell r="AB180">
            <v>17479.240000000002</v>
          </cell>
          <cell r="AC180">
            <v>0.14320403991190886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42123</v>
          </cell>
          <cell r="Z181">
            <v>42152</v>
          </cell>
          <cell r="AA181">
            <v>2627.5987216980898</v>
          </cell>
          <cell r="AB181">
            <v>431.82</v>
          </cell>
          <cell r="AC181">
            <v>0.16434016215418754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42123</v>
          </cell>
          <cell r="Z182">
            <v>42152</v>
          </cell>
          <cell r="AA182">
            <v>261296.60600775032</v>
          </cell>
          <cell r="AB182">
            <v>36382.32</v>
          </cell>
          <cell r="AC182">
            <v>0.1392376294352666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42123</v>
          </cell>
          <cell r="Z183">
            <v>42152</v>
          </cell>
          <cell r="AA183">
            <v>125231.95501364862</v>
          </cell>
          <cell r="AB183">
            <v>16854.349999999999</v>
          </cell>
          <cell r="AC183">
            <v>0.13458505856722511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42123</v>
          </cell>
          <cell r="Z184">
            <v>42152</v>
          </cell>
          <cell r="AA184">
            <v>57633.971589035282</v>
          </cell>
          <cell r="AB184">
            <v>8436.85</v>
          </cell>
          <cell r="AC184">
            <v>0.1463867536348144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42123</v>
          </cell>
          <cell r="Z185">
            <v>42152</v>
          </cell>
          <cell r="AA185">
            <v>34627.544696573597</v>
          </cell>
          <cell r="AB185">
            <v>4632.45</v>
          </cell>
          <cell r="AC185">
            <v>0.13377933782461862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42123</v>
          </cell>
          <cell r="Z186">
            <v>42152</v>
          </cell>
          <cell r="AA186">
            <v>7711.7417496895005</v>
          </cell>
          <cell r="AB186">
            <v>965.3</v>
          </cell>
          <cell r="AC186">
            <v>0.1251727601016808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42123</v>
          </cell>
          <cell r="Z187">
            <v>42152</v>
          </cell>
          <cell r="AA187">
            <v>8239.5849874703508</v>
          </cell>
          <cell r="AB187">
            <v>1191.8499999999999</v>
          </cell>
          <cell r="AC187">
            <v>0.1446492756385673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42123</v>
          </cell>
          <cell r="Z188">
            <v>42152</v>
          </cell>
          <cell r="AA188">
            <v>5059.3356595171099</v>
          </cell>
          <cell r="AB188">
            <v>619.46</v>
          </cell>
          <cell r="AC188">
            <v>0.12243900023409884</v>
          </cell>
        </row>
        <row r="189">
          <cell r="R189">
            <v>3160</v>
          </cell>
          <cell r="S189" t="str">
            <v>Campus Develpmt &amp; Facilities</v>
          </cell>
          <cell r="Y189">
            <v>42128</v>
          </cell>
          <cell r="Z189">
            <v>42157</v>
          </cell>
          <cell r="AA189">
            <v>63402</v>
          </cell>
          <cell r="AB189">
            <v>8219.6155254938403</v>
          </cell>
          <cell r="AC189">
            <v>0.12964284289918046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42123</v>
          </cell>
          <cell r="Z190">
            <v>42152</v>
          </cell>
          <cell r="AA190">
            <v>174653.4547306966</v>
          </cell>
          <cell r="AB190">
            <v>23313.72</v>
          </cell>
          <cell r="AC190">
            <v>0.13348559314757402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42123</v>
          </cell>
          <cell r="Z191">
            <v>42152</v>
          </cell>
          <cell r="AA191">
            <v>110308.89092718431</v>
          </cell>
          <cell r="AB191">
            <v>16142.13</v>
          </cell>
          <cell r="AC191">
            <v>0.14633571115002447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42123</v>
          </cell>
          <cell r="Z192">
            <v>42152</v>
          </cell>
          <cell r="AA192">
            <v>133323.54805391925</v>
          </cell>
          <cell r="AB192">
            <v>18498.95</v>
          </cell>
          <cell r="AC192">
            <v>0.1387523079757717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42123</v>
          </cell>
          <cell r="Z193">
            <v>42152</v>
          </cell>
          <cell r="AA193">
            <v>86927.352183921976</v>
          </cell>
          <cell r="AB193">
            <v>12013.18</v>
          </cell>
          <cell r="AC193">
            <v>0.1381979284792014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42123</v>
          </cell>
          <cell r="Z194">
            <v>42152</v>
          </cell>
          <cell r="AA194">
            <v>89829.310237704398</v>
          </cell>
          <cell r="AB194">
            <v>12669.531159999999</v>
          </cell>
          <cell r="AC194">
            <v>0.14104005837820816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42123</v>
          </cell>
          <cell r="Z195">
            <v>42152</v>
          </cell>
          <cell r="AA195">
            <v>2784.6054838324044</v>
          </cell>
          <cell r="AB195">
            <v>392.74091999999996</v>
          </cell>
          <cell r="AC195">
            <v>0.14104005837820782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42123</v>
          </cell>
          <cell r="Z196">
            <v>42152</v>
          </cell>
          <cell r="AA196">
            <v>10519.620716700194</v>
          </cell>
          <cell r="AB196">
            <v>1483.6879199999998</v>
          </cell>
          <cell r="AC196">
            <v>0.14104005837820782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42123</v>
          </cell>
          <cell r="Z197">
            <v>42152</v>
          </cell>
          <cell r="AA197">
            <v>84397.907650112829</v>
          </cell>
          <cell r="AB197">
            <v>12707.51</v>
          </cell>
          <cell r="AC197">
            <v>0.15056664737094358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42123</v>
          </cell>
          <cell r="Z198">
            <v>42152</v>
          </cell>
          <cell r="AA198">
            <v>103811.40110202534</v>
          </cell>
          <cell r="AB198">
            <v>13609.85</v>
          </cell>
          <cell r="AC198">
            <v>0.13110168878873243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42123</v>
          </cell>
          <cell r="Z199">
            <v>42152</v>
          </cell>
          <cell r="AA199">
            <v>48089.021606035742</v>
          </cell>
          <cell r="AB199">
            <v>5641.03</v>
          </cell>
          <cell r="AC199">
            <v>0.11730390454215404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42123</v>
          </cell>
          <cell r="Z200">
            <v>42152</v>
          </cell>
          <cell r="AA200">
            <v>82880.261617044598</v>
          </cell>
          <cell r="AB200">
            <v>14472.36</v>
          </cell>
          <cell r="AC200">
            <v>0.17461769204917316</v>
          </cell>
        </row>
        <row r="201">
          <cell r="R201" t="str">
            <v>5010</v>
          </cell>
          <cell r="S201" t="str">
            <v>Brian Kennedy Field</v>
          </cell>
          <cell r="Y201">
            <v>42123</v>
          </cell>
          <cell r="Z201">
            <v>42152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42123</v>
          </cell>
          <cell r="Z202">
            <v>42152</v>
          </cell>
          <cell r="AA202">
            <v>1055.50801438852</v>
          </cell>
          <cell r="AB202">
            <v>129.06</v>
          </cell>
          <cell r="AC202">
            <v>0.12227287546913362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42123</v>
          </cell>
          <cell r="Z203">
            <v>42152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42123</v>
          </cell>
          <cell r="Z205">
            <v>42152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42123</v>
          </cell>
          <cell r="AG205">
            <v>42152</v>
          </cell>
          <cell r="AK205">
            <v>0</v>
          </cell>
        </row>
        <row r="216">
          <cell r="AB216">
            <v>1735528.8000000005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42153</v>
          </cell>
          <cell r="Z9">
            <v>42184</v>
          </cell>
          <cell r="AA9">
            <v>44208.856274800644</v>
          </cell>
          <cell r="AB9">
            <v>7668.1</v>
          </cell>
          <cell r="AC9">
            <v>0.17345167113881818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42153</v>
          </cell>
          <cell r="Z10">
            <v>42184</v>
          </cell>
          <cell r="AA10">
            <v>33119.124585576959</v>
          </cell>
          <cell r="AB10">
            <v>4837.6000000000004</v>
          </cell>
          <cell r="AC10">
            <v>0.14606666270722402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42153</v>
          </cell>
          <cell r="Z11">
            <v>42156</v>
          </cell>
          <cell r="AA11">
            <v>4824.3330191707637</v>
          </cell>
          <cell r="AB11">
            <v>715.55</v>
          </cell>
          <cell r="AC11">
            <v>0.14832102119745313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42153</v>
          </cell>
          <cell r="Z12">
            <v>42184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42153</v>
          </cell>
          <cell r="Z13">
            <v>42184</v>
          </cell>
          <cell r="AA13">
            <v>107888.18449670795</v>
          </cell>
          <cell r="AB13">
            <v>17356.48</v>
          </cell>
          <cell r="AC13">
            <v>0.16087470635424037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42153</v>
          </cell>
          <cell r="Z14">
            <v>42184</v>
          </cell>
          <cell r="AA14">
            <v>45579.950041822136</v>
          </cell>
          <cell r="AB14">
            <v>7334.79</v>
          </cell>
          <cell r="AC14">
            <v>0.16092141376350616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42153</v>
          </cell>
          <cell r="Z15">
            <v>42184</v>
          </cell>
          <cell r="AA15">
            <v>117262.00362460922</v>
          </cell>
          <cell r="AB15">
            <v>18809.61</v>
          </cell>
          <cell r="AC15">
            <v>0.16040669115816231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42153</v>
          </cell>
          <cell r="Z16">
            <v>42184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42153</v>
          </cell>
          <cell r="Z17">
            <v>42184</v>
          </cell>
          <cell r="AA17">
            <v>290538.04678907961</v>
          </cell>
          <cell r="AB17">
            <v>42199.41</v>
          </cell>
          <cell r="AC17">
            <v>0.14524572759530971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42153</v>
          </cell>
          <cell r="Z18">
            <v>42184</v>
          </cell>
          <cell r="AA18">
            <v>119847.67605344104</v>
          </cell>
          <cell r="AB18">
            <v>14331.7</v>
          </cell>
          <cell r="AC18">
            <v>0.11958262748131537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42153</v>
          </cell>
          <cell r="Z19">
            <v>42184</v>
          </cell>
          <cell r="AA19">
            <v>43650.147034895359</v>
          </cell>
          <cell r="AB19">
            <v>7321.02</v>
          </cell>
          <cell r="AC19">
            <v>0.16772039723365278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42153</v>
          </cell>
          <cell r="Z20">
            <v>42184</v>
          </cell>
          <cell r="AA20">
            <v>29437.294225614653</v>
          </cell>
          <cell r="AB20">
            <v>3482.4</v>
          </cell>
          <cell r="AC20">
            <v>0.11829891610655624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42153</v>
          </cell>
          <cell r="Z21">
            <v>42184</v>
          </cell>
          <cell r="AA21">
            <v>0</v>
          </cell>
          <cell r="AB21">
            <v>3.66</v>
          </cell>
          <cell r="AC21">
            <v>0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42153</v>
          </cell>
          <cell r="Z22">
            <v>42184</v>
          </cell>
          <cell r="AA22">
            <v>13787.58751530038</v>
          </cell>
          <cell r="AB22">
            <v>2510.37</v>
          </cell>
          <cell r="AC22">
            <v>0.18207463758356485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42153</v>
          </cell>
          <cell r="Z23">
            <v>42184</v>
          </cell>
          <cell r="AA23">
            <v>91062.589538646775</v>
          </cell>
          <cell r="AB23">
            <v>14635.65</v>
          </cell>
          <cell r="AC23">
            <v>0.16072077539359519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42153</v>
          </cell>
          <cell r="Z24">
            <v>42184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42153</v>
          </cell>
          <cell r="Z25">
            <v>42184</v>
          </cell>
          <cell r="AA25">
            <v>158147.04554333683</v>
          </cell>
          <cell r="AB25">
            <v>24834.03</v>
          </cell>
          <cell r="AC25">
            <v>0.15703126109425017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42153</v>
          </cell>
          <cell r="Z26">
            <v>42184</v>
          </cell>
          <cell r="AA26">
            <v>146343.14935353832</v>
          </cell>
          <cell r="AB26">
            <v>22982.5</v>
          </cell>
          <cell r="AC26">
            <v>0.1570452740802952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42153</v>
          </cell>
          <cell r="Z27">
            <v>42184</v>
          </cell>
          <cell r="AA27">
            <v>2602.396221328007</v>
          </cell>
          <cell r="AB27">
            <v>465.85</v>
          </cell>
          <cell r="AC27">
            <v>0.17900809883680049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42153</v>
          </cell>
          <cell r="Z28">
            <v>42184</v>
          </cell>
          <cell r="AA28">
            <v>46688.239107154674</v>
          </cell>
          <cell r="AB28">
            <v>7157.63</v>
          </cell>
          <cell r="AC28">
            <v>0.15330691704976165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42153</v>
          </cell>
          <cell r="Z29">
            <v>42184</v>
          </cell>
          <cell r="AA29">
            <v>300744.0068056733</v>
          </cell>
          <cell r="AB29">
            <v>35753.24</v>
          </cell>
          <cell r="AC29">
            <v>0.11888263503485896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42153</v>
          </cell>
          <cell r="Z30">
            <v>42184</v>
          </cell>
          <cell r="AA30">
            <v>31313.278236693601</v>
          </cell>
          <cell r="AB30">
            <v>3288.09</v>
          </cell>
          <cell r="AC30">
            <v>0.10500625246407266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42153</v>
          </cell>
          <cell r="Z31">
            <v>42184</v>
          </cell>
          <cell r="AA31">
            <v>50976.835887717789</v>
          </cell>
          <cell r="AB31">
            <v>7530.93</v>
          </cell>
          <cell r="AC31">
            <v>0.14773239391687079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42153</v>
          </cell>
          <cell r="Z32">
            <v>42184</v>
          </cell>
          <cell r="AA32">
            <v>106462.54512963862</v>
          </cell>
          <cell r="AB32">
            <v>15749.15</v>
          </cell>
          <cell r="AC32">
            <v>0.14793136854677277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42153</v>
          </cell>
          <cell r="Z33">
            <v>42184</v>
          </cell>
          <cell r="AA33">
            <v>103890.23640415428</v>
          </cell>
          <cell r="AB33">
            <v>16384.14</v>
          </cell>
          <cell r="AC33">
            <v>0.15770625389918588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42153</v>
          </cell>
          <cell r="Z34">
            <v>42184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42153</v>
          </cell>
          <cell r="Z35">
            <v>42184</v>
          </cell>
          <cell r="AA35">
            <v>113736.20783050571</v>
          </cell>
          <cell r="AB35">
            <v>18579.59</v>
          </cell>
          <cell r="AC35">
            <v>0.16335686193870694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42153</v>
          </cell>
          <cell r="Z36">
            <v>42184</v>
          </cell>
          <cell r="AA36">
            <v>127462.87867487567</v>
          </cell>
          <cell r="AB36">
            <v>20323</v>
          </cell>
          <cell r="AC36">
            <v>0.15944249974016855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42153</v>
          </cell>
          <cell r="Z37">
            <v>42184</v>
          </cell>
          <cell r="AA37">
            <v>244632.634230333</v>
          </cell>
          <cell r="AB37">
            <v>38501.589999999997</v>
          </cell>
          <cell r="AC37">
            <v>0.15738533871874574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42153</v>
          </cell>
          <cell r="Z38">
            <v>42184</v>
          </cell>
          <cell r="AA38">
            <v>50268.585515800791</v>
          </cell>
          <cell r="AB38">
            <v>6057.68</v>
          </cell>
          <cell r="AC38">
            <v>0.12050627519837227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42153</v>
          </cell>
          <cell r="Z39">
            <v>42184</v>
          </cell>
          <cell r="AA39">
            <v>22870.27192350461</v>
          </cell>
          <cell r="AB39">
            <v>2715.81</v>
          </cell>
          <cell r="AC39">
            <v>0.11874847877120619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42153</v>
          </cell>
          <cell r="Z40">
            <v>42184</v>
          </cell>
          <cell r="AA40">
            <v>58105.29099976398</v>
          </cell>
          <cell r="AB40">
            <v>6905.66</v>
          </cell>
          <cell r="AC40">
            <v>0.11884735247308288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42153</v>
          </cell>
          <cell r="Z41">
            <v>42184</v>
          </cell>
          <cell r="AA41">
            <v>38479.924109008229</v>
          </cell>
          <cell r="AB41">
            <v>6694.27</v>
          </cell>
          <cell r="AC41">
            <v>0.17396785869525294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42153</v>
          </cell>
          <cell r="Z42">
            <v>42184</v>
          </cell>
          <cell r="AA42">
            <v>14997.119999999999</v>
          </cell>
          <cell r="AB42">
            <v>2708.8956800000001</v>
          </cell>
          <cell r="AC42">
            <v>0.18062772585669784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42153</v>
          </cell>
          <cell r="Z43">
            <v>42184</v>
          </cell>
          <cell r="AA43">
            <v>39458.723306530541</v>
          </cell>
          <cell r="AB43">
            <v>6174.62</v>
          </cell>
          <cell r="AC43">
            <v>0.15648301522665031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42153</v>
          </cell>
          <cell r="Z44">
            <v>42184</v>
          </cell>
          <cell r="AA44">
            <v>9567.2459884121745</v>
          </cell>
          <cell r="AB44">
            <v>1721.12</v>
          </cell>
          <cell r="AC44">
            <v>0.17989712003690678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42153</v>
          </cell>
          <cell r="Z45">
            <v>42184</v>
          </cell>
          <cell r="AA45">
            <v>7833.4742516772785</v>
          </cell>
          <cell r="AB45">
            <v>1255.53</v>
          </cell>
          <cell r="AC45">
            <v>0.16027754220691667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42153</v>
          </cell>
          <cell r="Z46">
            <v>42184</v>
          </cell>
          <cell r="AA46">
            <v>5968.4129206756634</v>
          </cell>
          <cell r="AB46">
            <v>846.88</v>
          </cell>
          <cell r="AC46">
            <v>0.14189366775650764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42153</v>
          </cell>
          <cell r="Z47">
            <v>42184</v>
          </cell>
          <cell r="AA47">
            <v>289695.93671921216</v>
          </cell>
          <cell r="AB47">
            <v>34665.5</v>
          </cell>
          <cell r="AC47">
            <v>0.1196616714496743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42153</v>
          </cell>
          <cell r="Z48">
            <v>42184</v>
          </cell>
          <cell r="AA48">
            <v>46884.095770080203</v>
          </cell>
          <cell r="AB48">
            <v>6936.37</v>
          </cell>
          <cell r="AC48">
            <v>0.14794718520361333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42153</v>
          </cell>
          <cell r="Z49">
            <v>42184</v>
          </cell>
          <cell r="AA49">
            <v>27494.059288128879</v>
          </cell>
          <cell r="AB49">
            <v>3495.39</v>
          </cell>
          <cell r="AC49">
            <v>0.12713255483191621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42153</v>
          </cell>
          <cell r="Z50">
            <v>42184</v>
          </cell>
          <cell r="AA50">
            <v>9861.1200000000008</v>
          </cell>
          <cell r="AB50">
            <v>1781.1916800000001</v>
          </cell>
          <cell r="AC50">
            <v>0.18062772585669781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42153</v>
          </cell>
          <cell r="Z51">
            <v>42184</v>
          </cell>
          <cell r="AA51">
            <v>30785.215377322547</v>
          </cell>
          <cell r="AB51">
            <v>4413.3</v>
          </cell>
          <cell r="AC51">
            <v>0.14335777566951796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42153</v>
          </cell>
          <cell r="Z52">
            <v>42184</v>
          </cell>
          <cell r="AA52">
            <v>45561.940512820875</v>
          </cell>
          <cell r="AB52">
            <v>7891.94</v>
          </cell>
          <cell r="AC52">
            <v>0.17321343013867577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str">
            <v>Biegler</v>
          </cell>
          <cell r="Y53">
            <v>42153</v>
          </cell>
          <cell r="Z53">
            <v>42184</v>
          </cell>
          <cell r="AA53">
            <v>0</v>
          </cell>
          <cell r="AB53">
            <v>2.46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42153</v>
          </cell>
          <cell r="Z55">
            <v>42184</v>
          </cell>
          <cell r="AA55">
            <v>116471.233067796</v>
          </cell>
          <cell r="AB55">
            <v>18900.650000000001</v>
          </cell>
          <cell r="AC55">
            <v>0.1622774096415571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42153</v>
          </cell>
          <cell r="Z56">
            <v>42184</v>
          </cell>
          <cell r="AA56">
            <v>4968.1505645109519</v>
          </cell>
          <cell r="AB56">
            <v>767.19</v>
          </cell>
          <cell r="AC56">
            <v>0.15442164846618728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42153</v>
          </cell>
          <cell r="Z57">
            <v>42184</v>
          </cell>
          <cell r="AA57">
            <v>67927.442109064039</v>
          </cell>
          <cell r="AB57">
            <v>11322.69</v>
          </cell>
          <cell r="AC57">
            <v>0.16668800779838483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42153</v>
          </cell>
          <cell r="Z58">
            <v>42184</v>
          </cell>
          <cell r="AA58">
            <v>522626.07167330361</v>
          </cell>
          <cell r="AB58">
            <v>69476.95</v>
          </cell>
          <cell r="AC58">
            <v>0.13293816318339055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42153</v>
          </cell>
          <cell r="Z59">
            <v>42184</v>
          </cell>
          <cell r="AA59">
            <v>16448.498487334164</v>
          </cell>
          <cell r="AB59">
            <v>2463.31</v>
          </cell>
          <cell r="AC59">
            <v>0.14975895835700884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42153</v>
          </cell>
          <cell r="Z60">
            <v>42184</v>
          </cell>
          <cell r="AA60">
            <v>0</v>
          </cell>
          <cell r="AB60">
            <v>2.46</v>
          </cell>
          <cell r="AC60">
            <v>0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42153</v>
          </cell>
          <cell r="Z61">
            <v>42184</v>
          </cell>
          <cell r="AA61">
            <v>150855.13224730187</v>
          </cell>
          <cell r="AB61">
            <v>22949.54</v>
          </cell>
          <cell r="AC61">
            <v>0.15212966014558957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42153</v>
          </cell>
          <cell r="Z62">
            <v>42184</v>
          </cell>
          <cell r="AA62">
            <v>12270.974014489919</v>
          </cell>
          <cell r="AB62">
            <v>2299.4699999999998</v>
          </cell>
          <cell r="AC62">
            <v>0.18739099253936317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42153</v>
          </cell>
          <cell r="Z63">
            <v>42184</v>
          </cell>
          <cell r="AA63">
            <v>19119.436575501197</v>
          </cell>
          <cell r="AB63">
            <v>2722.71</v>
          </cell>
          <cell r="AC63">
            <v>0.14240534700111199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42153</v>
          </cell>
          <cell r="Z64">
            <v>42184</v>
          </cell>
          <cell r="AA64">
            <v>35841.053230050129</v>
          </cell>
          <cell r="AB64">
            <v>5533.55</v>
          </cell>
          <cell r="AC64">
            <v>0.15439138923965881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42153</v>
          </cell>
          <cell r="Z65">
            <v>42184</v>
          </cell>
          <cell r="AA65">
            <v>0</v>
          </cell>
          <cell r="AB65">
            <v>2.46</v>
          </cell>
          <cell r="AC65">
            <v>0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42153</v>
          </cell>
          <cell r="Z66">
            <v>42184</v>
          </cell>
          <cell r="AA66">
            <v>0</v>
          </cell>
          <cell r="AB66">
            <v>0</v>
          </cell>
          <cell r="AC66">
            <v>0</v>
          </cell>
          <cell r="AE66" t="str">
            <v>1-52-34746-03601-00-9002-0-02</v>
          </cell>
          <cell r="AF66">
            <v>42153</v>
          </cell>
          <cell r="AG66">
            <v>42184</v>
          </cell>
          <cell r="AK66">
            <v>0</v>
          </cell>
          <cell r="AL66">
            <v>0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42153</v>
          </cell>
          <cell r="Z67">
            <v>42184</v>
          </cell>
          <cell r="AA67">
            <v>3404.4095110043154</v>
          </cell>
          <cell r="AB67">
            <v>501.05</v>
          </cell>
          <cell r="AC67">
            <v>0.147176771296291</v>
          </cell>
          <cell r="AE67" t="str">
            <v>1-52-34746-03601-00-9003-0-01</v>
          </cell>
          <cell r="AF67">
            <v>42153</v>
          </cell>
          <cell r="AG67">
            <v>42184</v>
          </cell>
          <cell r="AK67">
            <v>0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42153</v>
          </cell>
          <cell r="Z68">
            <v>42184</v>
          </cell>
          <cell r="AA68">
            <v>19172.891621398216</v>
          </cell>
          <cell r="AB68">
            <v>3421.99</v>
          </cell>
          <cell r="AC68">
            <v>0.17848064170877764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42153</v>
          </cell>
          <cell r="Z69">
            <v>42184</v>
          </cell>
          <cell r="AA69">
            <v>36615.543640617383</v>
          </cell>
          <cell r="AB69">
            <v>5617.38</v>
          </cell>
          <cell r="AC69">
            <v>0.15341517403468721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42153</v>
          </cell>
          <cell r="Z70">
            <v>42184</v>
          </cell>
          <cell r="AA70">
            <v>6082.9874455720237</v>
          </cell>
          <cell r="AB70">
            <v>1117.52</v>
          </cell>
          <cell r="AC70">
            <v>0.18371236337393299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42153</v>
          </cell>
          <cell r="Z71">
            <v>42184</v>
          </cell>
          <cell r="AA71">
            <v>32054.995621754362</v>
          </cell>
          <cell r="AB71">
            <v>5873.11</v>
          </cell>
          <cell r="AC71">
            <v>0.18321980353084716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42153</v>
          </cell>
          <cell r="Z72">
            <v>42184</v>
          </cell>
          <cell r="AA72">
            <v>53886.006692871808</v>
          </cell>
          <cell r="AB72">
            <v>8351.5300000000007</v>
          </cell>
          <cell r="AC72">
            <v>0.15498513459348184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42153</v>
          </cell>
          <cell r="Z73">
            <v>42184</v>
          </cell>
          <cell r="AA73">
            <v>43244.079783587549</v>
          </cell>
          <cell r="AB73">
            <v>7151.21</v>
          </cell>
          <cell r="AC73">
            <v>0.16536853219649508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42153</v>
          </cell>
          <cell r="Z74">
            <v>42184</v>
          </cell>
          <cell r="AA74">
            <v>55464.461122835732</v>
          </cell>
          <cell r="AB74">
            <v>8384.02</v>
          </cell>
          <cell r="AC74">
            <v>0.15116021737653099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42153</v>
          </cell>
          <cell r="Z75">
            <v>42184</v>
          </cell>
          <cell r="AA75">
            <v>0</v>
          </cell>
          <cell r="AB75">
            <v>2.46</v>
          </cell>
          <cell r="AC75">
            <v>0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42153</v>
          </cell>
          <cell r="Z76">
            <v>42184</v>
          </cell>
          <cell r="AA76">
            <v>11588.700099511765</v>
          </cell>
          <cell r="AB76">
            <v>1728.57</v>
          </cell>
          <cell r="AC76">
            <v>0.14915995626401835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42153</v>
          </cell>
          <cell r="Z78">
            <v>42184</v>
          </cell>
          <cell r="AA78">
            <v>21232.907219638506</v>
          </cell>
          <cell r="AB78">
            <v>3292.29</v>
          </cell>
          <cell r="AC78">
            <v>0.15505601592583287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42153</v>
          </cell>
          <cell r="Z79">
            <v>42184</v>
          </cell>
          <cell r="AA79">
            <v>25093.035193485812</v>
          </cell>
          <cell r="AB79">
            <v>3890.4</v>
          </cell>
          <cell r="AC79">
            <v>0.15503903652954482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42153</v>
          </cell>
          <cell r="Z80">
            <v>42184</v>
          </cell>
          <cell r="AA80">
            <v>60641.398234601082</v>
          </cell>
          <cell r="AB80">
            <v>9398.31</v>
          </cell>
          <cell r="AC80">
            <v>0.15498174965625156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42153</v>
          </cell>
          <cell r="Z81">
            <v>42184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42153</v>
          </cell>
          <cell r="Z82">
            <v>42184</v>
          </cell>
          <cell r="AA82">
            <v>15556.086826568473</v>
          </cell>
          <cell r="AB82">
            <v>3000.61</v>
          </cell>
          <cell r="AC82">
            <v>0.1928897693522264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42153</v>
          </cell>
          <cell r="Z83">
            <v>42184</v>
          </cell>
          <cell r="AA83">
            <v>221266.10778803108</v>
          </cell>
          <cell r="AB83">
            <v>33363.870000000003</v>
          </cell>
          <cell r="AC83">
            <v>0.15078617477179102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42153</v>
          </cell>
          <cell r="Z84">
            <v>42184</v>
          </cell>
          <cell r="AA84">
            <v>143531.56724696181</v>
          </cell>
          <cell r="AB84">
            <v>23071.53</v>
          </cell>
          <cell r="AC84">
            <v>0.16074185241984365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42153</v>
          </cell>
          <cell r="Z85">
            <v>42184</v>
          </cell>
          <cell r="AA85">
            <v>4279.4880000000003</v>
          </cell>
          <cell r="AB85">
            <v>647.17088000000001</v>
          </cell>
          <cell r="AC85">
            <v>0.1512262401483542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42153</v>
          </cell>
          <cell r="Z86">
            <v>42184</v>
          </cell>
          <cell r="AA86">
            <v>17290.511999999999</v>
          </cell>
          <cell r="AB86">
            <v>2614.7791199999997</v>
          </cell>
          <cell r="AC86">
            <v>0.1512262401483542</v>
          </cell>
          <cell r="AL86">
            <v>21570</v>
          </cell>
          <cell r="AM86">
            <v>3261.95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42153</v>
          </cell>
          <cell r="Z87">
            <v>42184</v>
          </cell>
          <cell r="AA87">
            <v>14120</v>
          </cell>
          <cell r="AB87">
            <v>3010.01</v>
          </cell>
          <cell r="AC87">
            <v>0.21317351274787538</v>
          </cell>
          <cell r="AE87" t="str">
            <v>1-63-86192-02715-00-9001-0-01</v>
          </cell>
          <cell r="AF87">
            <v>42153</v>
          </cell>
          <cell r="AG87">
            <v>42184</v>
          </cell>
          <cell r="AH87">
            <v>14120</v>
          </cell>
          <cell r="AI87">
            <v>3010.01</v>
          </cell>
          <cell r="AK87">
            <v>3010.01</v>
          </cell>
          <cell r="AM87">
            <v>3261.95</v>
          </cell>
          <cell r="AN87">
            <v>3261.95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42153</v>
          </cell>
          <cell r="Z88">
            <v>42184</v>
          </cell>
          <cell r="AA88">
            <v>23426.193469476562</v>
          </cell>
          <cell r="AB88">
            <v>3858.37</v>
          </cell>
          <cell r="AC88">
            <v>0.16470324148169052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42153</v>
          </cell>
          <cell r="Z89">
            <v>42184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42153</v>
          </cell>
          <cell r="Z90">
            <v>42184</v>
          </cell>
          <cell r="AA90">
            <v>20695.594232562536</v>
          </cell>
          <cell r="AB90">
            <v>2951.41</v>
          </cell>
          <cell r="AC90">
            <v>0.14261054632373102</v>
          </cell>
          <cell r="AL90">
            <v>20696</v>
          </cell>
          <cell r="AM90">
            <v>2951.41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42153</v>
          </cell>
          <cell r="Z91">
            <v>42184</v>
          </cell>
          <cell r="AA91">
            <v>0</v>
          </cell>
          <cell r="AB91">
            <v>0</v>
          </cell>
          <cell r="AC91">
            <v>0</v>
          </cell>
          <cell r="AM91">
            <v>2951.41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42153</v>
          </cell>
          <cell r="Z92">
            <v>42184</v>
          </cell>
          <cell r="AA92">
            <v>42445.69295035534</v>
          </cell>
          <cell r="AB92">
            <v>5970.16</v>
          </cell>
          <cell r="AC92">
            <v>0.1406540825469082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42153</v>
          </cell>
          <cell r="Z93">
            <v>42184</v>
          </cell>
          <cell r="AA93">
            <v>428.45790614930974</v>
          </cell>
          <cell r="AB93">
            <v>67.47</v>
          </cell>
          <cell r="AC93">
            <v>0.15747171199704257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42153</v>
          </cell>
          <cell r="Z94">
            <v>42184</v>
          </cell>
          <cell r="AA94">
            <v>23835.302602425327</v>
          </cell>
          <cell r="AB94">
            <v>3551.35</v>
          </cell>
          <cell r="AC94">
            <v>0.14899538131471582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42153</v>
          </cell>
          <cell r="Z95">
            <v>42184</v>
          </cell>
          <cell r="AA95">
            <v>35609.925346379707</v>
          </cell>
          <cell r="AB95">
            <v>5661.12</v>
          </cell>
          <cell r="AC95">
            <v>0.15897590194121369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42153</v>
          </cell>
          <cell r="Z96">
            <v>42184</v>
          </cell>
          <cell r="AA96">
            <v>8092.6604598793092</v>
          </cell>
          <cell r="AB96">
            <v>1583.7</v>
          </cell>
          <cell r="AC96">
            <v>0.19569584166436396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42153</v>
          </cell>
          <cell r="Z97">
            <v>42184</v>
          </cell>
          <cell r="AA97">
            <v>4486.8121494716406</v>
          </cell>
          <cell r="AB97">
            <v>664.24</v>
          </cell>
          <cell r="AC97">
            <v>0.14804274791807803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42153</v>
          </cell>
          <cell r="Z98">
            <v>42184</v>
          </cell>
          <cell r="AA98">
            <v>77173.020120189482</v>
          </cell>
          <cell r="AB98">
            <v>11268.3</v>
          </cell>
          <cell r="AC98">
            <v>0.14601346406361598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42153</v>
          </cell>
          <cell r="Z99">
            <v>42184</v>
          </cell>
          <cell r="AA99">
            <v>22257.164237593861</v>
          </cell>
          <cell r="AB99">
            <v>4092.06</v>
          </cell>
          <cell r="AC99">
            <v>0.18385361029453307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42153</v>
          </cell>
          <cell r="Z100">
            <v>42184</v>
          </cell>
          <cell r="AA100">
            <v>13765.212294347608</v>
          </cell>
          <cell r="AB100">
            <v>4388.88</v>
          </cell>
          <cell r="AC100">
            <v>0.31883852614479474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42153</v>
          </cell>
          <cell r="Z101">
            <v>42184</v>
          </cell>
          <cell r="AA101">
            <v>22462.63400786588</v>
          </cell>
          <cell r="AB101">
            <v>2708.72</v>
          </cell>
          <cell r="AC101">
            <v>0.12058781704102335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42153</v>
          </cell>
          <cell r="Z102">
            <v>42184</v>
          </cell>
          <cell r="AA102">
            <v>63348.308133113234</v>
          </cell>
          <cell r="AB102">
            <v>7582.86</v>
          </cell>
          <cell r="AC102">
            <v>0.11970106579746698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42153</v>
          </cell>
          <cell r="Z103">
            <v>42184</v>
          </cell>
          <cell r="AA103">
            <v>9999.0067370422639</v>
          </cell>
          <cell r="AB103">
            <v>1236.68</v>
          </cell>
          <cell r="AC103">
            <v>0.12368028470453993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42153</v>
          </cell>
          <cell r="Z104">
            <v>42184</v>
          </cell>
          <cell r="AA104">
            <v>65267.279590463782</v>
          </cell>
          <cell r="AB104">
            <v>7708.25</v>
          </cell>
          <cell r="AC104">
            <v>0.11810282347245639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42153</v>
          </cell>
          <cell r="Z106">
            <v>42184</v>
          </cell>
          <cell r="AA106">
            <v>85552.559784365629</v>
          </cell>
          <cell r="AB106">
            <v>13660.82</v>
          </cell>
          <cell r="AC106">
            <v>0.15967751326707183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42153</v>
          </cell>
          <cell r="Z107">
            <v>42184</v>
          </cell>
          <cell r="AA107">
            <v>4136.7517418081234</v>
          </cell>
          <cell r="AB107">
            <v>615.13</v>
          </cell>
          <cell r="AC107">
            <v>0.14869879518830739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42153</v>
          </cell>
          <cell r="Z108">
            <v>42184</v>
          </cell>
          <cell r="AA108">
            <v>12221.394342149566</v>
          </cell>
          <cell r="AB108">
            <v>1960</v>
          </cell>
          <cell r="AC108">
            <v>0.16037449943336535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42153</v>
          </cell>
          <cell r="Z109">
            <v>42184</v>
          </cell>
          <cell r="AA109">
            <v>80687.346405397693</v>
          </cell>
          <cell r="AB109">
            <v>12788.01</v>
          </cell>
          <cell r="AC109">
            <v>0.15848841943257325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42153</v>
          </cell>
          <cell r="Z110">
            <v>42184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42153</v>
          </cell>
          <cell r="Z111">
            <v>42184</v>
          </cell>
          <cell r="AA111">
            <v>199733.14600413595</v>
          </cell>
          <cell r="AB111">
            <v>23818.43</v>
          </cell>
          <cell r="AC111">
            <v>0.11925126338072491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42153</v>
          </cell>
          <cell r="Z112">
            <v>42184</v>
          </cell>
          <cell r="AA112">
            <v>24505.308503428772</v>
          </cell>
          <cell r="AB112">
            <v>3651.08</v>
          </cell>
          <cell r="AC112">
            <v>0.14899139096694672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42128</v>
          </cell>
          <cell r="Z113">
            <v>42186</v>
          </cell>
          <cell r="AA113">
            <v>101340.8208</v>
          </cell>
          <cell r="AB113">
            <v>18719.1800477</v>
          </cell>
          <cell r="AC113">
            <v>0.18471510196905766</v>
          </cell>
          <cell r="AE113" t="str">
            <v>1-44-38866-03717-00-9001-3-01</v>
          </cell>
          <cell r="AF113">
            <v>42128</v>
          </cell>
          <cell r="AG113">
            <v>42186</v>
          </cell>
          <cell r="AH113">
            <v>113760</v>
          </cell>
          <cell r="AI113">
            <v>21013.19</v>
          </cell>
          <cell r="AK113">
            <v>21013.19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42128</v>
          </cell>
          <cell r="Z114">
            <v>42186</v>
          </cell>
          <cell r="AA114">
            <v>12419.1792</v>
          </cell>
          <cell r="AB114">
            <v>2294.0099522999999</v>
          </cell>
          <cell r="AC114">
            <v>0.18471510196905766</v>
          </cell>
          <cell r="AE114" t="str">
            <v>1-44-38866-03717-00-9001-3-02</v>
          </cell>
          <cell r="AF114">
            <v>42153</v>
          </cell>
          <cell r="AG114">
            <v>42184</v>
          </cell>
          <cell r="AK114">
            <v>0</v>
          </cell>
          <cell r="AL114">
            <v>113760</v>
          </cell>
          <cell r="AM114">
            <v>21013.19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42153</v>
          </cell>
          <cell r="Z115">
            <v>42184</v>
          </cell>
          <cell r="AA115">
            <v>53672.255964749726</v>
          </cell>
          <cell r="AB115">
            <v>8654.74</v>
          </cell>
          <cell r="AC115">
            <v>0.16125165310144901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42153</v>
          </cell>
          <cell r="Z116">
            <v>42184</v>
          </cell>
          <cell r="AA116">
            <v>7080</v>
          </cell>
          <cell r="AB116">
            <v>1256.8399999999999</v>
          </cell>
          <cell r="AC116">
            <v>0.17751977401129942</v>
          </cell>
          <cell r="AE116" t="str">
            <v>1-63-00433-00909-00-9001-3-01</v>
          </cell>
          <cell r="AF116">
            <v>42153</v>
          </cell>
          <cell r="AG116">
            <v>42184</v>
          </cell>
          <cell r="AH116">
            <v>7080</v>
          </cell>
          <cell r="AI116">
            <v>1256.8399999999999</v>
          </cell>
          <cell r="AK116">
            <v>1256.8399999999999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42153</v>
          </cell>
          <cell r="Z118">
            <v>42184</v>
          </cell>
          <cell r="AA118">
            <v>50766.096875032803</v>
          </cell>
          <cell r="AB118">
            <v>7559.33</v>
          </cell>
          <cell r="AC118">
            <v>0.14890508558513471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42153</v>
          </cell>
          <cell r="Z119">
            <v>42184</v>
          </cell>
          <cell r="AA119">
            <v>33100.2197966577</v>
          </cell>
          <cell r="AB119">
            <v>4559.99</v>
          </cell>
          <cell r="AC119">
            <v>0.13776313353848016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6240</v>
          </cell>
          <cell r="AB120">
            <v>1341.64</v>
          </cell>
          <cell r="AC120">
            <v>0.21500641025641026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42153</v>
          </cell>
          <cell r="Z121">
            <v>42184</v>
          </cell>
          <cell r="AA121">
            <v>74965.905669892571</v>
          </cell>
          <cell r="AB121">
            <v>8848.6</v>
          </cell>
          <cell r="AC121">
            <v>0.11803499098595871</v>
          </cell>
          <cell r="AE121" t="str">
            <v>1-44-43997-03440-00-9001-2-01</v>
          </cell>
          <cell r="AF121">
            <v>42157</v>
          </cell>
          <cell r="AG121">
            <v>42186</v>
          </cell>
          <cell r="AH121">
            <v>6240</v>
          </cell>
          <cell r="AI121">
            <v>1341.64</v>
          </cell>
          <cell r="AK121">
            <v>1341.64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42153</v>
          </cell>
          <cell r="Z123">
            <v>42184</v>
          </cell>
          <cell r="AA123">
            <v>46470.265468289959</v>
          </cell>
          <cell r="AB123">
            <v>7320.04</v>
          </cell>
          <cell r="AC123">
            <v>0.15752094218172685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42156</v>
          </cell>
          <cell r="Z124">
            <v>42184</v>
          </cell>
          <cell r="AA124">
            <v>543</v>
          </cell>
          <cell r="AB124">
            <v>89.1</v>
          </cell>
          <cell r="AC124">
            <v>0.16408839779005524</v>
          </cell>
          <cell r="AE124" t="str">
            <v>1-63-43981-02712-00-0000-0-01</v>
          </cell>
          <cell r="AF124">
            <v>42156</v>
          </cell>
          <cell r="AG124">
            <v>42184</v>
          </cell>
          <cell r="AH124">
            <v>543</v>
          </cell>
          <cell r="AI124">
            <v>89.1</v>
          </cell>
          <cell r="AK124">
            <v>89.1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42153</v>
          </cell>
          <cell r="Z125">
            <v>42184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42153</v>
          </cell>
          <cell r="AG125">
            <v>42184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42153</v>
          </cell>
          <cell r="Z126">
            <v>42184</v>
          </cell>
          <cell r="AA126">
            <v>19649.540867974523</v>
          </cell>
          <cell r="AB126">
            <v>2838.65</v>
          </cell>
          <cell r="AC126">
            <v>0.14446393526815307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42153</v>
          </cell>
          <cell r="Z127">
            <v>42184</v>
          </cell>
          <cell r="AA127">
            <v>46752.164121385889</v>
          </cell>
          <cell r="AB127">
            <v>6756.32</v>
          </cell>
          <cell r="AC127">
            <v>0.14451352417522528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42153</v>
          </cell>
          <cell r="Z128">
            <v>42184</v>
          </cell>
          <cell r="AA128">
            <v>30005.39285834886</v>
          </cell>
          <cell r="AB128">
            <v>4627.1099999999997</v>
          </cell>
          <cell r="AC128">
            <v>0.15420927904006856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42153</v>
          </cell>
          <cell r="Z129">
            <v>42184</v>
          </cell>
          <cell r="AA129">
            <v>268844.0816405997</v>
          </cell>
          <cell r="AB129">
            <v>27676.78</v>
          </cell>
          <cell r="AC129">
            <v>0.10294732854487494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42153</v>
          </cell>
          <cell r="Z130">
            <v>42184</v>
          </cell>
          <cell r="AA130">
            <v>3483.5671112640657</v>
          </cell>
          <cell r="AB130">
            <v>506.36</v>
          </cell>
          <cell r="AC130">
            <v>0.14535675180842419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42153</v>
          </cell>
          <cell r="Z131">
            <v>42184</v>
          </cell>
          <cell r="AA131">
            <v>1641.9838278100024</v>
          </cell>
          <cell r="AB131">
            <v>245.68</v>
          </cell>
          <cell r="AC131">
            <v>0.14962388535073209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42153</v>
          </cell>
          <cell r="Z132">
            <v>42184</v>
          </cell>
          <cell r="AA132">
            <v>23825.398606570077</v>
          </cell>
          <cell r="AB132">
            <v>3425.15</v>
          </cell>
          <cell r="AC132">
            <v>0.14376044894608742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42153</v>
          </cell>
          <cell r="Z133">
            <v>42184</v>
          </cell>
          <cell r="AA133">
            <v>9302.1828903111018</v>
          </cell>
          <cell r="AB133">
            <v>1863.61</v>
          </cell>
          <cell r="AC133">
            <v>0.20034114809128134</v>
          </cell>
          <cell r="AE133" t="str">
            <v>1-63-34103-03131-00-9002-0-01</v>
          </cell>
          <cell r="AF133">
            <v>42153</v>
          </cell>
          <cell r="AG133">
            <v>42184</v>
          </cell>
          <cell r="AH133">
            <v>35040</v>
          </cell>
          <cell r="AI133">
            <v>8398.82</v>
          </cell>
          <cell r="AK133">
            <v>8398.82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42153</v>
          </cell>
          <cell r="Z134">
            <v>42184</v>
          </cell>
          <cell r="AA134">
            <v>2969.0364163116087</v>
          </cell>
          <cell r="AB134">
            <v>439.44</v>
          </cell>
          <cell r="AC134">
            <v>0.14800761539527021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42153</v>
          </cell>
          <cell r="Z136">
            <v>42184</v>
          </cell>
          <cell r="AA136">
            <v>75760</v>
          </cell>
          <cell r="AB136">
            <v>16149.009999999998</v>
          </cell>
          <cell r="AC136">
            <v>0.21316011087645192</v>
          </cell>
          <cell r="AE136" t="str">
            <v>1-63-34103-03131-00-9001-0-01</v>
          </cell>
          <cell r="AF136">
            <v>42153</v>
          </cell>
          <cell r="AG136">
            <v>42184</v>
          </cell>
          <cell r="AH136">
            <v>40720</v>
          </cell>
          <cell r="AI136">
            <v>7750.19</v>
          </cell>
          <cell r="AK136">
            <v>7750.19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42157</v>
          </cell>
          <cell r="Z137">
            <v>42186</v>
          </cell>
          <cell r="AA137">
            <v>97208.58</v>
          </cell>
          <cell r="AB137">
            <v>14722.607625000001</v>
          </cell>
          <cell r="AC137">
            <v>0.15145378756689995</v>
          </cell>
          <cell r="AE137" t="str">
            <v>1-44-38866-03447-00-9001-4-01</v>
          </cell>
          <cell r="AF137">
            <v>42157</v>
          </cell>
          <cell r="AG137">
            <v>42186</v>
          </cell>
          <cell r="AH137">
            <v>50040</v>
          </cell>
          <cell r="AI137">
            <v>7709.03</v>
          </cell>
          <cell r="AK137">
            <v>7709.03</v>
          </cell>
          <cell r="AL137">
            <v>291480</v>
          </cell>
          <cell r="AM137">
            <v>44145.75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42157</v>
          </cell>
          <cell r="Z138">
            <v>42186</v>
          </cell>
          <cell r="AA138">
            <v>194271.41999999998</v>
          </cell>
          <cell r="AB138">
            <v>29423.142374999999</v>
          </cell>
          <cell r="AC138">
            <v>0.15145378756689998</v>
          </cell>
          <cell r="AL138">
            <v>291480</v>
          </cell>
          <cell r="AM138">
            <v>44145.75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42157</v>
          </cell>
          <cell r="Z139">
            <v>42186</v>
          </cell>
          <cell r="AA139">
            <v>50040</v>
          </cell>
          <cell r="AB139">
            <v>7709.03</v>
          </cell>
          <cell r="AC139">
            <v>0.15405735411670662</v>
          </cell>
          <cell r="AE139" t="str">
            <v>1-44-38866-03447-00-9004-0-01</v>
          </cell>
          <cell r="AF139">
            <v>42157</v>
          </cell>
          <cell r="AG139">
            <v>42186</v>
          </cell>
          <cell r="AH139">
            <v>94560</v>
          </cell>
          <cell r="AI139">
            <v>14784.13</v>
          </cell>
          <cell r="AK139">
            <v>14784.13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42153</v>
          </cell>
          <cell r="Z140">
            <v>42184</v>
          </cell>
          <cell r="AA140">
            <v>20548.656425776058</v>
          </cell>
          <cell r="AB140">
            <v>2890.85</v>
          </cell>
          <cell r="AC140">
            <v>0.14068316390621738</v>
          </cell>
          <cell r="AE140" t="str">
            <v>1-44-38866-03447-00-9004-0-01</v>
          </cell>
          <cell r="AF140">
            <v>42157</v>
          </cell>
          <cell r="AG140">
            <v>42186</v>
          </cell>
          <cell r="AH140">
            <v>196920</v>
          </cell>
          <cell r="AI140">
            <v>29361.62</v>
          </cell>
          <cell r="AK140">
            <v>29361.62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42153</v>
          </cell>
          <cell r="Z141">
            <v>42184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42153</v>
          </cell>
          <cell r="Z142">
            <v>42184</v>
          </cell>
          <cell r="AA142">
            <v>22598.342874384005</v>
          </cell>
          <cell r="AB142">
            <v>3276.67</v>
          </cell>
          <cell r="AC142">
            <v>0.14499602993962082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42153</v>
          </cell>
          <cell r="Z143">
            <v>42184</v>
          </cell>
          <cell r="AA143">
            <v>42606.160799999998</v>
          </cell>
          <cell r="AB143">
            <v>6869.2594530000006</v>
          </cell>
          <cell r="AC143">
            <v>0.1612269053117783</v>
          </cell>
          <cell r="AL143">
            <v>72744</v>
          </cell>
          <cell r="AM143">
            <v>11728.29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42153</v>
          </cell>
          <cell r="Z144">
            <v>42184</v>
          </cell>
          <cell r="AA144">
            <v>30137.839199999999</v>
          </cell>
          <cell r="AB144">
            <v>4859.0305470000003</v>
          </cell>
          <cell r="AC144">
            <v>0.1612269053117783</v>
          </cell>
          <cell r="AM144">
            <v>11728.29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42153</v>
          </cell>
          <cell r="Z145">
            <v>42184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42153</v>
          </cell>
          <cell r="Z146">
            <v>42184</v>
          </cell>
          <cell r="AA146">
            <v>28519</v>
          </cell>
          <cell r="AB146">
            <v>4626.6825467631052</v>
          </cell>
          <cell r="AC146">
            <v>0.16223158409352029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42153</v>
          </cell>
          <cell r="AG147">
            <v>42184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42153</v>
          </cell>
          <cell r="AG148">
            <v>42184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42153</v>
          </cell>
          <cell r="Z149">
            <v>42184</v>
          </cell>
          <cell r="AA149">
            <v>128824.91515014622</v>
          </cell>
          <cell r="AB149">
            <v>22138.85</v>
          </cell>
          <cell r="AC149">
            <v>0.17185223816524184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42153</v>
          </cell>
          <cell r="Z151">
            <v>42184</v>
          </cell>
          <cell r="AA151">
            <v>91258.326109614616</v>
          </cell>
          <cell r="AB151">
            <v>15606.31</v>
          </cell>
          <cell r="AC151">
            <v>0.17101245075714555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42153</v>
          </cell>
          <cell r="Z152">
            <v>42184</v>
          </cell>
          <cell r="AA152">
            <v>95125.934597685467</v>
          </cell>
          <cell r="AB152">
            <v>15617.81</v>
          </cell>
          <cell r="AC152">
            <v>0.16418035802804087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42153</v>
          </cell>
          <cell r="Z153">
            <v>42184</v>
          </cell>
          <cell r="AA153">
            <v>6056.0174999999999</v>
          </cell>
          <cell r="AB153">
            <v>980.85197999999991</v>
          </cell>
          <cell r="AC153">
            <v>0.16196320106406562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42153</v>
          </cell>
          <cell r="Z154">
            <v>42184</v>
          </cell>
          <cell r="AA154">
            <v>61608.982499999998</v>
          </cell>
          <cell r="AB154">
            <v>9978.3880200000003</v>
          </cell>
          <cell r="AC154">
            <v>0.16196320106406562</v>
          </cell>
          <cell r="AL154">
            <v>67665</v>
          </cell>
          <cell r="AM154">
            <v>10959.24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42153</v>
          </cell>
          <cell r="Z155">
            <v>42184</v>
          </cell>
          <cell r="AA155">
            <v>3648.0116553513722</v>
          </cell>
          <cell r="AB155">
            <v>547.69000000000005</v>
          </cell>
          <cell r="AC155">
            <v>0.1501338404981733</v>
          </cell>
          <cell r="AM155">
            <v>10959.24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42153</v>
          </cell>
          <cell r="Z156">
            <v>42184</v>
          </cell>
          <cell r="AA156">
            <v>1466.341142154602</v>
          </cell>
          <cell r="AB156">
            <v>238.24</v>
          </cell>
          <cell r="AC156">
            <v>0.16247242415222463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42153</v>
          </cell>
          <cell r="Z157">
            <v>42184</v>
          </cell>
          <cell r="AA157">
            <v>81117.93088323978</v>
          </cell>
          <cell r="AB157">
            <v>12621.9</v>
          </cell>
          <cell r="AC157">
            <v>0.15559938305339441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42153</v>
          </cell>
          <cell r="Z158">
            <v>42184</v>
          </cell>
          <cell r="AA158">
            <v>155205.02091323756</v>
          </cell>
          <cell r="AB158">
            <v>26671.69</v>
          </cell>
          <cell r="AC158">
            <v>0.17184811317998508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42157</v>
          </cell>
          <cell r="Z159">
            <v>42186</v>
          </cell>
          <cell r="AA159">
            <v>13040</v>
          </cell>
          <cell r="AB159">
            <v>2355.4899999999998</v>
          </cell>
          <cell r="AC159">
            <v>0.18063573619631901</v>
          </cell>
          <cell r="AE159" t="str">
            <v>1-44-43997-03500-00-9001-1-01</v>
          </cell>
          <cell r="AF159">
            <v>42157</v>
          </cell>
          <cell r="AG159">
            <v>42186</v>
          </cell>
          <cell r="AH159">
            <v>13040</v>
          </cell>
          <cell r="AI159">
            <v>2355.4899999999998</v>
          </cell>
          <cell r="AK159">
            <v>2355.4899999999998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42153</v>
          </cell>
          <cell r="Z160">
            <v>42184</v>
          </cell>
          <cell r="AA160">
            <v>0</v>
          </cell>
          <cell r="AB160">
            <v>2.46</v>
          </cell>
          <cell r="AC160">
            <v>0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42153</v>
          </cell>
          <cell r="Z161">
            <v>42184</v>
          </cell>
          <cell r="AA161">
            <v>26501.760000000002</v>
          </cell>
          <cell r="AB161">
            <v>4786.9526400000004</v>
          </cell>
          <cell r="AC161">
            <v>0.18062772585669781</v>
          </cell>
          <cell r="AE161" t="str">
            <v>1-63-00433-00746-00-0000-4-01</v>
          </cell>
          <cell r="AF161">
            <v>42153</v>
          </cell>
          <cell r="AG161">
            <v>42184</v>
          </cell>
          <cell r="AH161">
            <v>51360</v>
          </cell>
          <cell r="AI161">
            <v>9277.0400000000009</v>
          </cell>
          <cell r="AK161">
            <v>9277.0400000000009</v>
          </cell>
          <cell r="AL161">
            <v>51360</v>
          </cell>
          <cell r="AM161">
            <v>9277.0400000000009</v>
          </cell>
          <cell r="AN161" t="str">
            <v>#42</v>
          </cell>
          <cell r="AO161">
            <v>0.29199999999999998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42153</v>
          </cell>
          <cell r="Z162">
            <v>42184</v>
          </cell>
          <cell r="AA162">
            <v>39124.438450436472</v>
          </cell>
          <cell r="AB162">
            <v>6022.38</v>
          </cell>
          <cell r="AC162">
            <v>0.153928854662777</v>
          </cell>
          <cell r="AL162">
            <v>51360.000000000007</v>
          </cell>
          <cell r="AM162">
            <v>9277.0400000000009</v>
          </cell>
          <cell r="AN162" t="str">
            <v>#52</v>
          </cell>
          <cell r="AO162">
            <v>0.192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42153</v>
          </cell>
          <cell r="Z163">
            <v>42184</v>
          </cell>
          <cell r="AC163">
            <v>0</v>
          </cell>
          <cell r="AN163" t="str">
            <v>#261</v>
          </cell>
          <cell r="AO163">
            <v>0.51600000000000001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42153</v>
          </cell>
          <cell r="Z164">
            <v>42184</v>
          </cell>
          <cell r="AA164">
            <v>58748.486494679644</v>
          </cell>
          <cell r="AB164">
            <v>6695.46</v>
          </cell>
          <cell r="AC164">
            <v>0.11396821262121112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42153</v>
          </cell>
          <cell r="Z165">
            <v>42184</v>
          </cell>
          <cell r="AA165">
            <v>6921.3590056461417</v>
          </cell>
          <cell r="AB165">
            <v>1062.55</v>
          </cell>
          <cell r="AC165">
            <v>0.15351753884363145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42153</v>
          </cell>
          <cell r="Z166">
            <v>42184</v>
          </cell>
          <cell r="AA166">
            <v>5480</v>
          </cell>
          <cell r="AB166">
            <v>1037.2</v>
          </cell>
          <cell r="AC166">
            <v>0.18927007299270074</v>
          </cell>
          <cell r="AE166" t="str">
            <v>1-63-96497-01102-00-0000-1-01</v>
          </cell>
          <cell r="AF166">
            <v>42153</v>
          </cell>
          <cell r="AG166">
            <v>42184</v>
          </cell>
          <cell r="AH166">
            <v>5480</v>
          </cell>
          <cell r="AI166">
            <v>1037.2</v>
          </cell>
          <cell r="AK166">
            <v>1037.2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42153</v>
          </cell>
          <cell r="Z167">
            <v>42184</v>
          </cell>
          <cell r="AA167">
            <v>2520</v>
          </cell>
          <cell r="AB167">
            <v>612.41999999999996</v>
          </cell>
          <cell r="AC167">
            <v>0.2430238095238095</v>
          </cell>
          <cell r="AE167" t="str">
            <v>1-63-43981-02653-00-0000-0-01</v>
          </cell>
          <cell r="AF167">
            <v>42153</v>
          </cell>
          <cell r="AG167">
            <v>42184</v>
          </cell>
          <cell r="AH167">
            <v>2520</v>
          </cell>
          <cell r="AI167">
            <v>612.41999999999996</v>
          </cell>
          <cell r="AK167">
            <v>612.41999999999996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42153</v>
          </cell>
          <cell r="Z168">
            <v>42184</v>
          </cell>
          <cell r="AA168">
            <v>83760</v>
          </cell>
          <cell r="AB168">
            <v>15016.58</v>
          </cell>
          <cell r="AC168">
            <v>0.17928104106972301</v>
          </cell>
          <cell r="AE168" t="str">
            <v>1-63-34103-03500-00-9001-6-01</v>
          </cell>
          <cell r="AF168">
            <v>42153</v>
          </cell>
          <cell r="AG168">
            <v>42184</v>
          </cell>
          <cell r="AH168">
            <v>56160</v>
          </cell>
          <cell r="AI168">
            <v>10218.16</v>
          </cell>
          <cell r="AK168">
            <v>10218.16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42153</v>
          </cell>
          <cell r="Z169">
            <v>42184</v>
          </cell>
          <cell r="AA169">
            <v>10674.959892451929</v>
          </cell>
          <cell r="AB169">
            <v>1393.97</v>
          </cell>
          <cell r="AC169">
            <v>0.1305831604094036</v>
          </cell>
          <cell r="AE169" t="str">
            <v>1-63-34103-03500-00-0000-4-01</v>
          </cell>
          <cell r="AF169">
            <v>42153</v>
          </cell>
          <cell r="AG169">
            <v>42184</v>
          </cell>
          <cell r="AH169">
            <v>27600</v>
          </cell>
          <cell r="AI169">
            <v>4798.42</v>
          </cell>
          <cell r="AK169">
            <v>4798.42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42153</v>
          </cell>
          <cell r="Z170">
            <v>42184</v>
          </cell>
          <cell r="AA170">
            <v>113487.34874128386</v>
          </cell>
          <cell r="AB170">
            <v>13319.58</v>
          </cell>
          <cell r="AC170">
            <v>0.11736620995847329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42153</v>
          </cell>
          <cell r="Z171">
            <v>42184</v>
          </cell>
          <cell r="AA171">
            <v>31715.168955260353</v>
          </cell>
          <cell r="AB171">
            <v>3706.31</v>
          </cell>
          <cell r="AC171">
            <v>0.1168623760203952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42157</v>
          </cell>
          <cell r="Z172">
            <v>42186</v>
          </cell>
          <cell r="AA172">
            <v>1500535.31</v>
          </cell>
          <cell r="AB172">
            <v>215072.16202860384</v>
          </cell>
          <cell r="AC172">
            <v>0.14333029059383071</v>
          </cell>
          <cell r="AE172" t="str">
            <v>1-44-38866-03430-00-0000-1-01</v>
          </cell>
          <cell r="AF172">
            <v>42157</v>
          </cell>
          <cell r="AG172">
            <v>42186</v>
          </cell>
          <cell r="AH172">
            <v>199680</v>
          </cell>
          <cell r="AI172">
            <v>32454.13</v>
          </cell>
          <cell r="AK172">
            <v>32454.13</v>
          </cell>
        </row>
        <row r="173">
          <cell r="R173" t="str">
            <v>2811</v>
          </cell>
          <cell r="S173" t="str">
            <v>CAL URBAN MARKET</v>
          </cell>
          <cell r="Y173">
            <v>42157</v>
          </cell>
          <cell r="Z173">
            <v>42186</v>
          </cell>
          <cell r="AA173">
            <v>19577</v>
          </cell>
          <cell r="AB173">
            <v>2805.9770989554236</v>
          </cell>
          <cell r="AC173">
            <v>0.14333029059383071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42153</v>
          </cell>
          <cell r="Z174">
            <v>42184</v>
          </cell>
          <cell r="AA174" t="str">
            <v xml:space="preserve"> </v>
          </cell>
          <cell r="AB174">
            <v>1601.74</v>
          </cell>
          <cell r="AC174" t="e">
            <v>#VALUE!</v>
          </cell>
          <cell r="AE174" t="str">
            <v>1-44-38866-03434-00-9003-0-01</v>
          </cell>
          <cell r="AF174">
            <v>42157</v>
          </cell>
          <cell r="AG174">
            <v>42186</v>
          </cell>
          <cell r="AH174">
            <v>930789.31</v>
          </cell>
          <cell r="AI174">
            <v>125111.19</v>
          </cell>
          <cell r="AK174">
            <v>125111.19</v>
          </cell>
          <cell r="AL174">
            <v>0.14333029059383071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42153</v>
          </cell>
          <cell r="Z175">
            <v>42184</v>
          </cell>
          <cell r="AA175">
            <v>703105.86</v>
          </cell>
          <cell r="AB175">
            <v>114065.9774532369</v>
          </cell>
          <cell r="AC175">
            <v>0.16223158409352029</v>
          </cell>
          <cell r="AE175" t="str">
            <v>1-63-34103-03400-00-9001-0-01</v>
          </cell>
          <cell r="AF175">
            <v>42153</v>
          </cell>
          <cell r="AG175">
            <v>42184</v>
          </cell>
          <cell r="AH175">
            <v>731624.86</v>
          </cell>
          <cell r="AI175">
            <v>118692.66</v>
          </cell>
          <cell r="AK175">
            <v>118692.66</v>
          </cell>
          <cell r="AL175">
            <v>731624.86</v>
          </cell>
          <cell r="AM175">
            <v>0.16223158409352029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42153</v>
          </cell>
          <cell r="Z176">
            <v>42184</v>
          </cell>
          <cell r="AA176">
            <v>305700.59421653615</v>
          </cell>
          <cell r="AB176">
            <v>46452.81</v>
          </cell>
          <cell r="AC176">
            <v>0.15195524928255846</v>
          </cell>
          <cell r="AE176" t="str">
            <v>1-44-38866-03434-00-9003-3-01</v>
          </cell>
          <cell r="AF176">
            <v>42157</v>
          </cell>
          <cell r="AG176">
            <v>42186</v>
          </cell>
          <cell r="AH176">
            <v>451800</v>
          </cell>
          <cell r="AI176">
            <v>69221.8</v>
          </cell>
          <cell r="AK176">
            <v>69221.8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42153</v>
          </cell>
          <cell r="Z177">
            <v>42184</v>
          </cell>
          <cell r="AA177">
            <v>490229.2731768103</v>
          </cell>
          <cell r="AB177">
            <v>69433.45</v>
          </cell>
          <cell r="AC177">
            <v>0.14163464688686089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42153</v>
          </cell>
          <cell r="Z178">
            <v>42184</v>
          </cell>
          <cell r="AA178">
            <v>36949.033551496665</v>
          </cell>
          <cell r="AB178">
            <v>6124.65</v>
          </cell>
          <cell r="AC178">
            <v>0.16575940995760938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42153</v>
          </cell>
          <cell r="Z179">
            <v>42184</v>
          </cell>
          <cell r="AA179">
            <v>12637.981752862524</v>
          </cell>
          <cell r="AB179">
            <v>1741.84</v>
          </cell>
          <cell r="AC179">
            <v>0.13782580431448005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42153</v>
          </cell>
          <cell r="Z180">
            <v>42184</v>
          </cell>
          <cell r="AA180">
            <v>117838.60873533272</v>
          </cell>
          <cell r="AB180">
            <v>18280.11</v>
          </cell>
          <cell r="AC180">
            <v>0.15512835900037994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42153</v>
          </cell>
          <cell r="Z181">
            <v>42184</v>
          </cell>
          <cell r="AA181">
            <v>2736.0804336990245</v>
          </cell>
          <cell r="AB181">
            <v>487.88</v>
          </cell>
          <cell r="AC181">
            <v>0.1783134713406119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42153</v>
          </cell>
          <cell r="Z182">
            <v>42184</v>
          </cell>
          <cell r="AA182">
            <v>254941.87419232249</v>
          </cell>
          <cell r="AB182">
            <v>41453.56</v>
          </cell>
          <cell r="AC182">
            <v>0.16260004415252849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42153</v>
          </cell>
          <cell r="Z183">
            <v>42184</v>
          </cell>
          <cell r="AA183">
            <v>159953.99041440361</v>
          </cell>
          <cell r="AB183">
            <v>16214.86</v>
          </cell>
          <cell r="AC183">
            <v>0.1013720255305358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42153</v>
          </cell>
          <cell r="Z184">
            <v>42184</v>
          </cell>
          <cell r="AA184">
            <v>59231.575288800457</v>
          </cell>
          <cell r="AB184">
            <v>9216.1299999999992</v>
          </cell>
          <cell r="AC184">
            <v>0.15559488254472595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42153</v>
          </cell>
          <cell r="Z185">
            <v>42184</v>
          </cell>
          <cell r="AA185">
            <v>30547.06133186644</v>
          </cell>
          <cell r="AB185">
            <v>4460.8599999999997</v>
          </cell>
          <cell r="AC185">
            <v>0.14603237776415723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42153</v>
          </cell>
          <cell r="Z186">
            <v>42184</v>
          </cell>
          <cell r="AA186">
            <v>6888.8302403261587</v>
          </cell>
          <cell r="AB186">
            <v>1121.77</v>
          </cell>
          <cell r="AC186">
            <v>0.16283896697487621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42153</v>
          </cell>
          <cell r="Z187">
            <v>42184</v>
          </cell>
          <cell r="AA187">
            <v>8469.1097648615505</v>
          </cell>
          <cell r="AB187">
            <v>1351.82</v>
          </cell>
          <cell r="AC187">
            <v>0.15961772105123956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42153</v>
          </cell>
          <cell r="Z188">
            <v>42184</v>
          </cell>
          <cell r="AA188">
            <v>3709.6973942849008</v>
          </cell>
          <cell r="AB188">
            <v>763.35</v>
          </cell>
          <cell r="AC188">
            <v>0.20577150070946609</v>
          </cell>
        </row>
        <row r="189">
          <cell r="R189">
            <v>3160</v>
          </cell>
          <cell r="S189" t="str">
            <v>Campus Develpmt &amp; Facilities</v>
          </cell>
          <cell r="Y189">
            <v>42157</v>
          </cell>
          <cell r="Z189">
            <v>42186</v>
          </cell>
          <cell r="AA189">
            <v>62157</v>
          </cell>
          <cell r="AB189">
            <v>8908.9808724407358</v>
          </cell>
          <cell r="AC189">
            <v>0.14333029059383071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42153</v>
          </cell>
          <cell r="Z190">
            <v>42184</v>
          </cell>
          <cell r="AA190">
            <v>180056.65292900134</v>
          </cell>
          <cell r="AB190">
            <v>25757.18</v>
          </cell>
          <cell r="AC190">
            <v>0.14305042097031753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42153</v>
          </cell>
          <cell r="Z191">
            <v>42184</v>
          </cell>
          <cell r="AA191">
            <v>121194.01873335129</v>
          </cell>
          <cell r="AB191">
            <v>20809.45</v>
          </cell>
          <cell r="AC191">
            <v>0.17170360565222734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42153</v>
          </cell>
          <cell r="Z192">
            <v>42184</v>
          </cell>
          <cell r="AA192">
            <v>143248.74541785396</v>
          </cell>
          <cell r="AB192">
            <v>23015.360000000001</v>
          </cell>
          <cell r="AC192">
            <v>0.16066709647518809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42153</v>
          </cell>
          <cell r="Z193">
            <v>42184</v>
          </cell>
          <cell r="AA193">
            <v>78207.227393138775</v>
          </cell>
          <cell r="AB193">
            <v>11629.88</v>
          </cell>
          <cell r="AC193">
            <v>0.14870594940718107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42153</v>
          </cell>
          <cell r="Z194">
            <v>42184</v>
          </cell>
          <cell r="AA194">
            <v>101966.35095612546</v>
          </cell>
          <cell r="AB194">
            <v>15887.247600000001</v>
          </cell>
          <cell r="AC194">
            <v>0.15580872955663616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42153</v>
          </cell>
          <cell r="Z195">
            <v>42184</v>
          </cell>
          <cell r="AA195">
            <v>10311.204029271114</v>
          </cell>
          <cell r="AB195">
            <v>1606.5755999999999</v>
          </cell>
          <cell r="AC195">
            <v>0.15580872955663616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42153</v>
          </cell>
          <cell r="Z196">
            <v>42184</v>
          </cell>
          <cell r="AA196">
            <v>2291.3786731713585</v>
          </cell>
          <cell r="AB196">
            <v>357.01679999999999</v>
          </cell>
          <cell r="AC196">
            <v>0.15580872955663616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42153</v>
          </cell>
          <cell r="Z197">
            <v>42184</v>
          </cell>
          <cell r="AA197">
            <v>90124.522517853096</v>
          </cell>
          <cell r="AB197">
            <v>15062.48</v>
          </cell>
          <cell r="AC197">
            <v>0.16712965105602881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42153</v>
          </cell>
          <cell r="Z198">
            <v>42184</v>
          </cell>
          <cell r="AA198">
            <v>111129.75250784705</v>
          </cell>
          <cell r="AB198">
            <v>16364.32</v>
          </cell>
          <cell r="AC198">
            <v>0.14725417478856068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42153</v>
          </cell>
          <cell r="Z199">
            <v>42184</v>
          </cell>
          <cell r="AA199">
            <v>50619.43516885367</v>
          </cell>
          <cell r="AB199">
            <v>7041.5</v>
          </cell>
          <cell r="AC199">
            <v>0.13910664898791011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42153</v>
          </cell>
          <cell r="Z200">
            <v>42184</v>
          </cell>
          <cell r="AA200">
            <v>87367.109281502228</v>
          </cell>
          <cell r="AB200">
            <v>14737.09</v>
          </cell>
          <cell r="AC200">
            <v>0.16868006874894056</v>
          </cell>
        </row>
        <row r="201">
          <cell r="R201" t="str">
            <v>5010</v>
          </cell>
          <cell r="S201" t="str">
            <v>Brian Kennedy Field</v>
          </cell>
          <cell r="Y201">
            <v>42153</v>
          </cell>
          <cell r="Z201">
            <v>42184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42153</v>
          </cell>
          <cell r="Z202">
            <v>42184</v>
          </cell>
          <cell r="AA202">
            <v>1104.2438587912443</v>
          </cell>
          <cell r="AB202">
            <v>341.12</v>
          </cell>
          <cell r="AC202">
            <v>0.30891727156482041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42153</v>
          </cell>
          <cell r="Z203">
            <v>42184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42153</v>
          </cell>
          <cell r="Z205">
            <v>42184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42153</v>
          </cell>
          <cell r="AG205">
            <v>42184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42153</v>
          </cell>
          <cell r="Z206">
            <v>42184</v>
          </cell>
          <cell r="AC206">
            <v>0</v>
          </cell>
          <cell r="AE206" t="str">
            <v>1-63-43981-03000-00-0000-3-01</v>
          </cell>
          <cell r="AF206">
            <v>42153</v>
          </cell>
          <cell r="AG206">
            <v>42184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42153</v>
          </cell>
          <cell r="AG209">
            <v>42184</v>
          </cell>
          <cell r="AK209">
            <v>0</v>
          </cell>
        </row>
        <row r="212">
          <cell r="AA212">
            <v>12767095.219710851</v>
          </cell>
          <cell r="AB212">
            <v>1899817.6100000003</v>
          </cell>
          <cell r="AC212">
            <v>0.14880578372023981</v>
          </cell>
        </row>
        <row r="214">
          <cell r="Z214" t="str">
            <v>DICK ADJUSTMENT-REDUCE IN JAN 2015 UPLOAD</v>
          </cell>
        </row>
        <row r="216">
          <cell r="Z216" t="str">
            <v>ALLOCATED DWP PAYMENT:</v>
          </cell>
          <cell r="AA216">
            <v>12767095.219710851</v>
          </cell>
          <cell r="AB216">
            <v>1899817.6100000003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4073024.8589635012</v>
          </cell>
          <cell r="AB218">
            <v>607681.79759999982</v>
          </cell>
          <cell r="AC218">
            <v>0.14919668272160805</v>
          </cell>
          <cell r="AN218">
            <v>20567.427599999821</v>
          </cell>
        </row>
        <row r="219">
          <cell r="S219">
            <v>1656479</v>
          </cell>
          <cell r="Z219" t="str">
            <v>Jefferson 1</v>
          </cell>
          <cell r="AA219">
            <v>3345198.3670481825</v>
          </cell>
          <cell r="AB219">
            <v>467531.89239999984</v>
          </cell>
          <cell r="AC219">
            <v>0.13976208317133432</v>
          </cell>
          <cell r="AN219">
            <v>-20959.17760000017</v>
          </cell>
        </row>
        <row r="220">
          <cell r="S220">
            <v>1134280</v>
          </cell>
          <cell r="Z220" t="str">
            <v>Jefferson 2</v>
          </cell>
          <cell r="AA220">
            <v>2319794.8236991717</v>
          </cell>
          <cell r="AB220">
            <v>356110.84</v>
          </cell>
          <cell r="AC220">
            <v>0.15350962781792121</v>
          </cell>
          <cell r="AN220">
            <v>357.80999999999767</v>
          </cell>
        </row>
        <row r="221">
          <cell r="S221">
            <v>8943554</v>
          </cell>
          <cell r="W221">
            <v>0</v>
          </cell>
          <cell r="AA221">
            <v>9738018.0497108549</v>
          </cell>
          <cell r="AB221">
            <v>1431324.5299999998</v>
          </cell>
          <cell r="AC221">
            <v>0.14698314612823082</v>
          </cell>
          <cell r="AD221">
            <v>5.9999999823048711E-2</v>
          </cell>
          <cell r="AN221">
            <v>-33.940000000351574</v>
          </cell>
        </row>
        <row r="223">
          <cell r="X223" t="str">
            <v>DWP :</v>
          </cell>
          <cell r="Z223" t="str">
            <v>Biegler Vault</v>
          </cell>
          <cell r="AA223">
            <v>3945861.66</v>
          </cell>
          <cell r="AB223">
            <v>587136.37</v>
          </cell>
          <cell r="AC223">
            <v>0.14879801183906685</v>
          </cell>
          <cell r="AD223">
            <v>20545.427599999821</v>
          </cell>
          <cell r="AE223" t="str">
            <v>1-63-96675-00946-00-0000-0-01</v>
          </cell>
          <cell r="AF223">
            <v>42153</v>
          </cell>
          <cell r="AG223">
            <v>42184</v>
          </cell>
          <cell r="AH223">
            <v>3945861.66</v>
          </cell>
          <cell r="AI223">
            <v>587136.37</v>
          </cell>
          <cell r="AK223">
            <v>587136.37</v>
          </cell>
        </row>
        <row r="224">
          <cell r="Z224" t="str">
            <v>Jefferson 6</v>
          </cell>
          <cell r="AA224">
            <v>3475329.65</v>
          </cell>
          <cell r="AB224">
            <v>488513.07</v>
          </cell>
          <cell r="AC224">
            <v>0.14056596616669156</v>
          </cell>
          <cell r="AD224">
            <v>-20981.17760000017</v>
          </cell>
          <cell r="AE224" t="str">
            <v>1-63-45784-00912-00-9006-0-01</v>
          </cell>
          <cell r="AF224">
            <v>42153</v>
          </cell>
          <cell r="AG224">
            <v>42184</v>
          </cell>
          <cell r="AH224">
            <v>3475329.65</v>
          </cell>
          <cell r="AI224">
            <v>488513.07</v>
          </cell>
          <cell r="AK224">
            <v>488513.07</v>
          </cell>
        </row>
        <row r="225">
          <cell r="Z225" t="str">
            <v>Jefferson 5</v>
          </cell>
          <cell r="AA225">
            <v>2326258.4300000002</v>
          </cell>
          <cell r="AB225">
            <v>355753.03</v>
          </cell>
          <cell r="AC225">
            <v>0.15292928137825168</v>
          </cell>
          <cell r="AD225">
            <v>357.80999999999767</v>
          </cell>
          <cell r="AE225" t="str">
            <v>1-63-45784-00912-00-9005-0-01</v>
          </cell>
          <cell r="AF225">
            <v>42153</v>
          </cell>
          <cell r="AG225">
            <v>42184</v>
          </cell>
          <cell r="AH225">
            <v>2326258.4300000002</v>
          </cell>
          <cell r="AI225">
            <v>355753.03</v>
          </cell>
          <cell r="AK225">
            <v>355753.03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42184</v>
          </cell>
          <cell r="Z9">
            <v>42214</v>
          </cell>
          <cell r="AA9">
            <v>43597.273381398518</v>
          </cell>
          <cell r="AB9">
            <v>6578.4591535556756</v>
          </cell>
          <cell r="AC9">
            <v>0.150891527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42184</v>
          </cell>
          <cell r="Z10">
            <v>42214</v>
          </cell>
          <cell r="AA10">
            <v>30022.978786505941</v>
          </cell>
          <cell r="AB10">
            <v>4530.2131141844884</v>
          </cell>
          <cell r="AC10">
            <v>0.150891527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42184</v>
          </cell>
          <cell r="Z11">
            <v>42156</v>
          </cell>
          <cell r="AA11">
            <v>4713.3943343247774</v>
          </cell>
          <cell r="AB11">
            <v>711.21126845941421</v>
          </cell>
          <cell r="AC11">
            <v>0.150891527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42184</v>
          </cell>
          <cell r="Z12">
            <v>42214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42184</v>
          </cell>
          <cell r="Z13">
            <v>42214</v>
          </cell>
          <cell r="AA13">
            <v>103407.58573384145</v>
          </cell>
          <cell r="AB13">
            <v>16155.418719583331</v>
          </cell>
          <cell r="AC13">
            <v>0.15623049899999999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42184</v>
          </cell>
          <cell r="Z14">
            <v>42214</v>
          </cell>
          <cell r="AA14">
            <v>43687.111790376744</v>
          </cell>
          <cell r="AB14">
            <v>6825.2592748793422</v>
          </cell>
          <cell r="AC14">
            <v>0.15623049899999999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42184</v>
          </cell>
          <cell r="Z15">
            <v>42214</v>
          </cell>
          <cell r="AA15">
            <v>110832.52966235006</v>
          </cell>
          <cell r="AB15">
            <v>17315.421414581251</v>
          </cell>
          <cell r="AC15">
            <v>0.15623049899999999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42184</v>
          </cell>
          <cell r="Z16">
            <v>42214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42184</v>
          </cell>
          <cell r="Z17">
            <v>42214</v>
          </cell>
          <cell r="AA17">
            <v>156563.67496534978</v>
          </cell>
          <cell r="AB17">
            <v>23624.131988253303</v>
          </cell>
          <cell r="AC17">
            <v>0.150891527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42184</v>
          </cell>
          <cell r="Z18">
            <v>42214</v>
          </cell>
          <cell r="AA18">
            <v>148801.47064985451</v>
          </cell>
          <cell r="AB18">
            <v>22452.881126202228</v>
          </cell>
          <cell r="AC18">
            <v>0.150891527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42184</v>
          </cell>
          <cell r="Z19">
            <v>42214</v>
          </cell>
          <cell r="AA19">
            <v>43975.880304846847</v>
          </cell>
          <cell r="AB19">
            <v>6635.5877303675661</v>
          </cell>
          <cell r="AC19">
            <v>0.150891527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42184</v>
          </cell>
          <cell r="Z20">
            <v>42214</v>
          </cell>
          <cell r="AA20">
            <v>26776.114935724298</v>
          </cell>
          <cell r="AB20">
            <v>3853.5601163949959</v>
          </cell>
          <cell r="AC20">
            <v>0.143917821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42184</v>
          </cell>
          <cell r="Z21">
            <v>42214</v>
          </cell>
          <cell r="AA21">
            <v>3328.3115297926543</v>
          </cell>
          <cell r="AB21">
            <v>519.98377112695971</v>
          </cell>
          <cell r="AC21">
            <v>0.15623049899999999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42184</v>
          </cell>
          <cell r="Z22">
            <v>42214</v>
          </cell>
          <cell r="AA22">
            <v>15586.02486949655</v>
          </cell>
          <cell r="AB22">
            <v>2435.0124427878559</v>
          </cell>
          <cell r="AC22">
            <v>0.15623049899999999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42184</v>
          </cell>
          <cell r="Z23">
            <v>42214</v>
          </cell>
          <cell r="AA23">
            <v>85880.330798335373</v>
          </cell>
          <cell r="AB23">
            <v>13417.126934909003</v>
          </cell>
          <cell r="AC23">
            <v>0.15623049899999999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42184</v>
          </cell>
          <cell r="Z24">
            <v>42214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42184</v>
          </cell>
          <cell r="Z25">
            <v>42214</v>
          </cell>
          <cell r="AA25">
            <v>155978.29602400001</v>
          </cell>
          <cell r="AB25">
            <v>23535.803265919389</v>
          </cell>
          <cell r="AC25">
            <v>0.150891527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42184</v>
          </cell>
          <cell r="Z26">
            <v>42214</v>
          </cell>
          <cell r="AA26">
            <v>145822.00453874646</v>
          </cell>
          <cell r="AB26">
            <v>22003.304935052383</v>
          </cell>
          <cell r="AC26">
            <v>0.150891527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42184</v>
          </cell>
          <cell r="Z27">
            <v>42214</v>
          </cell>
          <cell r="AA27">
            <v>2567.4182336723125</v>
          </cell>
          <cell r="AB27">
            <v>369.49723778578806</v>
          </cell>
          <cell r="AC27">
            <v>0.143917821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42184</v>
          </cell>
          <cell r="Z28">
            <v>42214</v>
          </cell>
          <cell r="AA28">
            <v>45496.141899754373</v>
          </cell>
          <cell r="AB28">
            <v>6864.9823238626186</v>
          </cell>
          <cell r="AC28">
            <v>0.150891527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42184</v>
          </cell>
          <cell r="Z29">
            <v>42214</v>
          </cell>
          <cell r="AA29">
            <v>291209.46610553231</v>
          </cell>
          <cell r="AB29">
            <v>41910.231816481566</v>
          </cell>
          <cell r="AC29">
            <v>0.143917821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42184</v>
          </cell>
          <cell r="Z30">
            <v>42214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42184</v>
          </cell>
          <cell r="Z31">
            <v>42214</v>
          </cell>
          <cell r="AA31">
            <v>48678.596797331993</v>
          </cell>
          <cell r="AB31">
            <v>7005.7175804095987</v>
          </cell>
          <cell r="AC31">
            <v>0.143917821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42184</v>
          </cell>
          <cell r="Z32">
            <v>42214</v>
          </cell>
          <cell r="AA32">
            <v>104095.49087942607</v>
          </cell>
          <cell r="AB32">
            <v>15707.127572611173</v>
          </cell>
          <cell r="AC32">
            <v>0.150891527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42184</v>
          </cell>
          <cell r="Z33">
            <v>42214</v>
          </cell>
          <cell r="AA33">
            <v>101006.63912242594</v>
          </cell>
          <cell r="AB33">
            <v>15241.046014320791</v>
          </cell>
          <cell r="AC33">
            <v>0.150891527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42184</v>
          </cell>
          <cell r="Z34">
            <v>42214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42184</v>
          </cell>
          <cell r="Z35">
            <v>42214</v>
          </cell>
          <cell r="AA35">
            <v>105786.55436702086</v>
          </cell>
          <cell r="AB35">
            <v>15224.570395599676</v>
          </cell>
          <cell r="AC35">
            <v>0.143917821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42184</v>
          </cell>
          <cell r="Z36">
            <v>42214</v>
          </cell>
          <cell r="AA36">
            <v>121258.02277238719</v>
          </cell>
          <cell r="AB36">
            <v>18944.201405483414</v>
          </cell>
          <cell r="AC36">
            <v>0.15623049899999999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42184</v>
          </cell>
          <cell r="Z37">
            <v>42214</v>
          </cell>
          <cell r="AA37">
            <v>205570.00841078765</v>
          </cell>
          <cell r="AB37">
            <v>29585.187673432232</v>
          </cell>
          <cell r="AC37">
            <v>0.143917821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42184</v>
          </cell>
          <cell r="Z38">
            <v>42214</v>
          </cell>
          <cell r="AA38">
            <v>45889.671527079707</v>
          </cell>
          <cell r="AB38">
            <v>6604.3415325830538</v>
          </cell>
          <cell r="AC38">
            <v>0.143917821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42184</v>
          </cell>
          <cell r="Z39">
            <v>42214</v>
          </cell>
          <cell r="AA39">
            <v>19574.266630731949</v>
          </cell>
          <cell r="AB39">
            <v>2817.0858011679538</v>
          </cell>
          <cell r="AC39">
            <v>0.143917821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42184</v>
          </cell>
          <cell r="Z40">
            <v>42214</v>
          </cell>
          <cell r="AA40">
            <v>50748.068305959627</v>
          </cell>
          <cell r="AB40">
            <v>7303.5514105528709</v>
          </cell>
          <cell r="AC40">
            <v>0.143917821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42184</v>
          </cell>
          <cell r="Z41">
            <v>42214</v>
          </cell>
          <cell r="AA41">
            <v>37759.724840465824</v>
          </cell>
          <cell r="AB41">
            <v>5899.2206539286708</v>
          </cell>
          <cell r="AC41">
            <v>0.15623049899999999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42184</v>
          </cell>
          <cell r="Z42">
            <v>42214</v>
          </cell>
          <cell r="AA42">
            <v>14851.2</v>
          </cell>
          <cell r="AB42">
            <v>2578.3380000000002</v>
          </cell>
          <cell r="AC42">
            <v>0.17361142533936652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42184</v>
          </cell>
          <cell r="Z43">
            <v>42214</v>
          </cell>
          <cell r="AA43">
            <v>38726.894071635885</v>
          </cell>
          <cell r="AB43">
            <v>5843.5601824363857</v>
          </cell>
          <cell r="AC43">
            <v>0.150891527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42184</v>
          </cell>
          <cell r="Z44">
            <v>42214</v>
          </cell>
          <cell r="AA44">
            <v>9078.1467827425804</v>
          </cell>
          <cell r="AB44">
            <v>1369.8154303781653</v>
          </cell>
          <cell r="AC44">
            <v>0.150891527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42184</v>
          </cell>
          <cell r="Z45">
            <v>42214</v>
          </cell>
          <cell r="AA45">
            <v>7026.0961743604557</v>
          </cell>
          <cell r="AB45">
            <v>1097.690511342325</v>
          </cell>
          <cell r="AC45">
            <v>0.15623049899999999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42184</v>
          </cell>
          <cell r="Z46">
            <v>42214</v>
          </cell>
          <cell r="AA46">
            <v>4458.1053518323624</v>
          </cell>
          <cell r="AB46">
            <v>696.49202371134049</v>
          </cell>
          <cell r="AC46">
            <v>0.15623049899999999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42184</v>
          </cell>
          <cell r="Z47">
            <v>42214</v>
          </cell>
          <cell r="AA47">
            <v>209951.02404698275</v>
          </cell>
          <cell r="AB47">
            <v>30215.693897560359</v>
          </cell>
          <cell r="AC47">
            <v>0.143917821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42184</v>
          </cell>
          <cell r="Z48">
            <v>42214</v>
          </cell>
          <cell r="AA48">
            <v>68470.954254949582</v>
          </cell>
          <cell r="AB48">
            <v>9854.1905381630222</v>
          </cell>
          <cell r="AC48">
            <v>0.143917821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42184</v>
          </cell>
          <cell r="Z49">
            <v>42214</v>
          </cell>
          <cell r="AA49">
            <v>47244.062022491424</v>
          </cell>
          <cell r="AB49">
            <v>6799.2624614658189</v>
          </cell>
          <cell r="AC49">
            <v>0.143917821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42184</v>
          </cell>
          <cell r="Z50">
            <v>42214</v>
          </cell>
          <cell r="AA50">
            <v>7637.7599999999993</v>
          </cell>
          <cell r="AB50">
            <v>1326.0023999999999</v>
          </cell>
          <cell r="AC50">
            <v>0.17361142533936652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42184</v>
          </cell>
          <cell r="Z51">
            <v>42214</v>
          </cell>
          <cell r="AA51">
            <v>34558.308943588418</v>
          </cell>
          <cell r="AB51">
            <v>4973.5565206060573</v>
          </cell>
          <cell r="AC51">
            <v>0.143917821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42184</v>
          </cell>
          <cell r="Z52">
            <v>42214</v>
          </cell>
          <cell r="AA52">
            <v>54809.463363153744</v>
          </cell>
          <cell r="AB52">
            <v>7888.0585374044185</v>
          </cell>
          <cell r="AC52">
            <v>0.143917821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>
            <v>0</v>
          </cell>
          <cell r="Y53">
            <v>42184</v>
          </cell>
          <cell r="Z53">
            <v>42214</v>
          </cell>
          <cell r="AA53">
            <v>0</v>
          </cell>
          <cell r="AB53">
            <v>0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42184</v>
          </cell>
          <cell r="Z55">
            <v>42214</v>
          </cell>
          <cell r="AA55">
            <v>419311.11223170196</v>
          </cell>
          <cell r="AB55">
            <v>63270.494012709882</v>
          </cell>
          <cell r="AC55">
            <v>0.150891527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42184</v>
          </cell>
          <cell r="Z56">
            <v>42214</v>
          </cell>
          <cell r="AA56">
            <v>5067.6049440226207</v>
          </cell>
          <cell r="AB56">
            <v>764.65864823632273</v>
          </cell>
          <cell r="AC56">
            <v>0.150891527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42184</v>
          </cell>
          <cell r="Z57">
            <v>42214</v>
          </cell>
          <cell r="AA57">
            <v>63184.779698146413</v>
          </cell>
          <cell r="AB57">
            <v>9093.41581452227</v>
          </cell>
          <cell r="AC57">
            <v>0.143917821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42184</v>
          </cell>
          <cell r="Z58">
            <v>42214</v>
          </cell>
          <cell r="AA58">
            <v>473134.93068318866</v>
          </cell>
          <cell r="AB58">
            <v>68092.548262910554</v>
          </cell>
          <cell r="AC58">
            <v>0.143917821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42184</v>
          </cell>
          <cell r="Z59">
            <v>42214</v>
          </cell>
          <cell r="AA59">
            <v>15989.463361859105</v>
          </cell>
          <cell r="AB59">
            <v>2412.6745425814738</v>
          </cell>
          <cell r="AC59">
            <v>0.150891527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42184</v>
          </cell>
          <cell r="Z60">
            <v>42214</v>
          </cell>
          <cell r="AA60">
            <v>27924.962098295637</v>
          </cell>
          <cell r="AB60">
            <v>4213.6401724289526</v>
          </cell>
          <cell r="AC60">
            <v>0.150891527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42184</v>
          </cell>
          <cell r="Z61">
            <v>42214</v>
          </cell>
          <cell r="AA61">
            <v>146339.76326263568</v>
          </cell>
          <cell r="AB61">
            <v>22081.430339517599</v>
          </cell>
          <cell r="AC61">
            <v>0.150891527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42184</v>
          </cell>
          <cell r="Z62">
            <v>42214</v>
          </cell>
          <cell r="AA62">
            <v>23913.467860268498</v>
          </cell>
          <cell r="AB62">
            <v>3441.5741870033748</v>
          </cell>
          <cell r="AC62">
            <v>0.143917821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42184</v>
          </cell>
          <cell r="Z63">
            <v>42214</v>
          </cell>
          <cell r="AA63">
            <v>18450.839277423682</v>
          </cell>
          <cell r="AB63">
            <v>2784.0753130020362</v>
          </cell>
          <cell r="AC63">
            <v>0.15089152700000003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42184</v>
          </cell>
          <cell r="Z64">
            <v>42214</v>
          </cell>
          <cell r="AA64">
            <v>34769.652874914245</v>
          </cell>
          <cell r="AB64">
            <v>5246.4460155557508</v>
          </cell>
          <cell r="AC64">
            <v>0.150891527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42184</v>
          </cell>
          <cell r="Z65">
            <v>42214</v>
          </cell>
          <cell r="AA65">
            <v>4589.9542902938238</v>
          </cell>
          <cell r="AB65">
            <v>692.58521172263636</v>
          </cell>
          <cell r="AC65">
            <v>0.150891527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42184</v>
          </cell>
          <cell r="Z66">
            <v>42214</v>
          </cell>
          <cell r="AA66">
            <v>20520</v>
          </cell>
          <cell r="AB66">
            <v>3997.3499999999995</v>
          </cell>
          <cell r="AC66">
            <v>0.19480263157894734</v>
          </cell>
          <cell r="AE66" t="str">
            <v>1-52-34746-03601-00-9002-0-02</v>
          </cell>
          <cell r="AF66">
            <v>42184</v>
          </cell>
          <cell r="AG66">
            <v>42214</v>
          </cell>
          <cell r="AH66">
            <v>11440</v>
          </cell>
          <cell r="AI66">
            <v>2162.9899999999998</v>
          </cell>
          <cell r="AK66">
            <v>2162.9899999999998</v>
          </cell>
          <cell r="AL66">
            <v>3997.3499999999995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42184</v>
          </cell>
          <cell r="Z67">
            <v>42214</v>
          </cell>
          <cell r="AA67">
            <v>2955.7729517230732</v>
          </cell>
          <cell r="AB67">
            <v>425.3884025827229</v>
          </cell>
          <cell r="AC67">
            <v>0.143917821</v>
          </cell>
          <cell r="AE67" t="str">
            <v>1-52-34746-03601-00-9003-0-01</v>
          </cell>
          <cell r="AF67">
            <v>42184</v>
          </cell>
          <cell r="AG67">
            <v>42214</v>
          </cell>
          <cell r="AH67">
            <v>9080</v>
          </cell>
          <cell r="AI67">
            <v>1834.36</v>
          </cell>
          <cell r="AK67">
            <v>1834.36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42184</v>
          </cell>
          <cell r="Z68">
            <v>42214</v>
          </cell>
          <cell r="AA68">
            <v>16523.454725312782</v>
          </cell>
          <cell r="AB68">
            <v>2378.0195994591691</v>
          </cell>
          <cell r="AC68">
            <v>0.143917821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42184</v>
          </cell>
          <cell r="Z69">
            <v>42214</v>
          </cell>
          <cell r="AA69">
            <v>35330.099037730113</v>
          </cell>
          <cell r="AB69">
            <v>5084.6308692243147</v>
          </cell>
          <cell r="AC69">
            <v>0.143917821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42184</v>
          </cell>
          <cell r="Z70">
            <v>42214</v>
          </cell>
          <cell r="AA70">
            <v>40306.157975470669</v>
          </cell>
          <cell r="AB70">
            <v>6297.0511732806126</v>
          </cell>
          <cell r="AC70">
            <v>0.15623049899999999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42184</v>
          </cell>
          <cell r="Z71">
            <v>42214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42184</v>
          </cell>
          <cell r="Z72">
            <v>42214</v>
          </cell>
          <cell r="AA72">
            <v>54634.616523564713</v>
          </cell>
          <cell r="AB72">
            <v>8243.9007143001108</v>
          </cell>
          <cell r="AC72">
            <v>0.150891527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42184</v>
          </cell>
          <cell r="Z73">
            <v>42214</v>
          </cell>
          <cell r="AA73">
            <v>39958.51015004998</v>
          </cell>
          <cell r="AB73">
            <v>6029.4006131860406</v>
          </cell>
          <cell r="AC73">
            <v>0.150891527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42184</v>
          </cell>
          <cell r="Z74">
            <v>42214</v>
          </cell>
          <cell r="AA74">
            <v>35256.91620661538</v>
          </cell>
          <cell r="AB74">
            <v>5319.9699237272425</v>
          </cell>
          <cell r="AC74">
            <v>0.150891527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42184</v>
          </cell>
          <cell r="Z75">
            <v>42214</v>
          </cell>
          <cell r="AA75">
            <v>9589.5412508708177</v>
          </cell>
          <cell r="AB75">
            <v>1446.9805225733878</v>
          </cell>
          <cell r="AC75">
            <v>0.150891527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42184</v>
          </cell>
          <cell r="Z76">
            <v>42214</v>
          </cell>
          <cell r="AA76">
            <v>12511.642134949359</v>
          </cell>
          <cell r="AB76">
            <v>1954.7000940525638</v>
          </cell>
          <cell r="AC76">
            <v>0.15623049899999999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42184</v>
          </cell>
          <cell r="Z78">
            <v>42214</v>
          </cell>
          <cell r="AA78">
            <v>21527.625466210251</v>
          </cell>
          <cell r="AB78">
            <v>3248.3362792805515</v>
          </cell>
          <cell r="AC78">
            <v>0.150891527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42184</v>
          </cell>
          <cell r="Z79">
            <v>42214</v>
          </cell>
          <cell r="AA79">
            <v>25441.775347883482</v>
          </cell>
          <cell r="AB79">
            <v>3838.9483318330949</v>
          </cell>
          <cell r="AC79">
            <v>0.150891527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42184</v>
          </cell>
          <cell r="Z80">
            <v>42214</v>
          </cell>
          <cell r="AA80">
            <v>61484.279374996615</v>
          </cell>
          <cell r="AB80">
            <v>9277.4568013878452</v>
          </cell>
          <cell r="AC80">
            <v>0.150891527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42184</v>
          </cell>
          <cell r="Z81">
            <v>42214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42184</v>
          </cell>
          <cell r="Z82">
            <v>42214</v>
          </cell>
          <cell r="AA82">
            <v>16071.005388796846</v>
          </cell>
          <cell r="AB82">
            <v>2424.9785435407848</v>
          </cell>
          <cell r="AC82">
            <v>0.150891527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42184</v>
          </cell>
          <cell r="Z83">
            <v>42214</v>
          </cell>
          <cell r="AA83">
            <v>260812.17097863072</v>
          </cell>
          <cell r="AB83">
            <v>40746.815617264794</v>
          </cell>
          <cell r="AC83">
            <v>0.15623049899999999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42184</v>
          </cell>
          <cell r="Z84">
            <v>42214</v>
          </cell>
          <cell r="AA84">
            <v>134157.15101547397</v>
          </cell>
          <cell r="AB84">
            <v>19307.604845714952</v>
          </cell>
          <cell r="AC84">
            <v>0.143917821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42184</v>
          </cell>
          <cell r="Z85">
            <v>42214</v>
          </cell>
          <cell r="AA85">
            <v>2720.2624000000001</v>
          </cell>
          <cell r="AB85">
            <v>410.4663375847764</v>
          </cell>
          <cell r="AC85">
            <v>0.15089218510125213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42184</v>
          </cell>
          <cell r="Z86">
            <v>42214</v>
          </cell>
          <cell r="AA86">
            <v>10990.7376</v>
          </cell>
          <cell r="AB86">
            <v>1658.4164123384915</v>
          </cell>
          <cell r="AC86">
            <v>0.1508921851012521</v>
          </cell>
          <cell r="AL86">
            <v>13711</v>
          </cell>
          <cell r="AM86">
            <v>2068.882749923268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42184</v>
          </cell>
          <cell r="Z87">
            <v>42214</v>
          </cell>
          <cell r="AA87">
            <v>15440</v>
          </cell>
          <cell r="AB87">
            <v>3208.81</v>
          </cell>
          <cell r="AC87">
            <v>0.20782448186528496</v>
          </cell>
          <cell r="AE87" t="str">
            <v>1-63-86192-02715-00-9001-0-01</v>
          </cell>
          <cell r="AF87">
            <v>42184</v>
          </cell>
          <cell r="AG87">
            <v>42214</v>
          </cell>
          <cell r="AH87">
            <v>15440</v>
          </cell>
          <cell r="AI87">
            <v>3208.81</v>
          </cell>
          <cell r="AK87">
            <v>3208.81</v>
          </cell>
          <cell r="AM87">
            <v>2068.882749923268</v>
          </cell>
          <cell r="AN87">
            <v>2068.882749923268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42184</v>
          </cell>
          <cell r="Z88">
            <v>42214</v>
          </cell>
          <cell r="AA88">
            <v>23334.61004201675</v>
          </cell>
          <cell r="AB88">
            <v>3520.9949411894413</v>
          </cell>
          <cell r="AC88">
            <v>0.150891527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42184</v>
          </cell>
          <cell r="Z89">
            <v>42214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42184</v>
          </cell>
          <cell r="Z90">
            <v>42214</v>
          </cell>
          <cell r="AA90">
            <v>20181.651667090784</v>
          </cell>
          <cell r="AB90">
            <v>3045.2402374294238</v>
          </cell>
          <cell r="AC90">
            <v>0.150891527</v>
          </cell>
          <cell r="AL90">
            <v>20182</v>
          </cell>
          <cell r="AM90">
            <v>3045.2402374294238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42184</v>
          </cell>
          <cell r="Z91">
            <v>42214</v>
          </cell>
          <cell r="AA91">
            <v>0</v>
          </cell>
          <cell r="AB91">
            <v>0</v>
          </cell>
          <cell r="AC91">
            <v>0</v>
          </cell>
          <cell r="AM91">
            <v>3045.2402374294238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42184</v>
          </cell>
          <cell r="Z92">
            <v>42214</v>
          </cell>
          <cell r="AA92">
            <v>42223.920023640603</v>
          </cell>
          <cell r="AB92">
            <v>6371.231768293007</v>
          </cell>
          <cell r="AC92">
            <v>0.150891527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42184</v>
          </cell>
          <cell r="Z93">
            <v>42214</v>
          </cell>
          <cell r="AA93">
            <v>6516.4675557160581</v>
          </cell>
          <cell r="AB93">
            <v>1018.07097794683</v>
          </cell>
          <cell r="AC93">
            <v>0.15623049899999999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42184</v>
          </cell>
          <cell r="Z94">
            <v>42214</v>
          </cell>
          <cell r="AA94">
            <v>58648.330141317165</v>
          </cell>
          <cell r="AB94">
            <v>9162.6578834947213</v>
          </cell>
          <cell r="AC94">
            <v>0.15623049899999999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42184</v>
          </cell>
          <cell r="Z95">
            <v>42214</v>
          </cell>
          <cell r="AA95">
            <v>34308.178037911312</v>
          </cell>
          <cell r="AB95">
            <v>5176.8133727283021</v>
          </cell>
          <cell r="AC95">
            <v>0.150891527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42184</v>
          </cell>
          <cell r="Z96">
            <v>42214</v>
          </cell>
          <cell r="AA96">
            <v>9043.1140313511296</v>
          </cell>
          <cell r="AB96">
            <v>1412.8102176318887</v>
          </cell>
          <cell r="AC96">
            <v>0.15623049899999999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42184</v>
          </cell>
          <cell r="Z97">
            <v>42214</v>
          </cell>
          <cell r="AA97">
            <v>4031.1274393024041</v>
          </cell>
          <cell r="AB97">
            <v>580.15107723771177</v>
          </cell>
          <cell r="AC97">
            <v>0.143917821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42184</v>
          </cell>
          <cell r="Z98">
            <v>42214</v>
          </cell>
          <cell r="AA98">
            <v>69141.340881773824</v>
          </cell>
          <cell r="AB98">
            <v>10432.842504478378</v>
          </cell>
          <cell r="AC98">
            <v>0.150891527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42184</v>
          </cell>
          <cell r="Z99">
            <v>42214</v>
          </cell>
          <cell r="AA99">
            <v>23060.576947983551</v>
          </cell>
          <cell r="AB99">
            <v>3318.8279853566232</v>
          </cell>
          <cell r="AC99">
            <v>0.143917821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42184</v>
          </cell>
          <cell r="Z100">
            <v>42214</v>
          </cell>
          <cell r="AA100">
            <v>53162.051341492363</v>
          </cell>
          <cell r="AB100">
            <v>8305.5338089449706</v>
          </cell>
          <cell r="AC100">
            <v>0.15623049899999999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42184</v>
          </cell>
          <cell r="Z101">
            <v>42214</v>
          </cell>
          <cell r="AA101">
            <v>17816.543223884568</v>
          </cell>
          <cell r="AB101">
            <v>2783.4874383225547</v>
          </cell>
          <cell r="AC101">
            <v>0.15623049899999999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42184</v>
          </cell>
          <cell r="Z102">
            <v>42214</v>
          </cell>
          <cell r="AA102">
            <v>57079.056435674873</v>
          </cell>
          <cell r="AB102">
            <v>8214.6934269583544</v>
          </cell>
          <cell r="AC102">
            <v>0.143917821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42184</v>
          </cell>
          <cell r="Z103">
            <v>42214</v>
          </cell>
          <cell r="AA103">
            <v>9250.0026651274002</v>
          </cell>
          <cell r="AB103">
            <v>1331.2402278093282</v>
          </cell>
          <cell r="AC103">
            <v>0.143917821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42184</v>
          </cell>
          <cell r="Z104">
            <v>42214</v>
          </cell>
          <cell r="AA104">
            <v>60322.06429849672</v>
          </cell>
          <cell r="AB104">
            <v>8681.4200520615414</v>
          </cell>
          <cell r="AC104">
            <v>0.143917821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42184</v>
          </cell>
          <cell r="Z106">
            <v>42214</v>
          </cell>
          <cell r="AA106">
            <v>84433.918237804042</v>
          </cell>
          <cell r="AB106">
            <v>12740.3628534954</v>
          </cell>
          <cell r="AC106">
            <v>0.150891527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42184</v>
          </cell>
          <cell r="Z107">
            <v>42214</v>
          </cell>
          <cell r="AA107">
            <v>3888.5602699675678</v>
          </cell>
          <cell r="AB107">
            <v>586.75079696693854</v>
          </cell>
          <cell r="AC107">
            <v>0.150891527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42184</v>
          </cell>
          <cell r="Z108">
            <v>42214</v>
          </cell>
          <cell r="AA108">
            <v>12525.327871657548</v>
          </cell>
          <cell r="AB108">
            <v>1802.6178945995221</v>
          </cell>
          <cell r="AC108">
            <v>0.143917821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42184</v>
          </cell>
          <cell r="Z109">
            <v>42214</v>
          </cell>
          <cell r="AA109">
            <v>79225.570429400264</v>
          </cell>
          <cell r="AB109">
            <v>11954.467299538252</v>
          </cell>
          <cell r="AC109">
            <v>0.150891527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42184</v>
          </cell>
          <cell r="Z110">
            <v>42214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42184</v>
          </cell>
          <cell r="Z111">
            <v>42214</v>
          </cell>
          <cell r="AA111">
            <v>182387.81439768619</v>
          </cell>
          <cell r="AB111">
            <v>26248.856825067425</v>
          </cell>
          <cell r="AC111">
            <v>0.143917821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42184</v>
          </cell>
          <cell r="Z112">
            <v>42214</v>
          </cell>
          <cell r="AA112">
            <v>26456.90102516262</v>
          </cell>
          <cell r="AB112">
            <v>4133.3748491547676</v>
          </cell>
          <cell r="AC112">
            <v>0.15623049899999999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42186</v>
          </cell>
          <cell r="Z113">
            <v>42216</v>
          </cell>
          <cell r="AA113">
            <v>52380.804000000004</v>
          </cell>
          <cell r="AB113">
            <v>10520.443959299999</v>
          </cell>
          <cell r="AC113">
            <v>0.20084540816326527</v>
          </cell>
          <cell r="AE113" t="str">
            <v>1-44-38866-03717-00-9001-3-01</v>
          </cell>
          <cell r="AF113">
            <v>42186</v>
          </cell>
          <cell r="AG113">
            <v>42216</v>
          </cell>
          <cell r="AH113">
            <v>58800</v>
          </cell>
          <cell r="AI113">
            <v>11809.71</v>
          </cell>
          <cell r="AK113">
            <v>11809.71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42186</v>
          </cell>
          <cell r="Z114">
            <v>42216</v>
          </cell>
          <cell r="AA114">
            <v>6419.1959999999999</v>
          </cell>
          <cell r="AB114">
            <v>1289.2660406999998</v>
          </cell>
          <cell r="AC114">
            <v>0.20084540816326529</v>
          </cell>
          <cell r="AE114" t="str">
            <v>1-44-38866-03717-00-9001-3-02</v>
          </cell>
          <cell r="AF114">
            <v>42184</v>
          </cell>
          <cell r="AG114">
            <v>42214</v>
          </cell>
          <cell r="AK114">
            <v>0</v>
          </cell>
          <cell r="AL114">
            <v>58800</v>
          </cell>
          <cell r="AM114">
            <v>11809.71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42184</v>
          </cell>
          <cell r="Z115">
            <v>42214</v>
          </cell>
          <cell r="AA115">
            <v>55548.603383194502</v>
          </cell>
          <cell r="AB115">
            <v>8678.3860253095645</v>
          </cell>
          <cell r="AC115">
            <v>0.15623049899999999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42153</v>
          </cell>
          <cell r="Z116">
            <v>42215</v>
          </cell>
          <cell r="AA116">
            <v>5760</v>
          </cell>
          <cell r="AB116">
            <v>1072.3700000000001</v>
          </cell>
          <cell r="AC116">
            <v>0.18617534722222223</v>
          </cell>
          <cell r="AE116" t="str">
            <v>1-63-00433-00909-00-9001-3-01</v>
          </cell>
          <cell r="AF116">
            <v>42153</v>
          </cell>
          <cell r="AG116">
            <v>42215</v>
          </cell>
          <cell r="AH116">
            <v>5760</v>
          </cell>
          <cell r="AI116">
            <v>1072.3700000000001</v>
          </cell>
          <cell r="AK116">
            <v>1072.3700000000001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42184</v>
          </cell>
          <cell r="Z118">
            <v>42214</v>
          </cell>
          <cell r="AA118">
            <v>50170.357300731201</v>
          </cell>
          <cell r="AB118">
            <v>7838.1399561015287</v>
          </cell>
          <cell r="AC118">
            <v>0.15623049899999999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42184</v>
          </cell>
          <cell r="Z119">
            <v>42214</v>
          </cell>
          <cell r="AA119">
            <v>30535.823142343932</v>
          </cell>
          <cell r="AB119">
            <v>4770.6268869041405</v>
          </cell>
          <cell r="AC119">
            <v>0.15623049899999999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10320</v>
          </cell>
          <cell r="AB120">
            <v>2409.16</v>
          </cell>
          <cell r="AC120">
            <v>0.23344573643410851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42184</v>
          </cell>
          <cell r="Z121">
            <v>42214</v>
          </cell>
          <cell r="AA121">
            <v>69335.323631807463</v>
          </cell>
          <cell r="AB121">
            <v>9978.5886954195357</v>
          </cell>
          <cell r="AC121">
            <v>0.143917821</v>
          </cell>
          <cell r="AE121" t="str">
            <v>1-44-43997-03440-00-9001-2-01</v>
          </cell>
          <cell r="AF121">
            <v>42125</v>
          </cell>
          <cell r="AG121">
            <v>42216</v>
          </cell>
          <cell r="AH121">
            <v>10320</v>
          </cell>
          <cell r="AI121">
            <v>2409.16</v>
          </cell>
          <cell r="AK121">
            <v>2409.16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42184</v>
          </cell>
          <cell r="Z123">
            <v>42214</v>
          </cell>
          <cell r="AA123">
            <v>41879.985035223537</v>
          </cell>
          <cell r="AB123">
            <v>6319.3348927020279</v>
          </cell>
          <cell r="AC123">
            <v>0.150891527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42184</v>
          </cell>
          <cell r="Z124">
            <v>42215</v>
          </cell>
          <cell r="AA124">
            <v>523</v>
          </cell>
          <cell r="AB124">
            <v>84.95</v>
          </cell>
          <cell r="AC124">
            <v>0.16242829827915869</v>
          </cell>
          <cell r="AE124" t="str">
            <v>1-63-43981-02712-00-0000-0-01</v>
          </cell>
          <cell r="AF124">
            <v>42184</v>
          </cell>
          <cell r="AG124">
            <v>42215</v>
          </cell>
          <cell r="AH124">
            <v>523</v>
          </cell>
          <cell r="AI124">
            <v>84.95</v>
          </cell>
          <cell r="AK124">
            <v>84.95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42184</v>
          </cell>
          <cell r="Z125">
            <v>42214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42184</v>
          </cell>
          <cell r="AG125">
            <v>42214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42184</v>
          </cell>
          <cell r="Z126">
            <v>42214</v>
          </cell>
          <cell r="AA126">
            <v>20585.576276799406</v>
          </cell>
          <cell r="AB126">
            <v>3216.094853926933</v>
          </cell>
          <cell r="AC126">
            <v>0.15623049899999999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42184</v>
          </cell>
          <cell r="Z127">
            <v>42214</v>
          </cell>
          <cell r="AA127">
            <v>44349.979213797793</v>
          </cell>
          <cell r="AB127">
            <v>6692.0360859882085</v>
          </cell>
          <cell r="AC127">
            <v>0.150891527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42184</v>
          </cell>
          <cell r="Z128">
            <v>42214</v>
          </cell>
          <cell r="AA128">
            <v>27228.672741444341</v>
          </cell>
          <cell r="AB128">
            <v>4108.576008139813</v>
          </cell>
          <cell r="AC128">
            <v>0.150891527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42184</v>
          </cell>
          <cell r="Z129">
            <v>42214</v>
          </cell>
          <cell r="AA129">
            <v>605299.92370800918</v>
          </cell>
          <cell r="AB129">
            <v>91334.62978128501</v>
          </cell>
          <cell r="AC129">
            <v>0.150891527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42184</v>
          </cell>
          <cell r="Z130">
            <v>42214</v>
          </cell>
          <cell r="AA130">
            <v>3282.099731409478</v>
          </cell>
          <cell r="AB130">
            <v>495.24104023866602</v>
          </cell>
          <cell r="AC130">
            <v>0.150891527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42184</v>
          </cell>
          <cell r="Z131">
            <v>42214</v>
          </cell>
          <cell r="AA131">
            <v>1570.3138146945205</v>
          </cell>
          <cell r="AB131">
            <v>236.94704936845122</v>
          </cell>
          <cell r="AC131">
            <v>0.150891527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42184</v>
          </cell>
          <cell r="Z132">
            <v>42214</v>
          </cell>
          <cell r="AA132">
            <v>22008.452686325621</v>
          </cell>
          <cell r="AB132">
            <v>3167.4085541975801</v>
          </cell>
          <cell r="AC132">
            <v>0.143917821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42184</v>
          </cell>
          <cell r="Z133">
            <v>42214</v>
          </cell>
          <cell r="AA133">
            <v>10750.675259650081</v>
          </cell>
          <cell r="AB133">
            <v>1547.2137576474488</v>
          </cell>
          <cell r="AC133">
            <v>0.143917821</v>
          </cell>
          <cell r="AE133" t="str">
            <v>1-63-34103-03131-00-9002-0-01</v>
          </cell>
          <cell r="AF133">
            <v>42184</v>
          </cell>
          <cell r="AG133">
            <v>42214</v>
          </cell>
          <cell r="AH133">
            <v>33840</v>
          </cell>
          <cell r="AI133">
            <v>8246.42</v>
          </cell>
          <cell r="AK133">
            <v>8246.42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42184</v>
          </cell>
          <cell r="Z134">
            <v>42214</v>
          </cell>
          <cell r="AA134">
            <v>2666.7616115832566</v>
          </cell>
          <cell r="AB134">
            <v>383.79452026551064</v>
          </cell>
          <cell r="AC134">
            <v>0.143917821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42184</v>
          </cell>
          <cell r="Z136">
            <v>42214</v>
          </cell>
          <cell r="AA136">
            <v>73280</v>
          </cell>
          <cell r="AB136">
            <v>15913.54</v>
          </cell>
          <cell r="AC136">
            <v>0.21716075327510917</v>
          </cell>
          <cell r="AE136" t="str">
            <v>1-63-34103-03131-00-9001-0-01</v>
          </cell>
          <cell r="AF136">
            <v>42184</v>
          </cell>
          <cell r="AG136">
            <v>42214</v>
          </cell>
          <cell r="AH136">
            <v>39440</v>
          </cell>
          <cell r="AI136">
            <v>7667.12</v>
          </cell>
          <cell r="AK136">
            <v>7667.12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42186</v>
          </cell>
          <cell r="Z137">
            <v>42216</v>
          </cell>
          <cell r="AA137">
            <v>50305.14</v>
          </cell>
          <cell r="AB137">
            <v>8022.0423499999997</v>
          </cell>
          <cell r="AC137">
            <v>0.15946764783876954</v>
          </cell>
          <cell r="AE137" t="str">
            <v>1-44-38866-03447-00-9001-4-01</v>
          </cell>
          <cell r="AF137">
            <v>42186</v>
          </cell>
          <cell r="AG137">
            <v>42216</v>
          </cell>
          <cell r="AH137">
            <v>56720</v>
          </cell>
          <cell r="AI137">
            <v>8585.1200000000008</v>
          </cell>
          <cell r="AK137">
            <v>8585.1200000000008</v>
          </cell>
          <cell r="AL137">
            <v>150840</v>
          </cell>
          <cell r="AM137">
            <v>24054.1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42186</v>
          </cell>
          <cell r="Z138">
            <v>42216</v>
          </cell>
          <cell r="AA138">
            <v>100534.86</v>
          </cell>
          <cell r="AB138">
            <v>16032.057649999999</v>
          </cell>
          <cell r="AC138">
            <v>0.15946764783876954</v>
          </cell>
          <cell r="AL138">
            <v>150840</v>
          </cell>
          <cell r="AM138">
            <v>24054.1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42186</v>
          </cell>
          <cell r="Z139">
            <v>42216</v>
          </cell>
          <cell r="AA139">
            <v>56720</v>
          </cell>
          <cell r="AB139">
            <v>8585.1200000000008</v>
          </cell>
          <cell r="AC139">
            <v>0.1513596614950635</v>
          </cell>
          <cell r="AE139" t="str">
            <v>1-44-38866-03447-00-9004-0-01</v>
          </cell>
          <cell r="AF139">
            <v>42186</v>
          </cell>
          <cell r="AG139">
            <v>42216</v>
          </cell>
          <cell r="AH139">
            <v>48960</v>
          </cell>
          <cell r="AI139">
            <v>8121.11</v>
          </cell>
          <cell r="AK139">
            <v>8121.11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42184</v>
          </cell>
          <cell r="Z140">
            <v>42214</v>
          </cell>
          <cell r="AA140">
            <v>19328.390567582679</v>
          </cell>
          <cell r="AB140">
            <v>3019.6841032403349</v>
          </cell>
          <cell r="AC140">
            <v>0.15623049899999999</v>
          </cell>
          <cell r="AE140" t="str">
            <v>1-44-38866-03447-00-9004-0-01</v>
          </cell>
          <cell r="AF140">
            <v>42186</v>
          </cell>
          <cell r="AG140">
            <v>42216</v>
          </cell>
          <cell r="AH140">
            <v>101880</v>
          </cell>
          <cell r="AI140">
            <v>15932.99</v>
          </cell>
          <cell r="AK140">
            <v>15932.99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42184</v>
          </cell>
          <cell r="Z141">
            <v>42214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42184</v>
          </cell>
          <cell r="Z142">
            <v>42214</v>
          </cell>
          <cell r="AA142">
            <v>19146.707507011426</v>
          </cell>
          <cell r="AB142">
            <v>2991.2996680274409</v>
          </cell>
          <cell r="AC142">
            <v>0.15623049899999999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42184</v>
          </cell>
          <cell r="Z143">
            <v>42214</v>
          </cell>
          <cell r="AA143">
            <v>46403.253900000003</v>
          </cell>
          <cell r="AB143">
            <v>6678.2459566564849</v>
          </cell>
          <cell r="AC143">
            <v>0.14391762204970035</v>
          </cell>
          <cell r="AL143">
            <v>79227</v>
          </cell>
          <cell r="AM143">
            <v>11402.161442131612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42184</v>
          </cell>
          <cell r="Z144">
            <v>42214</v>
          </cell>
          <cell r="AA144">
            <v>32823.746099999997</v>
          </cell>
          <cell r="AB144">
            <v>4723.9154854751268</v>
          </cell>
          <cell r="AC144">
            <v>0.14391762204970041</v>
          </cell>
          <cell r="AM144">
            <v>11402.161442131612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42184</v>
          </cell>
          <cell r="Z145">
            <v>42214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42184</v>
          </cell>
          <cell r="Z146">
            <v>42214</v>
          </cell>
          <cell r="AA146">
            <v>29193</v>
          </cell>
          <cell r="AB146">
            <v>4860.281471631838</v>
          </cell>
          <cell r="AC146">
            <v>0.16648790708840605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42184</v>
          </cell>
          <cell r="AG147">
            <v>42214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42184</v>
          </cell>
          <cell r="AG148">
            <v>42214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42184</v>
          </cell>
          <cell r="Z149">
            <v>42214</v>
          </cell>
          <cell r="AA149">
            <v>140950.29934236695</v>
          </cell>
          <cell r="AB149">
            <v>21268.205898876844</v>
          </cell>
          <cell r="AC149">
            <v>0.150891527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42184</v>
          </cell>
          <cell r="Z151">
            <v>42214</v>
          </cell>
          <cell r="AA151">
            <v>122426.00594636846</v>
          </cell>
          <cell r="AB151">
            <v>18473.046981758616</v>
          </cell>
          <cell r="AC151">
            <v>0.150891527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42184</v>
          </cell>
          <cell r="Z152">
            <v>42214</v>
          </cell>
          <cell r="AA152">
            <v>89118.867268413713</v>
          </cell>
          <cell r="AB152">
            <v>12825.793187258323</v>
          </cell>
          <cell r="AC152">
            <v>0.143917821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42184</v>
          </cell>
          <cell r="Z153">
            <v>42214</v>
          </cell>
          <cell r="AA153">
            <v>5967.2334999999994</v>
          </cell>
          <cell r="AB153">
            <v>900.40323904761601</v>
          </cell>
          <cell r="AC153">
            <v>0.15089123612267161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42184</v>
          </cell>
          <cell r="Z154">
            <v>42214</v>
          </cell>
          <cell r="AA154">
            <v>60705.766499999998</v>
          </cell>
          <cell r="AB154">
            <v>9159.968146959267</v>
          </cell>
          <cell r="AC154">
            <v>0.15089123612267161</v>
          </cell>
          <cell r="AL154">
            <v>66673</v>
          </cell>
          <cell r="AM154">
            <v>10060.371386006884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42184</v>
          </cell>
          <cell r="Z155">
            <v>42214</v>
          </cell>
          <cell r="AA155">
            <v>3483.5682028434567</v>
          </cell>
          <cell r="AB155">
            <v>525.64092553569492</v>
          </cell>
          <cell r="AC155">
            <v>0.150891527</v>
          </cell>
          <cell r="AM155">
            <v>10060.371386006884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42184</v>
          </cell>
          <cell r="Z156">
            <v>42214</v>
          </cell>
          <cell r="AA156">
            <v>1778.3454248820242</v>
          </cell>
          <cell r="AB156">
            <v>268.33725669391242</v>
          </cell>
          <cell r="AC156">
            <v>0.150891527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42184</v>
          </cell>
          <cell r="Z157">
            <v>42214</v>
          </cell>
          <cell r="AA157">
            <v>80495.30574804949</v>
          </cell>
          <cell r="AB157">
            <v>12146.059600655064</v>
          </cell>
          <cell r="AC157">
            <v>0.150891527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42184</v>
          </cell>
          <cell r="Z158">
            <v>42214</v>
          </cell>
          <cell r="AA158">
            <v>165316.68405537421</v>
          </cell>
          <cell r="AB158">
            <v>25827.508042996455</v>
          </cell>
          <cell r="AC158">
            <v>0.15623049899999999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42186</v>
          </cell>
          <cell r="Z159">
            <v>42216</v>
          </cell>
          <cell r="AA159">
            <v>13440</v>
          </cell>
          <cell r="AB159">
            <v>2412.15</v>
          </cell>
          <cell r="AC159">
            <v>0.17947544642857144</v>
          </cell>
          <cell r="AE159" t="str">
            <v>1-44-43997-03500-00-9001-1-01</v>
          </cell>
          <cell r="AF159">
            <v>42186</v>
          </cell>
          <cell r="AG159">
            <v>42216</v>
          </cell>
          <cell r="AH159">
            <v>13440</v>
          </cell>
          <cell r="AI159">
            <v>2412.15</v>
          </cell>
          <cell r="AK159">
            <v>2412.15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42184</v>
          </cell>
          <cell r="Z160">
            <v>42214</v>
          </cell>
          <cell r="AA160">
            <v>14826.395621537382</v>
          </cell>
          <cell r="AB160">
            <v>2237.1774752398896</v>
          </cell>
          <cell r="AC160">
            <v>0.150891527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42184</v>
          </cell>
          <cell r="Z161">
            <v>42214</v>
          </cell>
          <cell r="AA161">
            <v>30551.039999999997</v>
          </cell>
          <cell r="AB161">
            <v>5304.0095999999994</v>
          </cell>
          <cell r="AC161">
            <v>0.17361142533936652</v>
          </cell>
          <cell r="AE161" t="str">
            <v>1-63-00433-00746-00-0000-4-01</v>
          </cell>
          <cell r="AF161">
            <v>42184</v>
          </cell>
          <cell r="AG161">
            <v>42214</v>
          </cell>
          <cell r="AH161">
            <v>53040</v>
          </cell>
          <cell r="AI161">
            <v>9208.35</v>
          </cell>
          <cell r="AK161">
            <v>9208.35</v>
          </cell>
          <cell r="AL161">
            <v>53040</v>
          </cell>
          <cell r="AM161">
            <v>9208.35</v>
          </cell>
          <cell r="AN161" t="str">
            <v>#42</v>
          </cell>
          <cell r="AO161">
            <v>0.28000000000000003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42184</v>
          </cell>
          <cell r="Z162">
            <v>42214</v>
          </cell>
          <cell r="AA162">
            <v>38016.351433653195</v>
          </cell>
          <cell r="AB162">
            <v>5736.3453187925697</v>
          </cell>
          <cell r="AC162">
            <v>0.150891527</v>
          </cell>
          <cell r="AL162">
            <v>53040</v>
          </cell>
          <cell r="AM162">
            <v>9208.3499999999985</v>
          </cell>
          <cell r="AN162" t="str">
            <v>#52</v>
          </cell>
          <cell r="AO162">
            <v>0.14399999999999999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42184</v>
          </cell>
          <cell r="Z163">
            <v>42214</v>
          </cell>
          <cell r="AC163">
            <v>0</v>
          </cell>
          <cell r="AN163" t="str">
            <v>#261</v>
          </cell>
          <cell r="AO163">
            <v>0.57599999999999996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42184</v>
          </cell>
          <cell r="Z164">
            <v>42214</v>
          </cell>
          <cell r="AA164">
            <v>31323.503181082746</v>
          </cell>
          <cell r="AB164">
            <v>4893.6865324086448</v>
          </cell>
          <cell r="AC164">
            <v>0.15623049899999999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42184</v>
          </cell>
          <cell r="Z165">
            <v>42214</v>
          </cell>
          <cell r="AA165">
            <v>6783.953876825999</v>
          </cell>
          <cell r="AB165">
            <v>1059.8604993695103</v>
          </cell>
          <cell r="AC165">
            <v>0.15623049899999999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42153</v>
          </cell>
          <cell r="Z166">
            <v>42214</v>
          </cell>
          <cell r="AA166">
            <v>5240</v>
          </cell>
          <cell r="AB166">
            <v>1012.7299999999998</v>
          </cell>
          <cell r="AC166">
            <v>0.1932690839694656</v>
          </cell>
          <cell r="AE166" t="str">
            <v>1-63-96497-01102-00-0000-1-01</v>
          </cell>
          <cell r="AF166">
            <v>42153</v>
          </cell>
          <cell r="AG166">
            <v>42214</v>
          </cell>
          <cell r="AH166">
            <v>5240</v>
          </cell>
          <cell r="AI166">
            <v>1012.7299999999998</v>
          </cell>
          <cell r="AK166">
            <v>1012.7299999999998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42184</v>
          </cell>
          <cell r="Z167">
            <v>42214</v>
          </cell>
          <cell r="AA167">
            <v>3240</v>
          </cell>
          <cell r="AB167">
            <v>756.84</v>
          </cell>
          <cell r="AC167">
            <v>0.2335925925925926</v>
          </cell>
          <cell r="AE167" t="str">
            <v>1-63-43981-02653-00-0000-0-01</v>
          </cell>
          <cell r="AF167">
            <v>42184</v>
          </cell>
          <cell r="AG167">
            <v>42214</v>
          </cell>
          <cell r="AH167">
            <v>3240</v>
          </cell>
          <cell r="AI167">
            <v>756.84</v>
          </cell>
          <cell r="AK167">
            <v>756.84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42184</v>
          </cell>
          <cell r="Z168">
            <v>42214</v>
          </cell>
          <cell r="AA168">
            <v>84240</v>
          </cell>
          <cell r="AB168">
            <v>15323.73</v>
          </cell>
          <cell r="AC168">
            <v>0.18190562678062677</v>
          </cell>
          <cell r="AE168" t="str">
            <v>1-63-34103-03500-00-9001-6-01</v>
          </cell>
          <cell r="AF168">
            <v>42184</v>
          </cell>
          <cell r="AG168">
            <v>42214</v>
          </cell>
          <cell r="AH168">
            <v>56720</v>
          </cell>
          <cell r="AI168">
            <v>10496.9</v>
          </cell>
          <cell r="AK168">
            <v>10496.9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42184</v>
          </cell>
          <cell r="Z169">
            <v>42214</v>
          </cell>
          <cell r="AA169">
            <v>10069.638591062778</v>
          </cell>
          <cell r="AB169">
            <v>1573.1846618313946</v>
          </cell>
          <cell r="AC169">
            <v>0.15623049899999999</v>
          </cell>
          <cell r="AE169" t="str">
            <v>1-63-34103-03500-00-0000-4-01</v>
          </cell>
          <cell r="AF169">
            <v>42184</v>
          </cell>
          <cell r="AG169">
            <v>42214</v>
          </cell>
          <cell r="AH169">
            <v>27520</v>
          </cell>
          <cell r="AI169">
            <v>4826.83</v>
          </cell>
          <cell r="AK169">
            <v>4826.83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42184</v>
          </cell>
          <cell r="Z170">
            <v>42214</v>
          </cell>
          <cell r="AA170">
            <v>93068.347296021762</v>
          </cell>
          <cell r="AB170">
            <v>13394.193746914694</v>
          </cell>
          <cell r="AC170">
            <v>0.143917821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42184</v>
          </cell>
          <cell r="Z171">
            <v>42214</v>
          </cell>
          <cell r="AA171">
            <v>49992.880990932354</v>
          </cell>
          <cell r="AB171">
            <v>7194.8664977273047</v>
          </cell>
          <cell r="AC171">
            <v>0.143917821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42186</v>
          </cell>
          <cell r="Z172">
            <v>42216</v>
          </cell>
          <cell r="AA172">
            <v>1560536.2</v>
          </cell>
          <cell r="AB172">
            <v>221356.34891691586</v>
          </cell>
          <cell r="AC172">
            <v>0.14184634032643131</v>
          </cell>
          <cell r="AE172" t="str">
            <v>1-44-38866-03430-00-0000-1-01</v>
          </cell>
          <cell r="AF172">
            <v>42186</v>
          </cell>
          <cell r="AG172">
            <v>42216</v>
          </cell>
          <cell r="AH172">
            <v>200640</v>
          </cell>
          <cell r="AI172">
            <v>32739.67</v>
          </cell>
          <cell r="AK172">
            <v>32739.67</v>
          </cell>
        </row>
        <row r="173">
          <cell r="R173" t="str">
            <v>2811</v>
          </cell>
          <cell r="S173" t="str">
            <v>CAL URBAN MARKET</v>
          </cell>
          <cell r="Y173">
            <v>42186</v>
          </cell>
          <cell r="Z173">
            <v>42216</v>
          </cell>
          <cell r="AA173">
            <v>19304</v>
          </cell>
          <cell r="AB173">
            <v>2738.2017536614303</v>
          </cell>
          <cell r="AC173">
            <v>0.14184634032643131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42184</v>
          </cell>
          <cell r="Z174">
            <v>42214</v>
          </cell>
          <cell r="AA174">
            <v>18132</v>
          </cell>
          <cell r="AB174">
            <v>1420.700613571742</v>
          </cell>
          <cell r="AC174">
            <v>7.8353221573557355E-2</v>
          </cell>
          <cell r="AE174" t="str">
            <v>1-44-38866-03434-00-9003-0-01</v>
          </cell>
          <cell r="AF174">
            <v>42186</v>
          </cell>
          <cell r="AG174">
            <v>42216</v>
          </cell>
          <cell r="AH174">
            <v>962129.2</v>
          </cell>
          <cell r="AI174">
            <v>128103.64</v>
          </cell>
          <cell r="AK174">
            <v>128103.64</v>
          </cell>
          <cell r="AL174">
            <v>0.14184634032643131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42184</v>
          </cell>
          <cell r="Z175">
            <v>42214</v>
          </cell>
          <cell r="AA175">
            <v>650891.77</v>
          </cell>
          <cell r="AB175">
            <v>108365.60852836816</v>
          </cell>
          <cell r="AC175">
            <v>0.16648790708840605</v>
          </cell>
          <cell r="AE175" t="str">
            <v>1-63-34103-03400-00-9001-0-01</v>
          </cell>
          <cell r="AF175">
            <v>42184</v>
          </cell>
          <cell r="AG175">
            <v>42214</v>
          </cell>
          <cell r="AH175">
            <v>680084.77</v>
          </cell>
          <cell r="AI175">
            <v>113225.89</v>
          </cell>
          <cell r="AK175">
            <v>113225.89</v>
          </cell>
          <cell r="AL175">
            <v>680084.77</v>
          </cell>
          <cell r="AM175">
            <v>0.16648790708840605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42184</v>
          </cell>
          <cell r="Z176">
            <v>42214</v>
          </cell>
          <cell r="AA176">
            <v>290456.47872908984</v>
          </cell>
          <cell r="AB176">
            <v>43827.421602475384</v>
          </cell>
          <cell r="AC176">
            <v>0.150891527</v>
          </cell>
          <cell r="AE176" t="str">
            <v>1-44-38866-03434-00-9003-3-01</v>
          </cell>
          <cell r="AF176">
            <v>42186</v>
          </cell>
          <cell r="AG176">
            <v>42216</v>
          </cell>
          <cell r="AH176">
            <v>477000</v>
          </cell>
          <cell r="AI176">
            <v>71751.95</v>
          </cell>
          <cell r="AK176">
            <v>71751.95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42184</v>
          </cell>
          <cell r="Z177">
            <v>42214</v>
          </cell>
          <cell r="AA177">
            <v>466338.27823033452</v>
          </cell>
          <cell r="AB177">
            <v>72856.261910725996</v>
          </cell>
          <cell r="AC177">
            <v>0.15623049899999999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42184</v>
          </cell>
          <cell r="Z178">
            <v>42214</v>
          </cell>
          <cell r="AA178">
            <v>5759.2003452678209</v>
          </cell>
          <cell r="AB178">
            <v>899.76274378216385</v>
          </cell>
          <cell r="AC178">
            <v>0.15623049899999999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42184</v>
          </cell>
          <cell r="Z179">
            <v>42214</v>
          </cell>
          <cell r="AA179">
            <v>11701.060870088117</v>
          </cell>
          <cell r="AB179">
            <v>1828.0625785632405</v>
          </cell>
          <cell r="AC179">
            <v>0.15623049899999999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42184</v>
          </cell>
          <cell r="Z180">
            <v>42214</v>
          </cell>
          <cell r="AA180">
            <v>111258.4924682272</v>
          </cell>
          <cell r="AB180">
            <v>17381.969796298876</v>
          </cell>
          <cell r="AC180">
            <v>0.15623049899999999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42184</v>
          </cell>
          <cell r="Z181">
            <v>42214</v>
          </cell>
          <cell r="AA181">
            <v>2466.6400476897525</v>
          </cell>
          <cell r="AB181">
            <v>354.99346085484524</v>
          </cell>
          <cell r="AC181">
            <v>0.143917821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42184</v>
          </cell>
          <cell r="Z182">
            <v>42214</v>
          </cell>
          <cell r="AA182">
            <v>249144.85624899337</v>
          </cell>
          <cell r="AB182">
            <v>35856.384824713357</v>
          </cell>
          <cell r="AC182">
            <v>0.143917821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42184</v>
          </cell>
          <cell r="Z183">
            <v>42214</v>
          </cell>
          <cell r="AA183">
            <v>220219.82291311657</v>
          </cell>
          <cell r="AB183">
            <v>33229.305355029748</v>
          </cell>
          <cell r="AC183">
            <v>0.150891527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42184</v>
          </cell>
          <cell r="Z184">
            <v>42214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42184</v>
          </cell>
          <cell r="Z185">
            <v>42214</v>
          </cell>
          <cell r="AA185">
            <v>30188.579484391616</v>
          </cell>
          <cell r="AB185">
            <v>4716.3768369476647</v>
          </cell>
          <cell r="AC185">
            <v>0.15623049899999999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42184</v>
          </cell>
          <cell r="Z186">
            <v>42214</v>
          </cell>
          <cell r="AA186">
            <v>5619.6555407618362</v>
          </cell>
          <cell r="AB186">
            <v>877.96158934133643</v>
          </cell>
          <cell r="AC186">
            <v>0.15623049899999999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42184</v>
          </cell>
          <cell r="Z187">
            <v>42214</v>
          </cell>
          <cell r="AA187">
            <v>7739.637310398939</v>
          </cell>
          <cell r="AB187">
            <v>1209.1673990826441</v>
          </cell>
          <cell r="AC187">
            <v>0.15623049899999999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42184</v>
          </cell>
          <cell r="Z188">
            <v>42214</v>
          </cell>
          <cell r="AA188">
            <v>4282.5903548300857</v>
          </cell>
          <cell r="AB188">
            <v>669.07122814769127</v>
          </cell>
          <cell r="AC188">
            <v>0.15623049899999997</v>
          </cell>
        </row>
        <row r="189">
          <cell r="R189">
            <v>3160</v>
          </cell>
          <cell r="S189" t="str">
            <v>Campus Develpmt &amp; Facilities</v>
          </cell>
          <cell r="Y189">
            <v>42186</v>
          </cell>
          <cell r="Z189">
            <v>42216</v>
          </cell>
          <cell r="AA189">
            <v>59929</v>
          </cell>
          <cell r="AB189">
            <v>8500.7093294227016</v>
          </cell>
          <cell r="AC189">
            <v>0.14184634032643131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42184</v>
          </cell>
          <cell r="Z190">
            <v>42214</v>
          </cell>
          <cell r="AA190">
            <v>157417.65421116317</v>
          </cell>
          <cell r="AB190">
            <v>24593.438668819472</v>
          </cell>
          <cell r="AC190">
            <v>0.15623049899999999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42184</v>
          </cell>
          <cell r="Z191">
            <v>42214</v>
          </cell>
          <cell r="AA191">
            <v>117229.83198009821</v>
          </cell>
          <cell r="AB191">
            <v>16871.46197477185</v>
          </cell>
          <cell r="AC191">
            <v>0.143917821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42184</v>
          </cell>
          <cell r="Z192">
            <v>42214</v>
          </cell>
          <cell r="AA192">
            <v>136648.38777296286</v>
          </cell>
          <cell r="AB192">
            <v>19666.138211447858</v>
          </cell>
          <cell r="AC192">
            <v>0.143917821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42184</v>
          </cell>
          <cell r="Z193">
            <v>42214</v>
          </cell>
          <cell r="AA193">
            <v>74837.603841846605</v>
          </cell>
          <cell r="AB193">
            <v>11691.916192176011</v>
          </cell>
          <cell r="AC193">
            <v>0.15623049899999999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42184</v>
          </cell>
          <cell r="Z194">
            <v>42214</v>
          </cell>
          <cell r="AA194">
            <v>87376.600324308441</v>
          </cell>
          <cell r="AB194">
            <v>12575.049925062363</v>
          </cell>
          <cell r="AC194">
            <v>0.143917821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42184</v>
          </cell>
          <cell r="Z195">
            <v>42214</v>
          </cell>
          <cell r="AA195">
            <v>3699.2085054018771</v>
          </cell>
          <cell r="AB195">
            <v>532.38202752210486</v>
          </cell>
          <cell r="AC195">
            <v>0.143917821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42184</v>
          </cell>
          <cell r="Z196">
            <v>42214</v>
          </cell>
          <cell r="AA196">
            <v>14163.537068473712</v>
          </cell>
          <cell r="AB196">
            <v>2038.3853925474643</v>
          </cell>
          <cell r="AC196">
            <v>0.143917821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42184</v>
          </cell>
          <cell r="Z197">
            <v>42214</v>
          </cell>
          <cell r="AA197">
            <v>83949.770739652566</v>
          </cell>
          <cell r="AB197">
            <v>12667.309098206095</v>
          </cell>
          <cell r="AC197">
            <v>0.150891527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42184</v>
          </cell>
          <cell r="Z198">
            <v>42214</v>
          </cell>
          <cell r="AA198">
            <v>35830.892523060058</v>
          </cell>
          <cell r="AB198">
            <v>5406.578086577415</v>
          </cell>
          <cell r="AC198">
            <v>0.150891527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42184</v>
          </cell>
          <cell r="Z199">
            <v>42214</v>
          </cell>
          <cell r="AA199">
            <v>50286.968012504585</v>
          </cell>
          <cell r="AB199">
            <v>7587.8773916069722</v>
          </cell>
          <cell r="AC199">
            <v>0.150891527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42184</v>
          </cell>
          <cell r="Z200">
            <v>42214</v>
          </cell>
          <cell r="AA200">
            <v>94813.687912331661</v>
          </cell>
          <cell r="AB200">
            <v>14306.582149593167</v>
          </cell>
          <cell r="AC200">
            <v>0.150891527</v>
          </cell>
        </row>
        <row r="201">
          <cell r="R201" t="str">
            <v>5010</v>
          </cell>
          <cell r="S201" t="str">
            <v>Brian Kennedy Field</v>
          </cell>
          <cell r="Y201">
            <v>42184</v>
          </cell>
          <cell r="Z201">
            <v>42214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42184</v>
          </cell>
          <cell r="Z202">
            <v>42214</v>
          </cell>
          <cell r="AA202">
            <v>700.3913115303211</v>
          </cell>
          <cell r="AB202">
            <v>100.79879140277599</v>
          </cell>
          <cell r="AC202">
            <v>0.143917821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42184</v>
          </cell>
          <cell r="Z203">
            <v>42214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42184</v>
          </cell>
          <cell r="Z205">
            <v>42214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42184</v>
          </cell>
          <cell r="AG205">
            <v>42214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42184</v>
          </cell>
          <cell r="Z206">
            <v>42214</v>
          </cell>
          <cell r="AC206">
            <v>0</v>
          </cell>
          <cell r="AE206" t="str">
            <v>1-63-43981-03000-00-0000-3-01</v>
          </cell>
          <cell r="AF206">
            <v>42184</v>
          </cell>
          <cell r="AG206">
            <v>42214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42184</v>
          </cell>
          <cell r="AG209">
            <v>42214</v>
          </cell>
          <cell r="AK209">
            <v>0</v>
          </cell>
        </row>
        <row r="212">
          <cell r="AA212">
            <v>12831678.072622294</v>
          </cell>
          <cell r="AB212">
            <v>1936317.3699999999</v>
          </cell>
          <cell r="AC212">
            <v>0.15090133644572432</v>
          </cell>
        </row>
        <row r="216">
          <cell r="Z216" t="str">
            <v>ALLOCATED DWP PAYMENT:</v>
          </cell>
          <cell r="AA216">
            <v>12831678.072622294</v>
          </cell>
          <cell r="AB216">
            <v>1936317.3699999999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4523295.4125406481</v>
          </cell>
          <cell r="AB218">
            <v>680964.65709627187</v>
          </cell>
          <cell r="AC218">
            <v>0.15054613837697306</v>
          </cell>
          <cell r="AN218">
            <v>31767.947096271906</v>
          </cell>
        </row>
        <row r="219">
          <cell r="S219">
            <v>1656479</v>
          </cell>
          <cell r="Z219" t="str">
            <v>Jefferson 1</v>
          </cell>
          <cell r="AA219">
            <v>3117206.0275293193</v>
          </cell>
          <cell r="AB219">
            <v>448685.35215458972</v>
          </cell>
          <cell r="AC219">
            <v>0.14393830506936858</v>
          </cell>
          <cell r="AN219">
            <v>-31587.757845410262</v>
          </cell>
        </row>
        <row r="220">
          <cell r="S220">
            <v>1134280</v>
          </cell>
          <cell r="Z220" t="str">
            <v>Jefferson 2</v>
          </cell>
          <cell r="AA220">
            <v>2319919.6625523223</v>
          </cell>
          <cell r="AB220">
            <v>360997.30074913858</v>
          </cell>
          <cell r="AC220">
            <v>0.15560767322088112</v>
          </cell>
          <cell r="AN220">
            <v>-246.18925086141098</v>
          </cell>
        </row>
        <row r="221">
          <cell r="S221">
            <v>8943554</v>
          </cell>
          <cell r="W221">
            <v>0</v>
          </cell>
          <cell r="AA221">
            <v>9960421.1026222892</v>
          </cell>
          <cell r="AB221">
            <v>1490647.31</v>
          </cell>
          <cell r="AC221">
            <v>0.14965705713060223</v>
          </cell>
          <cell r="AD221">
            <v>0</v>
          </cell>
          <cell r="AN221">
            <v>-65.999999999767169</v>
          </cell>
        </row>
        <row r="223">
          <cell r="X223" t="str">
            <v>DWP :</v>
          </cell>
          <cell r="Z223" t="str">
            <v>Biegler Vault</v>
          </cell>
          <cell r="AA223">
            <v>4302552.47</v>
          </cell>
          <cell r="AB223">
            <v>649218.71</v>
          </cell>
          <cell r="AC223">
            <v>0.15089152648962351</v>
          </cell>
          <cell r="AD223">
            <v>31745.947096271906</v>
          </cell>
          <cell r="AE223" t="str">
            <v>1-63-96675-00946-00-0000-0-01</v>
          </cell>
          <cell r="AF223">
            <v>42184</v>
          </cell>
          <cell r="AG223">
            <v>42214</v>
          </cell>
          <cell r="AH223">
            <v>4302552.47</v>
          </cell>
          <cell r="AI223">
            <v>649218.71</v>
          </cell>
          <cell r="AK223">
            <v>649218.71</v>
          </cell>
        </row>
        <row r="224">
          <cell r="Z224" t="str">
            <v>Jefferson 6</v>
          </cell>
          <cell r="AA224">
            <v>3337287.25</v>
          </cell>
          <cell r="AB224">
            <v>480295.11</v>
          </cell>
          <cell r="AC224">
            <v>0.14391782127834515</v>
          </cell>
          <cell r="AD224">
            <v>-31609.757845410262</v>
          </cell>
          <cell r="AE224" t="str">
            <v>1-63-45784-00912-00-9006-0-01</v>
          </cell>
          <cell r="AF224">
            <v>42184</v>
          </cell>
          <cell r="AG224">
            <v>42214</v>
          </cell>
          <cell r="AH224">
            <v>3337287.25</v>
          </cell>
          <cell r="AI224">
            <v>480295.11</v>
          </cell>
          <cell r="AK224">
            <v>480295.11</v>
          </cell>
        </row>
        <row r="225">
          <cell r="Z225" t="str">
            <v>Jefferson 5</v>
          </cell>
          <cell r="AA225">
            <v>2311542.83</v>
          </cell>
          <cell r="AB225">
            <v>361243.49</v>
          </cell>
          <cell r="AC225">
            <v>0.15627808635499088</v>
          </cell>
          <cell r="AD225">
            <v>-246.18925086141098</v>
          </cell>
          <cell r="AE225" t="str">
            <v>1-63-45784-00912-00-9005-0-01</v>
          </cell>
          <cell r="AF225">
            <v>42184</v>
          </cell>
          <cell r="AG225">
            <v>42214</v>
          </cell>
          <cell r="AH225">
            <v>2311542.83</v>
          </cell>
          <cell r="AI225">
            <v>361243.49</v>
          </cell>
          <cell r="AK225">
            <v>361243.49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42214</v>
          </cell>
          <cell r="Z9">
            <v>42243</v>
          </cell>
          <cell r="AA9">
            <v>43292.203173118796</v>
          </cell>
          <cell r="AB9">
            <v>6378.217824842146</v>
          </cell>
          <cell r="AC9">
            <v>0.14732948100000001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42214</v>
          </cell>
          <cell r="Z10">
            <v>42243</v>
          </cell>
          <cell r="AA10">
            <v>31268.601207139789</v>
          </cell>
          <cell r="AB10">
            <v>4606.7867874438789</v>
          </cell>
          <cell r="AC10">
            <v>0.14732948100000001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42214</v>
          </cell>
          <cell r="Z11">
            <v>42156</v>
          </cell>
          <cell r="AA11">
            <v>4583.0866710805985</v>
          </cell>
          <cell r="AB11">
            <v>675.2237806283224</v>
          </cell>
          <cell r="AC11">
            <v>0.14732948100000001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42214</v>
          </cell>
          <cell r="Z12">
            <v>42243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42214</v>
          </cell>
          <cell r="Z13">
            <v>42243</v>
          </cell>
          <cell r="AA13">
            <v>97248.739233177141</v>
          </cell>
          <cell r="AB13">
            <v>15381.812078783954</v>
          </cell>
          <cell r="AC13">
            <v>0.15816978400000001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42214</v>
          </cell>
          <cell r="Z14">
            <v>42243</v>
          </cell>
          <cell r="AA14">
            <v>41085.139557064198</v>
          </cell>
          <cell r="AB14">
            <v>6498.4276493507004</v>
          </cell>
          <cell r="AC14">
            <v>0.15816978400000001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42214</v>
          </cell>
          <cell r="Z15">
            <v>42243</v>
          </cell>
          <cell r="AA15">
            <v>109286.0864737197</v>
          </cell>
          <cell r="AB15">
            <v>17285.756691753566</v>
          </cell>
          <cell r="AC15">
            <v>0.15816978400000001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42214</v>
          </cell>
          <cell r="Z16">
            <v>42243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42214</v>
          </cell>
          <cell r="Z17">
            <v>42243</v>
          </cell>
          <cell r="AA17">
            <v>162896.34586033077</v>
          </cell>
          <cell r="AB17">
            <v>23999.434092399031</v>
          </cell>
          <cell r="AC17">
            <v>0.14732948100000001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42214</v>
          </cell>
          <cell r="Z18">
            <v>42243</v>
          </cell>
          <cell r="AA18">
            <v>154251.02064897175</v>
          </cell>
          <cell r="AB18">
            <v>22725.722815933295</v>
          </cell>
          <cell r="AC18">
            <v>0.14732948100000001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42214</v>
          </cell>
          <cell r="Z19">
            <v>42243</v>
          </cell>
          <cell r="AA19">
            <v>43987.320606151792</v>
          </cell>
          <cell r="AB19">
            <v>6480.6291154849496</v>
          </cell>
          <cell r="AC19">
            <v>0.14732948100000001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42214</v>
          </cell>
          <cell r="Z20">
            <v>42243</v>
          </cell>
          <cell r="AA20">
            <v>27996.548463116058</v>
          </cell>
          <cell r="AB20">
            <v>4073.6265015166719</v>
          </cell>
          <cell r="AC20">
            <v>0.14550459700000001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42214</v>
          </cell>
          <cell r="Z21">
            <v>42243</v>
          </cell>
          <cell r="AA21">
            <v>3005.8443053237361</v>
          </cell>
          <cell r="AB21">
            <v>475.43374451068541</v>
          </cell>
          <cell r="AC21">
            <v>0.15816978400000001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42214</v>
          </cell>
          <cell r="Z22">
            <v>42243</v>
          </cell>
          <cell r="AA22">
            <v>14996.529391412208</v>
          </cell>
          <cell r="AB22">
            <v>2371.9978145893206</v>
          </cell>
          <cell r="AC22">
            <v>0.15816978400000001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42214</v>
          </cell>
          <cell r="Z23">
            <v>42243</v>
          </cell>
          <cell r="AA23">
            <v>87221.700664035117</v>
          </cell>
          <cell r="AB23">
            <v>13795.837554143092</v>
          </cell>
          <cell r="AC23">
            <v>0.15816978400000001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42214</v>
          </cell>
          <cell r="Z24">
            <v>42243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42214</v>
          </cell>
          <cell r="Z25">
            <v>42243</v>
          </cell>
          <cell r="AA25">
            <v>145829.78827305057</v>
          </cell>
          <cell r="AB25">
            <v>21485.027020608428</v>
          </cell>
          <cell r="AC25">
            <v>0.14732948100000001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42214</v>
          </cell>
          <cell r="Z26">
            <v>42243</v>
          </cell>
          <cell r="AA26">
            <v>149668.83848984048</v>
          </cell>
          <cell r="AB26">
            <v>22050.632296581021</v>
          </cell>
          <cell r="AC26">
            <v>0.14732948100000001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42214</v>
          </cell>
          <cell r="Z27">
            <v>42243</v>
          </cell>
          <cell r="AA27">
            <v>3076.4796816227695</v>
          </cell>
          <cell r="AB27">
            <v>447.64193625320945</v>
          </cell>
          <cell r="AC27">
            <v>0.14550459700000001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42214</v>
          </cell>
          <cell r="Z28">
            <v>42243</v>
          </cell>
          <cell r="AA28">
            <v>45434.313597036024</v>
          </cell>
          <cell r="AB28">
            <v>6693.8138418425615</v>
          </cell>
          <cell r="AC28">
            <v>0.14732948100000001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42214</v>
          </cell>
          <cell r="Z29">
            <v>42243</v>
          </cell>
          <cell r="AA29">
            <v>311616.31085166032</v>
          </cell>
          <cell r="AB29">
            <v>45341.605729097566</v>
          </cell>
          <cell r="AC29">
            <v>0.14550459700000001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42214</v>
          </cell>
          <cell r="Z30">
            <v>42243</v>
          </cell>
          <cell r="AA30">
            <v>23741.409546411989</v>
          </cell>
          <cell r="AB30">
            <v>3454.4842282626296</v>
          </cell>
          <cell r="AC30">
            <v>0.14550459700000001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42214</v>
          </cell>
          <cell r="Z31">
            <v>42243</v>
          </cell>
          <cell r="AA31">
            <v>47847.758473851682</v>
          </cell>
          <cell r="AB31">
            <v>6962.0688140911243</v>
          </cell>
          <cell r="AC31">
            <v>0.14550459700000001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42214</v>
          </cell>
          <cell r="Z32">
            <v>42243</v>
          </cell>
          <cell r="AA32">
            <v>74002.795883539511</v>
          </cell>
          <cell r="AB32">
            <v>10902.793510070813</v>
          </cell>
          <cell r="AC32">
            <v>0.14732948100000001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42214</v>
          </cell>
          <cell r="Z33">
            <v>42243</v>
          </cell>
          <cell r="AA33">
            <v>102469.5959517431</v>
          </cell>
          <cell r="AB33">
            <v>15096.792389850014</v>
          </cell>
          <cell r="AC33">
            <v>0.14732948100000001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42214</v>
          </cell>
          <cell r="Z34">
            <v>42243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42214</v>
          </cell>
          <cell r="Z35">
            <v>42243</v>
          </cell>
          <cell r="AA35">
            <v>106709.49599927739</v>
          </cell>
          <cell r="AB35">
            <v>15526.722211447972</v>
          </cell>
          <cell r="AC35">
            <v>0.14550459700000001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42214</v>
          </cell>
          <cell r="Z36">
            <v>42243</v>
          </cell>
          <cell r="AA36">
            <v>123537.85352753854</v>
          </cell>
          <cell r="AB36">
            <v>19539.955608274409</v>
          </cell>
          <cell r="AC36">
            <v>0.15816978400000001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42214</v>
          </cell>
          <cell r="Z37">
            <v>42243</v>
          </cell>
          <cell r="AA37">
            <v>179677.29375560189</v>
          </cell>
          <cell r="AB37">
            <v>26143.87221795947</v>
          </cell>
          <cell r="AC37">
            <v>0.14550459700000001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42214</v>
          </cell>
          <cell r="Z38">
            <v>42243</v>
          </cell>
          <cell r="AA38">
            <v>48893.804978466593</v>
          </cell>
          <cell r="AB38">
            <v>7114.2733891883763</v>
          </cell>
          <cell r="AC38">
            <v>0.14550459700000001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42214</v>
          </cell>
          <cell r="Z39">
            <v>42243</v>
          </cell>
          <cell r="AA39">
            <v>18992.788474136069</v>
          </cell>
          <cell r="AB39">
            <v>2763.538032835414</v>
          </cell>
          <cell r="AC39">
            <v>0.14550459700000001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42214</v>
          </cell>
          <cell r="Z40">
            <v>42243</v>
          </cell>
          <cell r="AA40">
            <v>49240.497390442906</v>
          </cell>
          <cell r="AB40">
            <v>7164.7187288759478</v>
          </cell>
          <cell r="AC40">
            <v>0.14550459700000001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42214</v>
          </cell>
          <cell r="Z41">
            <v>42243</v>
          </cell>
          <cell r="AA41">
            <v>40175.313426475645</v>
          </cell>
          <cell r="AB41">
            <v>6354.5206467979524</v>
          </cell>
          <cell r="AC41">
            <v>0.15816978400000001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42214</v>
          </cell>
          <cell r="Z42">
            <v>42243</v>
          </cell>
          <cell r="AA42">
            <v>17134.199999999997</v>
          </cell>
          <cell r="AB42">
            <v>3048.8330999999998</v>
          </cell>
          <cell r="AC42">
            <v>0.17793845642049236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42214</v>
          </cell>
          <cell r="Z43">
            <v>42243</v>
          </cell>
          <cell r="AA43">
            <v>39629.532786441356</v>
          </cell>
          <cell r="AB43">
            <v>5838.5984976988893</v>
          </cell>
          <cell r="AC43">
            <v>0.14732948100000001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42214</v>
          </cell>
          <cell r="Z44">
            <v>42243</v>
          </cell>
          <cell r="AA44">
            <v>9360.4926592680149</v>
          </cell>
          <cell r="AB44">
            <v>1379.0765253942666</v>
          </cell>
          <cell r="AC44">
            <v>0.14732948100000001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42214</v>
          </cell>
          <cell r="Z45">
            <v>42243</v>
          </cell>
          <cell r="AA45">
            <v>6462.2789855598112</v>
          </cell>
          <cell r="AB45">
            <v>1022.1372712937346</v>
          </cell>
          <cell r="AC45">
            <v>0.15816978400000001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42214</v>
          </cell>
          <cell r="Z46">
            <v>42243</v>
          </cell>
          <cell r="AA46">
            <v>4150.9278502089692</v>
          </cell>
          <cell r="AB46">
            <v>656.55136146713699</v>
          </cell>
          <cell r="AC46">
            <v>0.15816978400000001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42214</v>
          </cell>
          <cell r="Z47">
            <v>42243</v>
          </cell>
          <cell r="AA47">
            <v>257459.9172005374</v>
          </cell>
          <cell r="AB47">
            <v>37461.601495917566</v>
          </cell>
          <cell r="AC47">
            <v>0.14550459700000001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42214</v>
          </cell>
          <cell r="Z48">
            <v>42243</v>
          </cell>
          <cell r="AA48">
            <v>51714.148767382925</v>
          </cell>
          <cell r="AB48">
            <v>7524.6463755961004</v>
          </cell>
          <cell r="AC48">
            <v>0.14550459700000001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42214</v>
          </cell>
          <cell r="Z49">
            <v>42243</v>
          </cell>
          <cell r="AA49">
            <v>45840.591878199302</v>
          </cell>
          <cell r="AB49">
            <v>6670.0168474788634</v>
          </cell>
          <cell r="AC49">
            <v>0.14550459700000001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42214</v>
          </cell>
          <cell r="Z50">
            <v>42243</v>
          </cell>
          <cell r="AA50">
            <v>7695.3600000000006</v>
          </cell>
          <cell r="AB50">
            <v>1369.3004800000001</v>
          </cell>
          <cell r="AC50">
            <v>0.17793845642049236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42214</v>
          </cell>
          <cell r="Z51">
            <v>42243</v>
          </cell>
          <cell r="AA51">
            <v>49659.702850433845</v>
          </cell>
          <cell r="AB51">
            <v>7225.7150503921284</v>
          </cell>
          <cell r="AC51">
            <v>0.14550459700000001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42214</v>
          </cell>
          <cell r="Z52">
            <v>42243</v>
          </cell>
          <cell r="AA52">
            <v>69446.064896808413</v>
          </cell>
          <cell r="AB52">
            <v>10104.721686045956</v>
          </cell>
          <cell r="AC52">
            <v>0.14550459700000001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>
            <v>0</v>
          </cell>
          <cell r="Y53">
            <v>42214</v>
          </cell>
          <cell r="Z53">
            <v>42243</v>
          </cell>
          <cell r="AA53">
            <v>0</v>
          </cell>
          <cell r="AB53">
            <v>0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42214</v>
          </cell>
          <cell r="Z55">
            <v>42243</v>
          </cell>
          <cell r="AA55">
            <v>396677.86104296945</v>
          </cell>
          <cell r="AB55">
            <v>58442.343391650815</v>
          </cell>
          <cell r="AC55">
            <v>0.14732948100000001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42214</v>
          </cell>
          <cell r="Z56">
            <v>42243</v>
          </cell>
          <cell r="AA56">
            <v>4959.5143939787549</v>
          </cell>
          <cell r="AB56">
            <v>730.68268167691951</v>
          </cell>
          <cell r="AC56">
            <v>0.14732948100000001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42214</v>
          </cell>
          <cell r="Z57">
            <v>42243</v>
          </cell>
          <cell r="AA57">
            <v>67347.866953695222</v>
          </cell>
          <cell r="AB57">
            <v>9799.4242399070426</v>
          </cell>
          <cell r="AC57">
            <v>0.14550459700000001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42214</v>
          </cell>
          <cell r="Z58">
            <v>42243</v>
          </cell>
          <cell r="AA58">
            <v>495566.37999962934</v>
          </cell>
          <cell r="AB58">
            <v>72107.186408594935</v>
          </cell>
          <cell r="AC58">
            <v>0.14550459700000001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42214</v>
          </cell>
          <cell r="Z59">
            <v>42243</v>
          </cell>
          <cell r="AA59">
            <v>15831.295768526707</v>
          </cell>
          <cell r="AB59">
            <v>2332.416589134536</v>
          </cell>
          <cell r="AC59">
            <v>0.14732948100000001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42214</v>
          </cell>
          <cell r="Z60">
            <v>42243</v>
          </cell>
          <cell r="AA60">
            <v>36413.691302715502</v>
          </cell>
          <cell r="AB60">
            <v>5364.8102409232897</v>
          </cell>
          <cell r="AC60">
            <v>0.14732948100000001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42214</v>
          </cell>
          <cell r="Z61">
            <v>42243</v>
          </cell>
          <cell r="AA61">
            <v>150249.98741726234</v>
          </cell>
          <cell r="AB61">
            <v>22136.252666441793</v>
          </cell>
          <cell r="AC61">
            <v>0.14732948100000001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42214</v>
          </cell>
          <cell r="Z62">
            <v>42243</v>
          </cell>
          <cell r="AA62">
            <v>23741.409546411989</v>
          </cell>
          <cell r="AB62">
            <v>3454.4842282626296</v>
          </cell>
          <cell r="AC62">
            <v>0.14550459700000001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42214</v>
          </cell>
          <cell r="Z63">
            <v>42243</v>
          </cell>
          <cell r="AA63">
            <v>18836.461344062656</v>
          </cell>
          <cell r="AB63">
            <v>2775.166073697314</v>
          </cell>
          <cell r="AC63">
            <v>0.14732948100000001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42214</v>
          </cell>
          <cell r="Z64">
            <v>42243</v>
          </cell>
          <cell r="AA64">
            <v>35948.319904803364</v>
          </cell>
          <cell r="AB64">
            <v>5296.2473143966499</v>
          </cell>
          <cell r="AC64">
            <v>0.14732948100000001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42214</v>
          </cell>
          <cell r="Z65">
            <v>42243</v>
          </cell>
          <cell r="AA65">
            <v>6889.6675177779234</v>
          </cell>
          <cell r="AB65">
            <v>1015.0511396567798</v>
          </cell>
          <cell r="AC65">
            <v>0.14732948100000001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42214</v>
          </cell>
          <cell r="Z66">
            <v>42243</v>
          </cell>
          <cell r="AA66">
            <v>42680</v>
          </cell>
          <cell r="AB66">
            <v>8489.14</v>
          </cell>
          <cell r="AC66">
            <v>0.19890206185567008</v>
          </cell>
          <cell r="AE66" t="str">
            <v>1-52-34746-03601-00-9002-0-02</v>
          </cell>
          <cell r="AF66">
            <v>42214</v>
          </cell>
          <cell r="AG66">
            <v>42243</v>
          </cell>
          <cell r="AH66">
            <v>22120</v>
          </cell>
          <cell r="AI66">
            <v>4258.8</v>
          </cell>
          <cell r="AK66">
            <v>4258.8</v>
          </cell>
          <cell r="AL66">
            <v>8489.14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42214</v>
          </cell>
          <cell r="Z67">
            <v>42243</v>
          </cell>
          <cell r="AA67">
            <v>5098.9086119835511</v>
          </cell>
          <cell r="AB67">
            <v>741.91464272649603</v>
          </cell>
          <cell r="AC67">
            <v>0.14550459700000001</v>
          </cell>
          <cell r="AE67" t="str">
            <v>1-52-34746-03601-00-9003-0-01</v>
          </cell>
          <cell r="AF67">
            <v>42214</v>
          </cell>
          <cell r="AG67">
            <v>42243</v>
          </cell>
          <cell r="AH67">
            <v>20560</v>
          </cell>
          <cell r="AI67">
            <v>4230.34</v>
          </cell>
          <cell r="AK67">
            <v>4230.34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42214</v>
          </cell>
          <cell r="Z68">
            <v>42243</v>
          </cell>
          <cell r="AA68">
            <v>17412.560254726886</v>
          </cell>
          <cell r="AB68">
            <v>2533.6075626022534</v>
          </cell>
          <cell r="AC68">
            <v>0.14550459700000004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42214</v>
          </cell>
          <cell r="Z69">
            <v>42243</v>
          </cell>
          <cell r="AA69">
            <v>36647.104110644141</v>
          </cell>
          <cell r="AB69">
            <v>5332.3221148363191</v>
          </cell>
          <cell r="AC69">
            <v>0.14550459699999999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42214</v>
          </cell>
          <cell r="Z70">
            <v>42243</v>
          </cell>
          <cell r="AA70">
            <v>42588.920522384731</v>
          </cell>
          <cell r="AB70">
            <v>6736.2803598187602</v>
          </cell>
          <cell r="AC70">
            <v>0.15816978400000001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42214</v>
          </cell>
          <cell r="Z71">
            <v>42243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42214</v>
          </cell>
          <cell r="Z72">
            <v>42243</v>
          </cell>
          <cell r="AA72">
            <v>61196.866457416341</v>
          </cell>
          <cell r="AB72">
            <v>9016.1025739974593</v>
          </cell>
          <cell r="AC72">
            <v>0.14732948100000001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42214</v>
          </cell>
          <cell r="Z73">
            <v>42243</v>
          </cell>
          <cell r="AA73">
            <v>42874.770908519276</v>
          </cell>
          <cell r="AB73">
            <v>6316.7177459460445</v>
          </cell>
          <cell r="AC73">
            <v>0.14732948100000001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42214</v>
          </cell>
          <cell r="Z74">
            <v>42243</v>
          </cell>
          <cell r="AA74">
            <v>34191.30544329837</v>
          </cell>
          <cell r="AB74">
            <v>5037.3872856736243</v>
          </cell>
          <cell r="AC74">
            <v>0.14732948100000001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42214</v>
          </cell>
          <cell r="Z75">
            <v>42243</v>
          </cell>
          <cell r="AA75">
            <v>9299.7396066737183</v>
          </cell>
          <cell r="AB75">
            <v>1370.1258096863833</v>
          </cell>
          <cell r="AC75">
            <v>0.14732948100000001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42214</v>
          </cell>
          <cell r="Z76">
            <v>42243</v>
          </cell>
          <cell r="AA76">
            <v>13354.307825515052</v>
          </cell>
          <cell r="AB76">
            <v>2112.2479842312255</v>
          </cell>
          <cell r="AC76">
            <v>0.15816978400000001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42214</v>
          </cell>
          <cell r="Z78">
            <v>42243</v>
          </cell>
          <cell r="AA78">
            <v>24113.384056248084</v>
          </cell>
          <cell r="AB78">
            <v>3552.6123581607053</v>
          </cell>
          <cell r="AC78">
            <v>0.14732948100000001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42214</v>
          </cell>
          <cell r="Z79">
            <v>42243</v>
          </cell>
          <cell r="AA79">
            <v>28497.628850475394</v>
          </cell>
          <cell r="AB79">
            <v>4198.5408682711668</v>
          </cell>
          <cell r="AC79">
            <v>0.14732948100000001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42214</v>
          </cell>
          <cell r="Z80">
            <v>42243</v>
          </cell>
          <cell r="AA80">
            <v>68869.313691313073</v>
          </cell>
          <cell r="AB80">
            <v>10146.480242967351</v>
          </cell>
          <cell r="AC80">
            <v>0.14732948100000001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42214</v>
          </cell>
          <cell r="Z81">
            <v>42243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42214</v>
          </cell>
          <cell r="Z82">
            <v>42243</v>
          </cell>
          <cell r="AA82">
            <v>15993.052655458914</v>
          </cell>
          <cell r="AB82">
            <v>2356.2481473344337</v>
          </cell>
          <cell r="AC82">
            <v>0.14732948100000001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42214</v>
          </cell>
          <cell r="Z83">
            <v>42243</v>
          </cell>
          <cell r="AA83">
            <v>251600.50468269113</v>
          </cell>
          <cell r="AB83">
            <v>39795.597479952245</v>
          </cell>
          <cell r="AC83">
            <v>0.15816978400000001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42214</v>
          </cell>
          <cell r="Z84">
            <v>42243</v>
          </cell>
          <cell r="AA84">
            <v>135170.83342871349</v>
          </cell>
          <cell r="AB84">
            <v>19667.977644199087</v>
          </cell>
          <cell r="AC84">
            <v>0.14550459700000001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42214</v>
          </cell>
          <cell r="Z85">
            <v>42243</v>
          </cell>
          <cell r="AA85">
            <v>2638.1248000000001</v>
          </cell>
          <cell r="AB85">
            <v>388.66265938054022</v>
          </cell>
          <cell r="AC85">
            <v>0.147325349953323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42214</v>
          </cell>
          <cell r="Z86">
            <v>42243</v>
          </cell>
          <cell r="AA86">
            <v>10658.8752</v>
          </cell>
          <cell r="AB86">
            <v>1570.3225189487955</v>
          </cell>
          <cell r="AC86">
            <v>0.14732534995332297</v>
          </cell>
          <cell r="AL86">
            <v>13297</v>
          </cell>
          <cell r="AM86">
            <v>1958.9851783293357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42214</v>
          </cell>
          <cell r="Z87">
            <v>42243</v>
          </cell>
          <cell r="AA87">
            <v>17160</v>
          </cell>
          <cell r="AB87">
            <v>3498.75</v>
          </cell>
          <cell r="AC87">
            <v>0.20388986013986013</v>
          </cell>
          <cell r="AE87" t="str">
            <v>1-63-86192-02715-00-9001-0-01</v>
          </cell>
          <cell r="AF87">
            <v>42214</v>
          </cell>
          <cell r="AG87">
            <v>42243</v>
          </cell>
          <cell r="AH87">
            <v>17160</v>
          </cell>
          <cell r="AI87">
            <v>3498.75</v>
          </cell>
          <cell r="AK87">
            <v>3498.75</v>
          </cell>
          <cell r="AM87">
            <v>1958.9851783293357</v>
          </cell>
          <cell r="AN87">
            <v>1958.9851783293357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42214</v>
          </cell>
          <cell r="Z88">
            <v>42243</v>
          </cell>
          <cell r="AA88">
            <v>25247.265160684798</v>
          </cell>
          <cell r="AB88">
            <v>3719.6664727930734</v>
          </cell>
          <cell r="AC88">
            <v>0.14732948100000001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42214</v>
          </cell>
          <cell r="Z89">
            <v>42243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42214</v>
          </cell>
          <cell r="Z90">
            <v>42243</v>
          </cell>
          <cell r="AA90">
            <v>23262.615191940622</v>
          </cell>
          <cell r="AB90">
            <v>3427.2690229313275</v>
          </cell>
          <cell r="AC90">
            <v>0.14732948100000001</v>
          </cell>
          <cell r="AL90">
            <v>23263</v>
          </cell>
          <cell r="AM90">
            <v>3427.2690229313275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42214</v>
          </cell>
          <cell r="Z91">
            <v>42243</v>
          </cell>
          <cell r="AA91">
            <v>0</v>
          </cell>
          <cell r="AB91">
            <v>0</v>
          </cell>
          <cell r="AC91">
            <v>0</v>
          </cell>
          <cell r="AM91">
            <v>3427.2690229313275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42214</v>
          </cell>
          <cell r="Z92">
            <v>42243</v>
          </cell>
          <cell r="AA92">
            <v>50919.726313533894</v>
          </cell>
          <cell r="AB92">
            <v>7501.9768504349922</v>
          </cell>
          <cell r="AC92">
            <v>0.14732948100000001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42214</v>
          </cell>
          <cell r="Z93">
            <v>42243</v>
          </cell>
          <cell r="AA93">
            <v>6955.3519599873916</v>
          </cell>
          <cell r="AB93">
            <v>1100.1265171551825</v>
          </cell>
          <cell r="AC93">
            <v>0.15816978400000001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42214</v>
          </cell>
          <cell r="Z94">
            <v>42243</v>
          </cell>
          <cell r="AA94">
            <v>62598.396656595512</v>
          </cell>
          <cell r="AB94">
            <v>9901.1748779200352</v>
          </cell>
          <cell r="AC94">
            <v>0.15816978400000001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42214</v>
          </cell>
          <cell r="Z95">
            <v>42243</v>
          </cell>
          <cell r="AA95">
            <v>40528.165408065666</v>
          </cell>
          <cell r="AB95">
            <v>5970.9935754524686</v>
          </cell>
          <cell r="AC95">
            <v>0.14732948100000001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42214</v>
          </cell>
          <cell r="Z96">
            <v>42243</v>
          </cell>
          <cell r="AA96">
            <v>9130.2091367879148</v>
          </cell>
          <cell r="AB96">
            <v>1444.1232070405711</v>
          </cell>
          <cell r="AC96">
            <v>0.15816978400000001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42214</v>
          </cell>
          <cell r="Z97">
            <v>42243</v>
          </cell>
          <cell r="AA97">
            <v>3730.7929287218835</v>
          </cell>
          <cell r="AB97">
            <v>542.84752158412743</v>
          </cell>
          <cell r="AC97">
            <v>0.14550459700000001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42214</v>
          </cell>
          <cell r="Z98">
            <v>42243</v>
          </cell>
          <cell r="AA98">
            <v>75450.693386373052</v>
          </cell>
          <cell r="AB98">
            <v>11116.111497704474</v>
          </cell>
          <cell r="AC98">
            <v>0.14732948100000001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42214</v>
          </cell>
          <cell r="Z99">
            <v>42243</v>
          </cell>
          <cell r="AA99">
            <v>23910.855377974665</v>
          </cell>
          <cell r="AB99">
            <v>3479.1393756974867</v>
          </cell>
          <cell r="AC99">
            <v>0.14550459700000001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42214</v>
          </cell>
          <cell r="Z100">
            <v>42243</v>
          </cell>
          <cell r="AA100">
            <v>187698.60217277546</v>
          </cell>
          <cell r="AB100">
            <v>29688.247362769827</v>
          </cell>
          <cell r="AC100">
            <v>0.15816978400000001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42214</v>
          </cell>
          <cell r="Z101">
            <v>42243</v>
          </cell>
          <cell r="AA101">
            <v>19082.473750448939</v>
          </cell>
          <cell r="AB101">
            <v>3018.2707512941788</v>
          </cell>
          <cell r="AC101">
            <v>0.15816978400000001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42214</v>
          </cell>
          <cell r="Z102">
            <v>42243</v>
          </cell>
          <cell r="AA102">
            <v>53367.500528195058</v>
          </cell>
          <cell r="AB102">
            <v>7765.2166572523101</v>
          </cell>
          <cell r="AC102">
            <v>0.14550459700000001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42214</v>
          </cell>
          <cell r="Z103">
            <v>42243</v>
          </cell>
          <cell r="AA103">
            <v>9027.6370637238051</v>
          </cell>
          <cell r="AB103">
            <v>1313.5626928193958</v>
          </cell>
          <cell r="AC103">
            <v>0.14550459700000001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42214</v>
          </cell>
          <cell r="Z104">
            <v>42243</v>
          </cell>
          <cell r="AA104">
            <v>138552.55980450445</v>
          </cell>
          <cell r="AB104">
            <v>20160.034377672819</v>
          </cell>
          <cell r="AC104">
            <v>0.14550459700000001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42214</v>
          </cell>
          <cell r="Z106">
            <v>42243</v>
          </cell>
          <cell r="AA106">
            <v>87985.79685967823</v>
          </cell>
          <cell r="AB106">
            <v>12962.901786707824</v>
          </cell>
          <cell r="AC106">
            <v>0.14732948100000001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42214</v>
          </cell>
          <cell r="Z107">
            <v>42243</v>
          </cell>
          <cell r="AA107">
            <v>3723.4988152675119</v>
          </cell>
          <cell r="AB107">
            <v>548.58114795747747</v>
          </cell>
          <cell r="AC107">
            <v>0.14732948100000001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42214</v>
          </cell>
          <cell r="Z108">
            <v>42243</v>
          </cell>
          <cell r="AA108">
            <v>12759.854477018474</v>
          </cell>
          <cell r="AB108">
            <v>1856.6174834572191</v>
          </cell>
          <cell r="AC108">
            <v>0.14550459700000001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42214</v>
          </cell>
          <cell r="Z109">
            <v>42243</v>
          </cell>
          <cell r="AA109">
            <v>75229.314086783168</v>
          </cell>
          <cell r="AB109">
            <v>11083.495800391755</v>
          </cell>
          <cell r="AC109">
            <v>0.14732948100000001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42214</v>
          </cell>
          <cell r="Z110">
            <v>42243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42214</v>
          </cell>
          <cell r="Z111">
            <v>42243</v>
          </cell>
          <cell r="AA111">
            <v>182281.52288504713</v>
          </cell>
          <cell r="AB111">
            <v>26522.799527935062</v>
          </cell>
          <cell r="AC111">
            <v>0.14550459700000001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42214</v>
          </cell>
          <cell r="Z112">
            <v>42243</v>
          </cell>
          <cell r="AA112">
            <v>28238.848046237483</v>
          </cell>
          <cell r="AB112">
            <v>4466.5324958822048</v>
          </cell>
          <cell r="AC112">
            <v>0.15816978400000001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42216</v>
          </cell>
          <cell r="Z113">
            <v>42247</v>
          </cell>
          <cell r="AA113">
            <v>54304.996800000001</v>
          </cell>
          <cell r="AB113">
            <v>10736.6929418</v>
          </cell>
          <cell r="AC113">
            <v>0.19771095800524935</v>
          </cell>
          <cell r="AE113" t="str">
            <v>1-44-38866-03717-00-9001-3-01</v>
          </cell>
          <cell r="AF113">
            <v>42216</v>
          </cell>
          <cell r="AG113">
            <v>42247</v>
          </cell>
          <cell r="AH113">
            <v>60960</v>
          </cell>
          <cell r="AI113">
            <v>12052.46</v>
          </cell>
          <cell r="AK113">
            <v>12052.46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42216</v>
          </cell>
          <cell r="Z114">
            <v>42247</v>
          </cell>
          <cell r="AA114">
            <v>6655.0032000000001</v>
          </cell>
          <cell r="AB114">
            <v>1315.7670581999998</v>
          </cell>
          <cell r="AC114">
            <v>0.19771095800524932</v>
          </cell>
          <cell r="AE114" t="str">
            <v>1-44-38866-03717-00-9001-3-02</v>
          </cell>
          <cell r="AF114">
            <v>42214</v>
          </cell>
          <cell r="AG114">
            <v>42243</v>
          </cell>
          <cell r="AK114">
            <v>0</v>
          </cell>
          <cell r="AL114">
            <v>60960</v>
          </cell>
          <cell r="AM114">
            <v>12052.46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42214</v>
          </cell>
          <cell r="Z115">
            <v>42243</v>
          </cell>
          <cell r="AA115">
            <v>63451.770168421222</v>
          </cell>
          <cell r="AB115">
            <v>10036.152781956829</v>
          </cell>
          <cell r="AC115">
            <v>0.15816978400000001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42215</v>
          </cell>
          <cell r="Z116">
            <v>42243</v>
          </cell>
          <cell r="AA116">
            <v>7160</v>
          </cell>
          <cell r="AB116">
            <v>1273.78</v>
          </cell>
          <cell r="AC116">
            <v>0.17790223463687149</v>
          </cell>
          <cell r="AE116" t="str">
            <v>1-63-00433-00909-00-9001-3-01</v>
          </cell>
          <cell r="AF116">
            <v>42215</v>
          </cell>
          <cell r="AG116">
            <v>42243</v>
          </cell>
          <cell r="AH116">
            <v>7160</v>
          </cell>
          <cell r="AI116">
            <v>1273.78</v>
          </cell>
          <cell r="AK116">
            <v>1273.78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42214</v>
          </cell>
          <cell r="Z118">
            <v>42243</v>
          </cell>
          <cell r="AA118">
            <v>47172.231919142367</v>
          </cell>
          <cell r="AB118">
            <v>7461.221733448654</v>
          </cell>
          <cell r="AC118">
            <v>0.15816978400000001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42214</v>
          </cell>
          <cell r="Z119">
            <v>42243</v>
          </cell>
          <cell r="AA119">
            <v>28008.113711943111</v>
          </cell>
          <cell r="AB119">
            <v>4430.0372960654804</v>
          </cell>
          <cell r="AC119">
            <v>0.15816978400000001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10480</v>
          </cell>
          <cell r="AB120">
            <v>2194.46</v>
          </cell>
          <cell r="AC120">
            <v>0.20939503816793895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42214</v>
          </cell>
          <cell r="Z121">
            <v>42243</v>
          </cell>
          <cell r="AA121">
            <v>63942.263503160473</v>
          </cell>
          <cell r="AB121">
            <v>9303.8932822951738</v>
          </cell>
          <cell r="AC121">
            <v>0.14550459700000001</v>
          </cell>
          <cell r="AE121" t="str">
            <v>1-44-43997-03440-00-9001-2-01</v>
          </cell>
          <cell r="AF121">
            <v>42216</v>
          </cell>
          <cell r="AG121">
            <v>42247</v>
          </cell>
          <cell r="AH121">
            <v>10480</v>
          </cell>
          <cell r="AI121">
            <v>2194.46</v>
          </cell>
          <cell r="AK121">
            <v>2194.46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42214</v>
          </cell>
          <cell r="Z123">
            <v>42243</v>
          </cell>
          <cell r="AA123">
            <v>46281.690541533637</v>
          </cell>
          <cell r="AB123">
            <v>6818.6574472867605</v>
          </cell>
          <cell r="AC123">
            <v>0.14732948100000001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42215</v>
          </cell>
          <cell r="Z124">
            <v>42243</v>
          </cell>
          <cell r="AA124">
            <v>558</v>
          </cell>
          <cell r="AB124">
            <v>91.7</v>
          </cell>
          <cell r="AC124">
            <v>0.16433691756272403</v>
          </cell>
          <cell r="AE124" t="str">
            <v>1-63-43981-02712-00-0000-0-01</v>
          </cell>
          <cell r="AF124">
            <v>42215</v>
          </cell>
          <cell r="AG124">
            <v>42243</v>
          </cell>
          <cell r="AH124">
            <v>558</v>
          </cell>
          <cell r="AI124">
            <v>91.7</v>
          </cell>
          <cell r="AK124">
            <v>91.7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42214</v>
          </cell>
          <cell r="Z125">
            <v>42243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42214</v>
          </cell>
          <cell r="AG125">
            <v>42243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42214</v>
          </cell>
          <cell r="Z126">
            <v>42243</v>
          </cell>
          <cell r="AA126">
            <v>25084.772676028355</v>
          </cell>
          <cell r="AB126">
            <v>3967.6530758565068</v>
          </cell>
          <cell r="AC126">
            <v>0.15816978400000001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42214</v>
          </cell>
          <cell r="Z127">
            <v>42243</v>
          </cell>
          <cell r="AA127">
            <v>42378.043096364934</v>
          </cell>
          <cell r="AB127">
            <v>6243.5350951830787</v>
          </cell>
          <cell r="AC127">
            <v>0.14732948100000001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42214</v>
          </cell>
          <cell r="Z128">
            <v>42243</v>
          </cell>
          <cell r="AA128">
            <v>28143.738550313836</v>
          </cell>
          <cell r="AB128">
            <v>4146.4023940174302</v>
          </cell>
          <cell r="AC128">
            <v>0.14732948100000001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42214</v>
          </cell>
          <cell r="Z129">
            <v>42243</v>
          </cell>
          <cell r="AA129">
            <v>682511.77762764634</v>
          </cell>
          <cell r="AB129">
            <v>100554.10597426856</v>
          </cell>
          <cell r="AC129">
            <v>0.14732948100000001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42214</v>
          </cell>
          <cell r="Z130">
            <v>42243</v>
          </cell>
          <cell r="AA130">
            <v>2656.3254670912852</v>
          </cell>
          <cell r="AB130">
            <v>391.35505243364167</v>
          </cell>
          <cell r="AC130">
            <v>0.14732948100000001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42214</v>
          </cell>
          <cell r="Z131">
            <v>42243</v>
          </cell>
          <cell r="AA131">
            <v>1519.2031948362662</v>
          </cell>
          <cell r="AB131">
            <v>223.82341822876899</v>
          </cell>
          <cell r="AC131">
            <v>0.14732948100000001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42214</v>
          </cell>
          <cell r="Z132">
            <v>42243</v>
          </cell>
          <cell r="AA132">
            <v>20831.458894607626</v>
          </cell>
          <cell r="AB132">
            <v>3031.0730313819481</v>
          </cell>
          <cell r="AC132">
            <v>0.14550459700000001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42214</v>
          </cell>
          <cell r="Z133">
            <v>42243</v>
          </cell>
          <cell r="AA133">
            <v>11915.745618745474</v>
          </cell>
          <cell r="AB133">
            <v>1733.795764210076</v>
          </cell>
          <cell r="AC133">
            <v>0.14550459700000001</v>
          </cell>
          <cell r="AE133" t="str">
            <v>1-63-34103-03131-00-9002-0-01</v>
          </cell>
          <cell r="AF133">
            <v>42184</v>
          </cell>
          <cell r="AG133">
            <v>42243</v>
          </cell>
          <cell r="AH133">
            <v>58720</v>
          </cell>
          <cell r="AI133">
            <v>11529.08</v>
          </cell>
          <cell r="AK133">
            <v>11529.08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42214</v>
          </cell>
          <cell r="Z134">
            <v>42243</v>
          </cell>
          <cell r="AA134">
            <v>2235.5589554888566</v>
          </cell>
          <cell r="AB134">
            <v>325.28410488814706</v>
          </cell>
          <cell r="AC134">
            <v>0.14550459700000001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42184</v>
          </cell>
          <cell r="Z136">
            <v>42243</v>
          </cell>
          <cell r="AA136">
            <v>98080</v>
          </cell>
          <cell r="AB136">
            <v>18286.57</v>
          </cell>
          <cell r="AC136">
            <v>0.18644545269168025</v>
          </cell>
          <cell r="AE136" t="str">
            <v>1-63-34103-03131-00-9001-0-01</v>
          </cell>
          <cell r="AF136">
            <v>42184</v>
          </cell>
          <cell r="AG136">
            <v>42243</v>
          </cell>
          <cell r="AH136">
            <v>39360</v>
          </cell>
          <cell r="AI136">
            <v>6757.4900000000007</v>
          </cell>
          <cell r="AK136">
            <v>6757.4900000000007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42068</v>
          </cell>
          <cell r="Z137">
            <v>42255</v>
          </cell>
          <cell r="AA137">
            <v>146753.34</v>
          </cell>
          <cell r="AB137">
            <v>21320.08138</v>
          </cell>
          <cell r="AC137">
            <v>0.14527833833287884</v>
          </cell>
          <cell r="AE137" t="str">
            <v>1-44-38866-03447-00-9001-4-01</v>
          </cell>
          <cell r="AF137">
            <v>42216</v>
          </cell>
          <cell r="AG137">
            <v>42247</v>
          </cell>
          <cell r="AH137">
            <v>56880</v>
          </cell>
          <cell r="AI137">
            <v>8629.93</v>
          </cell>
          <cell r="AK137">
            <v>8629.93</v>
          </cell>
          <cell r="AL137">
            <v>440040</v>
          </cell>
          <cell r="AM137">
            <v>63928.28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42068</v>
          </cell>
          <cell r="Z138">
            <v>42255</v>
          </cell>
          <cell r="AA138">
            <v>293286.65999999997</v>
          </cell>
          <cell r="AB138">
            <v>42608.198619999996</v>
          </cell>
          <cell r="AC138">
            <v>0.14527833833287881</v>
          </cell>
          <cell r="AL138">
            <v>440040</v>
          </cell>
          <cell r="AM138">
            <v>63928.28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42068</v>
          </cell>
          <cell r="Z139">
            <v>42255</v>
          </cell>
          <cell r="AA139">
            <v>56880</v>
          </cell>
          <cell r="AB139">
            <v>8629.93</v>
          </cell>
          <cell r="AC139">
            <v>0.1517216947960619</v>
          </cell>
          <cell r="AE139" t="str">
            <v>1-44-38866-03447-00-9004-0-01</v>
          </cell>
          <cell r="AF139">
            <v>42068</v>
          </cell>
          <cell r="AG139">
            <v>42255</v>
          </cell>
          <cell r="AH139">
            <v>122400</v>
          </cell>
          <cell r="AI139">
            <v>18443.79</v>
          </cell>
          <cell r="AK139">
            <v>18443.79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42214</v>
          </cell>
          <cell r="Z140">
            <v>42243</v>
          </cell>
          <cell r="AA140">
            <v>17837.481666272466</v>
          </cell>
          <cell r="AB140">
            <v>2821.3506222582764</v>
          </cell>
          <cell r="AC140">
            <v>0.15816978400000001</v>
          </cell>
          <cell r="AE140" t="str">
            <v>1-44-38866-03447-00-9004-0-01</v>
          </cell>
          <cell r="AF140">
            <v>42068</v>
          </cell>
          <cell r="AG140">
            <v>42255</v>
          </cell>
          <cell r="AH140">
            <v>317640</v>
          </cell>
          <cell r="AI140">
            <v>45484.49</v>
          </cell>
          <cell r="AK140">
            <v>45484.49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42214</v>
          </cell>
          <cell r="Z141">
            <v>42243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42214</v>
          </cell>
          <cell r="Z142">
            <v>42243</v>
          </cell>
          <cell r="AA142">
            <v>17342.290287286851</v>
          </cell>
          <cell r="AB142">
            <v>2743.0263088054594</v>
          </cell>
          <cell r="AC142">
            <v>0.15816978400000001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42214</v>
          </cell>
          <cell r="Z143">
            <v>42243</v>
          </cell>
          <cell r="AA143">
            <v>50250.131500000003</v>
          </cell>
          <cell r="AB143">
            <v>7311.6606706491939</v>
          </cell>
          <cell r="AC143">
            <v>0.14550530421296895</v>
          </cell>
          <cell r="AL143">
            <v>85795</v>
          </cell>
          <cell r="AM143">
            <v>12483.627574951672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42214</v>
          </cell>
          <cell r="Z144">
            <v>42243</v>
          </cell>
          <cell r="AA144">
            <v>35544.868499999997</v>
          </cell>
          <cell r="AB144">
            <v>5171.9669043024778</v>
          </cell>
          <cell r="AC144">
            <v>0.14550530421296898</v>
          </cell>
          <cell r="AM144">
            <v>12483.627574951672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42214</v>
          </cell>
          <cell r="Z145">
            <v>42243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42214</v>
          </cell>
          <cell r="Z146">
            <v>42243</v>
          </cell>
          <cell r="AA146">
            <v>28894</v>
          </cell>
          <cell r="AB146">
            <v>4820.557374451093</v>
          </cell>
          <cell r="AC146">
            <v>0.16683593045099651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42214</v>
          </cell>
          <cell r="AG147">
            <v>42243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42214</v>
          </cell>
          <cell r="AG148">
            <v>42243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42214</v>
          </cell>
          <cell r="Z149">
            <v>42243</v>
          </cell>
          <cell r="AA149">
            <v>146207.19588389376</v>
          </cell>
          <cell r="AB149">
            <v>21540.630288039407</v>
          </cell>
          <cell r="AC149">
            <v>0.14732948100000001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42214</v>
          </cell>
          <cell r="Z151">
            <v>42243</v>
          </cell>
          <cell r="AA151">
            <v>120338.45563804773</v>
          </cell>
          <cell r="AB151">
            <v>17729.402213495097</v>
          </cell>
          <cell r="AC151">
            <v>0.14732948100000001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42214</v>
          </cell>
          <cell r="Z152">
            <v>42243</v>
          </cell>
          <cell r="AA152">
            <v>92129.489401233572</v>
          </cell>
          <cell r="AB152">
            <v>13405.264227142263</v>
          </cell>
          <cell r="AC152">
            <v>0.14550459700000001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42214</v>
          </cell>
          <cell r="Z153">
            <v>42243</v>
          </cell>
          <cell r="AA153">
            <v>6052.2584999999999</v>
          </cell>
          <cell r="AB153">
            <v>891.67771703036703</v>
          </cell>
          <cell r="AC153">
            <v>0.14732974756950104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42214</v>
          </cell>
          <cell r="Z154">
            <v>42243</v>
          </cell>
          <cell r="AA154">
            <v>61570.741499999996</v>
          </cell>
          <cell r="AB154">
            <v>9071.2018028620023</v>
          </cell>
          <cell r="AC154">
            <v>0.14732974756950107</v>
          </cell>
          <cell r="AL154">
            <v>67623</v>
          </cell>
          <cell r="AM154">
            <v>9962.879519892369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42214</v>
          </cell>
          <cell r="Z155">
            <v>42243</v>
          </cell>
          <cell r="AA155">
            <v>2831.8007852544615</v>
          </cell>
          <cell r="AB155">
            <v>417.20773998693232</v>
          </cell>
          <cell r="AC155">
            <v>0.14732948100000001</v>
          </cell>
          <cell r="AM155">
            <v>9962.879519892369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42214</v>
          </cell>
          <cell r="Z156">
            <v>42243</v>
          </cell>
          <cell r="AA156">
            <v>1922.6909002174882</v>
          </cell>
          <cell r="AB156">
            <v>283.26905245246536</v>
          </cell>
          <cell r="AC156">
            <v>0.14732948100000001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42214</v>
          </cell>
          <cell r="Z157">
            <v>42243</v>
          </cell>
          <cell r="AA157">
            <v>76865.123947082655</v>
          </cell>
          <cell r="AB157">
            <v>11324.498818124361</v>
          </cell>
          <cell r="AC157">
            <v>0.14732948100000001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42214</v>
          </cell>
          <cell r="Z158">
            <v>42243</v>
          </cell>
          <cell r="AA158">
            <v>171817.95377635738</v>
          </cell>
          <cell r="AB158">
            <v>27176.408636128432</v>
          </cell>
          <cell r="AC158">
            <v>0.15816978400000001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42216</v>
          </cell>
          <cell r="Z159">
            <v>42247</v>
          </cell>
          <cell r="AA159">
            <v>13440</v>
          </cell>
          <cell r="AB159">
            <v>2412.15</v>
          </cell>
          <cell r="AC159">
            <v>0.17947544642857144</v>
          </cell>
          <cell r="AE159" t="str">
            <v>1-44-43997-03500-00-9001-1-01</v>
          </cell>
          <cell r="AF159">
            <v>42216</v>
          </cell>
          <cell r="AG159">
            <v>42247</v>
          </cell>
          <cell r="AH159">
            <v>13440</v>
          </cell>
          <cell r="AI159">
            <v>2412.15</v>
          </cell>
          <cell r="AK159">
            <v>2412.15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42214</v>
          </cell>
          <cell r="Z160">
            <v>42243</v>
          </cell>
          <cell r="AA160">
            <v>14378.272697980507</v>
          </cell>
          <cell r="AB160">
            <v>2118.3434542699379</v>
          </cell>
          <cell r="AC160">
            <v>0.14732948100000001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42214</v>
          </cell>
          <cell r="Z161">
            <v>42243</v>
          </cell>
          <cell r="AA161">
            <v>35290.439999999995</v>
          </cell>
          <cell r="AB161">
            <v>6279.5264199999992</v>
          </cell>
          <cell r="AC161">
            <v>0.17793845642049236</v>
          </cell>
          <cell r="AE161" t="str">
            <v>1-63-00433-00746-00-0000-4-01</v>
          </cell>
          <cell r="AF161">
            <v>42214</v>
          </cell>
          <cell r="AG161">
            <v>42243</v>
          </cell>
          <cell r="AH161">
            <v>60120</v>
          </cell>
          <cell r="AI161">
            <v>10697.66</v>
          </cell>
          <cell r="AK161">
            <v>10697.66</v>
          </cell>
          <cell r="AL161">
            <v>60120</v>
          </cell>
          <cell r="AM161">
            <v>10697.66</v>
          </cell>
          <cell r="AN161" t="str">
            <v>#42</v>
          </cell>
          <cell r="AO161">
            <v>0.28499999999999998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42214</v>
          </cell>
          <cell r="Z162">
            <v>42243</v>
          </cell>
          <cell r="AA162">
            <v>36176.55842000874</v>
          </cell>
          <cell r="AB162">
            <v>5329.8735763860677</v>
          </cell>
          <cell r="AC162">
            <v>0.14732948100000001</v>
          </cell>
          <cell r="AL162">
            <v>60119.999999999993</v>
          </cell>
          <cell r="AM162">
            <v>10697.659999999998</v>
          </cell>
          <cell r="AN162" t="str">
            <v>#52</v>
          </cell>
          <cell r="AO162">
            <v>0.128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42214</v>
          </cell>
          <cell r="Z163">
            <v>42243</v>
          </cell>
          <cell r="AC163">
            <v>0</v>
          </cell>
          <cell r="AN163" t="str">
            <v>#261</v>
          </cell>
          <cell r="AO163">
            <v>0.58699999999999997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42214</v>
          </cell>
          <cell r="Z164">
            <v>42243</v>
          </cell>
          <cell r="AA164">
            <v>18081.040936269557</v>
          </cell>
          <cell r="AB164">
            <v>2859.874339384914</v>
          </cell>
          <cell r="AC164">
            <v>0.15816978400000004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42214</v>
          </cell>
          <cell r="Z165">
            <v>42243</v>
          </cell>
          <cell r="AA165">
            <v>6819.3160348550264</v>
          </cell>
          <cell r="AB165">
            <v>1078.6097442607561</v>
          </cell>
          <cell r="AC165">
            <v>0.15816978400000001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42214</v>
          </cell>
          <cell r="Z166">
            <v>42243</v>
          </cell>
          <cell r="AA166">
            <v>6040</v>
          </cell>
          <cell r="AB166">
            <v>1126.67</v>
          </cell>
          <cell r="AC166">
            <v>0.18653476821192055</v>
          </cell>
          <cell r="AE166" t="str">
            <v>1-63-96497-01102-00-0000-1-01</v>
          </cell>
          <cell r="AF166">
            <v>42214</v>
          </cell>
          <cell r="AG166">
            <v>42243</v>
          </cell>
          <cell r="AH166">
            <v>6040</v>
          </cell>
          <cell r="AI166">
            <v>1126.67</v>
          </cell>
          <cell r="AK166">
            <v>1126.67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42214</v>
          </cell>
          <cell r="Z167">
            <v>42243</v>
          </cell>
          <cell r="AA167">
            <v>4120</v>
          </cell>
          <cell r="AB167">
            <v>905.65</v>
          </cell>
          <cell r="AC167">
            <v>0.21981796116504854</v>
          </cell>
          <cell r="AE167" t="str">
            <v>1-63-43981-02653-00-0000-0-01</v>
          </cell>
          <cell r="AF167">
            <v>42214</v>
          </cell>
          <cell r="AG167">
            <v>42243</v>
          </cell>
          <cell r="AH167">
            <v>4120</v>
          </cell>
          <cell r="AI167">
            <v>905.65</v>
          </cell>
          <cell r="AK167">
            <v>905.65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42214</v>
          </cell>
          <cell r="Z168">
            <v>42243</v>
          </cell>
          <cell r="AA168">
            <v>88040</v>
          </cell>
          <cell r="AB168">
            <v>15972.61</v>
          </cell>
          <cell r="AC168">
            <v>0.1814244661517492</v>
          </cell>
          <cell r="AE168" t="str">
            <v>1-63-34103-03500-00-9001-6-01</v>
          </cell>
          <cell r="AF168">
            <v>42214</v>
          </cell>
          <cell r="AG168">
            <v>42243</v>
          </cell>
          <cell r="AH168">
            <v>57920</v>
          </cell>
          <cell r="AI168">
            <v>10786.9</v>
          </cell>
          <cell r="AK168">
            <v>10786.9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42214</v>
          </cell>
          <cell r="Z169">
            <v>42243</v>
          </cell>
          <cell r="AA169">
            <v>12447.229895434215</v>
          </cell>
          <cell r="AB169">
            <v>1968.7756639591723</v>
          </cell>
          <cell r="AC169">
            <v>0.15816978400000001</v>
          </cell>
          <cell r="AE169" t="str">
            <v>1-63-34103-03500-00-0000-4-01</v>
          </cell>
          <cell r="AF169">
            <v>42214</v>
          </cell>
          <cell r="AG169">
            <v>42243</v>
          </cell>
          <cell r="AH169">
            <v>30120</v>
          </cell>
          <cell r="AI169">
            <v>5185.71</v>
          </cell>
          <cell r="AK169">
            <v>5185.71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42214</v>
          </cell>
          <cell r="Z170">
            <v>42243</v>
          </cell>
          <cell r="AA170">
            <v>90303.571509318368</v>
          </cell>
          <cell r="AB170">
            <v>13139.584780124052</v>
          </cell>
          <cell r="AC170">
            <v>0.14550459700000001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42214</v>
          </cell>
          <cell r="Z171">
            <v>42243</v>
          </cell>
          <cell r="AA171">
            <v>48507.769659241938</v>
          </cell>
          <cell r="AB171">
            <v>7058.1034756368263</v>
          </cell>
          <cell r="AC171">
            <v>0.14550459700000001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42216</v>
          </cell>
          <cell r="Z172">
            <v>42247</v>
          </cell>
          <cell r="AA172">
            <v>1646946.26</v>
          </cell>
          <cell r="AB172">
            <v>230002.41171640102</v>
          </cell>
          <cell r="AC172">
            <v>0.13965386564367985</v>
          </cell>
          <cell r="AE172" t="str">
            <v>1-44-38866-03430-00-0000-1-01</v>
          </cell>
          <cell r="AF172">
            <v>42216</v>
          </cell>
          <cell r="AG172">
            <v>42247</v>
          </cell>
          <cell r="AH172">
            <v>206400</v>
          </cell>
          <cell r="AI172">
            <v>33026.660000000003</v>
          </cell>
          <cell r="AK172">
            <v>33026.660000000003</v>
          </cell>
        </row>
        <row r="173">
          <cell r="R173" t="str">
            <v>2811</v>
          </cell>
          <cell r="S173" t="str">
            <v>CAL URBAN MARKET</v>
          </cell>
          <cell r="Y173">
            <v>42216</v>
          </cell>
          <cell r="Z173">
            <v>42247</v>
          </cell>
          <cell r="AA173">
            <v>18132</v>
          </cell>
          <cell r="AB173">
            <v>2532.203891851203</v>
          </cell>
          <cell r="AC173">
            <v>0.13965386564367985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42214</v>
          </cell>
          <cell r="Z174">
            <v>42243</v>
          </cell>
          <cell r="AA174">
            <v>18132</v>
          </cell>
          <cell r="AB174">
            <v>1448.4066386815912</v>
          </cell>
          <cell r="AC174">
            <v>7.9881239724332184E-2</v>
          </cell>
          <cell r="AE174" t="str">
            <v>1-44-38866-03434-00-9003-0-01</v>
          </cell>
          <cell r="AF174">
            <v>42216</v>
          </cell>
          <cell r="AG174">
            <v>42247</v>
          </cell>
          <cell r="AH174">
            <v>1008073.26</v>
          </cell>
          <cell r="AI174">
            <v>132692.84</v>
          </cell>
          <cell r="AK174">
            <v>132692.84</v>
          </cell>
          <cell r="AL174">
            <v>0.13965386564367985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42214</v>
          </cell>
          <cell r="Z175">
            <v>42243</v>
          </cell>
          <cell r="AA175">
            <v>686133.93</v>
          </cell>
          <cell r="AB175">
            <v>114471.79262554891</v>
          </cell>
          <cell r="AC175">
            <v>0.16683593045099651</v>
          </cell>
          <cell r="AE175" t="str">
            <v>1-63-34103-03400-00-9001-0-01</v>
          </cell>
          <cell r="AF175">
            <v>42214</v>
          </cell>
          <cell r="AG175">
            <v>42243</v>
          </cell>
          <cell r="AH175">
            <v>715027.93</v>
          </cell>
          <cell r="AI175">
            <v>119292.35</v>
          </cell>
          <cell r="AK175">
            <v>119292.35</v>
          </cell>
          <cell r="AL175">
            <v>715027.93</v>
          </cell>
          <cell r="AM175">
            <v>0.16683593045099651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42214</v>
          </cell>
          <cell r="Z176">
            <v>42243</v>
          </cell>
          <cell r="AA176">
            <v>261462.59587088824</v>
          </cell>
          <cell r="AB176">
            <v>38521.14855057071</v>
          </cell>
          <cell r="AC176">
            <v>0.14732948100000001</v>
          </cell>
          <cell r="AE176" t="str">
            <v>1-44-38866-03434-00-9003-3-01</v>
          </cell>
          <cell r="AF176">
            <v>42216</v>
          </cell>
          <cell r="AG176">
            <v>42247</v>
          </cell>
          <cell r="AH176">
            <v>508200</v>
          </cell>
          <cell r="AI176">
            <v>74858.48</v>
          </cell>
          <cell r="AK176">
            <v>74858.48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42214</v>
          </cell>
          <cell r="Z177">
            <v>42243</v>
          </cell>
          <cell r="AA177">
            <v>415212.21723462845</v>
          </cell>
          <cell r="AB177">
            <v>65674.026714162261</v>
          </cell>
          <cell r="AC177">
            <v>0.15816978400000001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42214</v>
          </cell>
          <cell r="Z178">
            <v>42243</v>
          </cell>
          <cell r="AA178">
            <v>10633.417560336005</v>
          </cell>
          <cell r="AB178">
            <v>1681.8853587001529</v>
          </cell>
          <cell r="AC178">
            <v>0.15816978400000001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42214</v>
          </cell>
          <cell r="Z179">
            <v>42243</v>
          </cell>
          <cell r="AA179">
            <v>10679.621681372124</v>
          </cell>
          <cell r="AB179">
            <v>1689.1934545443457</v>
          </cell>
          <cell r="AC179">
            <v>0.15816978400000001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42214</v>
          </cell>
          <cell r="Z180">
            <v>42243</v>
          </cell>
          <cell r="AA180">
            <v>100588.48990018941</v>
          </cell>
          <cell r="AB180">
            <v>15910.05972039914</v>
          </cell>
          <cell r="AC180">
            <v>0.15816978400000001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42214</v>
          </cell>
          <cell r="Z181">
            <v>42243</v>
          </cell>
          <cell r="AA181">
            <v>3105.1050382758722</v>
          </cell>
          <cell r="AB181">
            <v>451.80705723700038</v>
          </cell>
          <cell r="AC181">
            <v>0.14550459700000001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42214</v>
          </cell>
          <cell r="Z182">
            <v>42243</v>
          </cell>
          <cell r="AA182">
            <v>257110.78281500773</v>
          </cell>
          <cell r="AB182">
            <v>37410.800837852228</v>
          </cell>
          <cell r="AC182">
            <v>0.14550459700000001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42214</v>
          </cell>
          <cell r="Z183">
            <v>42243</v>
          </cell>
          <cell r="AA183">
            <v>224996.74437909675</v>
          </cell>
          <cell r="AB183">
            <v>33148.653576061995</v>
          </cell>
          <cell r="AC183">
            <v>0.14732948100000001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42214</v>
          </cell>
          <cell r="Z184">
            <v>42243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42214</v>
          </cell>
          <cell r="Z185">
            <v>42243</v>
          </cell>
          <cell r="AA185">
            <v>27864.863760477965</v>
          </cell>
          <cell r="AB185">
            <v>4407.3794821842275</v>
          </cell>
          <cell r="AC185">
            <v>0.15816978400000001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42214</v>
          </cell>
          <cell r="Z186">
            <v>42243</v>
          </cell>
          <cell r="AA186">
            <v>5439.8911425090319</v>
          </cell>
          <cell r="AB186">
            <v>860.42640699416677</v>
          </cell>
          <cell r="AC186">
            <v>0.15816978400000001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42214</v>
          </cell>
          <cell r="Z187">
            <v>42243</v>
          </cell>
          <cell r="AA187">
            <v>7270.9369849577633</v>
          </cell>
          <cell r="AB187">
            <v>1150.0425323883808</v>
          </cell>
          <cell r="AC187">
            <v>0.15816978400000001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42214</v>
          </cell>
          <cell r="Z188">
            <v>42243</v>
          </cell>
          <cell r="AA188">
            <v>3332.5366406794924</v>
          </cell>
          <cell r="AB188">
            <v>527.10660062836098</v>
          </cell>
          <cell r="AC188">
            <v>0.15816978400000001</v>
          </cell>
        </row>
        <row r="189">
          <cell r="R189">
            <v>3160</v>
          </cell>
          <cell r="S189" t="str">
            <v>Campus Develpmt &amp; Facilities</v>
          </cell>
          <cell r="Y189">
            <v>42216</v>
          </cell>
          <cell r="Z189">
            <v>42247</v>
          </cell>
          <cell r="AA189">
            <v>57595</v>
          </cell>
          <cell r="AB189">
            <v>8043.3643917477411</v>
          </cell>
          <cell r="AC189">
            <v>0.13965386564367985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42214</v>
          </cell>
          <cell r="Z190">
            <v>42243</v>
          </cell>
          <cell r="AA190">
            <v>151096.52194811418</v>
          </cell>
          <cell r="AB190">
            <v>23898.904239684482</v>
          </cell>
          <cell r="AC190">
            <v>0.15816978400000001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42214</v>
          </cell>
          <cell r="Z191">
            <v>42243</v>
          </cell>
          <cell r="AA191">
            <v>121961.18098968858</v>
          </cell>
          <cell r="AB191">
            <v>17745.9124895487</v>
          </cell>
          <cell r="AC191">
            <v>0.14550459700000001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42214</v>
          </cell>
          <cell r="Z192">
            <v>42243</v>
          </cell>
          <cell r="AA192">
            <v>95916.17639128759</v>
          </cell>
          <cell r="AB192">
            <v>13956.244591595216</v>
          </cell>
          <cell r="AC192">
            <v>0.14550459700000001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42214</v>
          </cell>
          <cell r="Z193">
            <v>42243</v>
          </cell>
          <cell r="AA193">
            <v>68198.026953616034</v>
          </cell>
          <cell r="AB193">
            <v>10786.867192479627</v>
          </cell>
          <cell r="AC193">
            <v>0.15816978400000001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42214</v>
          </cell>
          <cell r="Z194">
            <v>42243</v>
          </cell>
          <cell r="AA194">
            <v>87519.992988899641</v>
          </cell>
          <cell r="AB194">
            <v>12734.561309292669</v>
          </cell>
          <cell r="AC194">
            <v>0.14550459700000001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42214</v>
          </cell>
          <cell r="Z195">
            <v>42243</v>
          </cell>
          <cell r="AA195">
            <v>4163.1579128613985</v>
          </cell>
          <cell r="AB195">
            <v>605.75861435825891</v>
          </cell>
          <cell r="AC195">
            <v>0.14550459700000001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42214</v>
          </cell>
          <cell r="Z196">
            <v>42243</v>
          </cell>
          <cell r="AA196">
            <v>13813.023404497311</v>
          </cell>
          <cell r="AB196">
            <v>2009.8584038229494</v>
          </cell>
          <cell r="AC196">
            <v>0.14550459700000001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42214</v>
          </cell>
          <cell r="Z197">
            <v>42243</v>
          </cell>
          <cell r="AA197">
            <v>89142.893770813491</v>
          </cell>
          <cell r="AB197">
            <v>13133.376274092087</v>
          </cell>
          <cell r="AC197">
            <v>0.14732948100000001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42214</v>
          </cell>
          <cell r="Z198">
            <v>42243</v>
          </cell>
          <cell r="AA198">
            <v>35957.214272304773</v>
          </cell>
          <cell r="AB198">
            <v>5297.557716944455</v>
          </cell>
          <cell r="AC198">
            <v>0.14732948100000001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42214</v>
          </cell>
          <cell r="Z199">
            <v>42243</v>
          </cell>
          <cell r="AA199">
            <v>48821.409343161678</v>
          </cell>
          <cell r="AB199">
            <v>7192.8329002165619</v>
          </cell>
          <cell r="AC199">
            <v>0.14732948100000001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42214</v>
          </cell>
          <cell r="Z200">
            <v>42243</v>
          </cell>
          <cell r="AA200">
            <v>89336.308575971023</v>
          </cell>
          <cell r="AB200">
            <v>13161.87197695366</v>
          </cell>
          <cell r="AC200">
            <v>0.14732948100000001</v>
          </cell>
        </row>
        <row r="201">
          <cell r="R201" t="str">
            <v>5010</v>
          </cell>
          <cell r="S201" t="str">
            <v>Brian Kennedy Field</v>
          </cell>
          <cell r="Y201">
            <v>42214</v>
          </cell>
          <cell r="Z201">
            <v>42243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42214</v>
          </cell>
          <cell r="Z202">
            <v>42243</v>
          </cell>
          <cell r="AA202">
            <v>702.74572257379475</v>
          </cell>
          <cell r="AB202">
            <v>102.25273315657383</v>
          </cell>
          <cell r="AC202">
            <v>0.14550459700000001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42214</v>
          </cell>
          <cell r="Z203">
            <v>42243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42214</v>
          </cell>
          <cell r="Z205">
            <v>42243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42214</v>
          </cell>
          <cell r="AG205">
            <v>42243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42214</v>
          </cell>
          <cell r="Z206">
            <v>42243</v>
          </cell>
          <cell r="AC206">
            <v>0</v>
          </cell>
          <cell r="AE206" t="str">
            <v>1-63-43981-03000-00-0000-3-01</v>
          </cell>
          <cell r="AF206">
            <v>42214</v>
          </cell>
          <cell r="AG206">
            <v>42243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42214</v>
          </cell>
          <cell r="AG209">
            <v>42243</v>
          </cell>
          <cell r="AK209">
            <v>0</v>
          </cell>
        </row>
        <row r="212">
          <cell r="AA212">
            <v>13587581.479384696</v>
          </cell>
          <cell r="AB212">
            <v>2036636.1300000006</v>
          </cell>
          <cell r="AC212">
            <v>0.14988952471711162</v>
          </cell>
        </row>
        <row r="216">
          <cell r="Z216" t="str">
            <v>ALLOCATED DWP PAYMENT:</v>
          </cell>
          <cell r="AA216">
            <v>13587581.479384696</v>
          </cell>
          <cell r="AB216">
            <v>2036636.1300000006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4553491.7582671428</v>
          </cell>
          <cell r="AB218">
            <v>670528.79084845434</v>
          </cell>
          <cell r="AC218">
            <v>0.14725595794283985</v>
          </cell>
          <cell r="AN218">
            <v>26321.450848454377</v>
          </cell>
        </row>
        <row r="219">
          <cell r="S219">
            <v>1656479</v>
          </cell>
          <cell r="Z219" t="str">
            <v>Jefferson 1</v>
          </cell>
          <cell r="AA219">
            <v>3316472.0634205663</v>
          </cell>
          <cell r="AB219">
            <v>482604.90879116795</v>
          </cell>
          <cell r="AC219">
            <v>0.14551755587333834</v>
          </cell>
          <cell r="AN219">
            <v>-26127.301208832068</v>
          </cell>
        </row>
        <row r="220">
          <cell r="S220">
            <v>1134280</v>
          </cell>
          <cell r="Z220" t="str">
            <v>Jefferson 2</v>
          </cell>
          <cell r="AA220">
            <v>2374158.4676969945</v>
          </cell>
          <cell r="AB220">
            <v>374072.29036037746</v>
          </cell>
          <cell r="AC220">
            <v>0.15755995037822343</v>
          </cell>
          <cell r="AN220">
            <v>-260.14963962254114</v>
          </cell>
        </row>
        <row r="221">
          <cell r="S221">
            <v>8943554</v>
          </cell>
          <cell r="W221">
            <v>0</v>
          </cell>
          <cell r="AA221">
            <v>10244122.289384704</v>
          </cell>
          <cell r="AB221">
            <v>1527205.9899999998</v>
          </cell>
          <cell r="AC221">
            <v>0.14908119474350093</v>
          </cell>
          <cell r="AD221">
            <v>0</v>
          </cell>
          <cell r="AN221">
            <v>-66.000000000232831</v>
          </cell>
        </row>
        <row r="223">
          <cell r="X223" t="str">
            <v>DWP :</v>
          </cell>
          <cell r="Z223" t="str">
            <v>Biegler Vault</v>
          </cell>
          <cell r="AA223">
            <v>4372711.67</v>
          </cell>
          <cell r="AB223">
            <v>644229.34</v>
          </cell>
          <cell r="AC223">
            <v>0.147329480793322</v>
          </cell>
          <cell r="AD223">
            <v>26299.450848454377</v>
          </cell>
          <cell r="AE223" t="str">
            <v>1-63-96675-00946-00-0000-0-01</v>
          </cell>
          <cell r="AF223">
            <v>42214</v>
          </cell>
          <cell r="AG223">
            <v>42243</v>
          </cell>
          <cell r="AH223">
            <v>4372711.67</v>
          </cell>
          <cell r="AI223">
            <v>644229.34</v>
          </cell>
          <cell r="AK223">
            <v>644229.34</v>
          </cell>
        </row>
        <row r="224">
          <cell r="Z224" t="str">
            <v>Jefferson 6</v>
          </cell>
          <cell r="AA224">
            <v>3496482.05</v>
          </cell>
          <cell r="AB224">
            <v>508754.21</v>
          </cell>
          <cell r="AC224">
            <v>0.14550459654154382</v>
          </cell>
          <cell r="AD224">
            <v>-26149.301208832068</v>
          </cell>
          <cell r="AE224" t="str">
            <v>1-63-45784-00912-00-9006-0-01</v>
          </cell>
          <cell r="AF224">
            <v>42214</v>
          </cell>
          <cell r="AG224">
            <v>42243</v>
          </cell>
          <cell r="AH224">
            <v>3496482.05</v>
          </cell>
          <cell r="AI224">
            <v>508754.21</v>
          </cell>
          <cell r="AK224">
            <v>508754.21</v>
          </cell>
        </row>
        <row r="225">
          <cell r="Z225" t="str">
            <v>Jefferson 5</v>
          </cell>
          <cell r="AA225">
            <v>2365954.04</v>
          </cell>
          <cell r="AB225">
            <v>374332.44</v>
          </cell>
          <cell r="AC225">
            <v>0.1582162771006321</v>
          </cell>
          <cell r="AD225">
            <v>-260.14963962254114</v>
          </cell>
          <cell r="AE225" t="str">
            <v>1-63-45784-00912-00-9005-0-01</v>
          </cell>
          <cell r="AF225">
            <v>42214</v>
          </cell>
          <cell r="AG225">
            <v>42243</v>
          </cell>
          <cell r="AH225">
            <v>2365954.04</v>
          </cell>
          <cell r="AI225">
            <v>374332.44</v>
          </cell>
          <cell r="AK225">
            <v>374332.44</v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42243</v>
          </cell>
          <cell r="Z9">
            <v>42275</v>
          </cell>
          <cell r="AA9">
            <v>47488.109116678541</v>
          </cell>
          <cell r="AB9">
            <v>6736.8168816105272</v>
          </cell>
          <cell r="AC9">
            <v>0.1418632370696869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42243</v>
          </cell>
          <cell r="Z10">
            <v>42275</v>
          </cell>
          <cell r="AA10">
            <v>34116.949119589626</v>
          </cell>
          <cell r="AB10">
            <v>4839.9408410467886</v>
          </cell>
          <cell r="AC10">
            <v>0.1418632370696869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42243</v>
          </cell>
          <cell r="Z11">
            <v>42156</v>
          </cell>
          <cell r="AA11">
            <v>5186.3695449384813</v>
          </cell>
          <cell r="AB11">
            <v>735.75517228461194</v>
          </cell>
          <cell r="AC11">
            <v>0.1418632370696869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42243</v>
          </cell>
          <cell r="Z12">
            <v>42275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42243</v>
          </cell>
          <cell r="Z13">
            <v>42275</v>
          </cell>
          <cell r="AA13">
            <v>120267.16340687378</v>
          </cell>
          <cell r="AB13">
            <v>17717.77892084244</v>
          </cell>
          <cell r="AC13">
            <v>0.14732016968673092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42243</v>
          </cell>
          <cell r="Z14">
            <v>42275</v>
          </cell>
          <cell r="AA14">
            <v>50809.860583159556</v>
          </cell>
          <cell r="AB14">
            <v>7485.3172828702072</v>
          </cell>
          <cell r="AC14">
            <v>0.14732016968673092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42243</v>
          </cell>
          <cell r="Z15">
            <v>42275</v>
          </cell>
          <cell r="AA15">
            <v>136422.91604128919</v>
          </cell>
          <cell r="AB15">
            <v>20097.847140361369</v>
          </cell>
          <cell r="AC15">
            <v>0.14732016968673092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42243</v>
          </cell>
          <cell r="Z16">
            <v>42275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42243</v>
          </cell>
          <cell r="Z17">
            <v>42275</v>
          </cell>
          <cell r="AA17">
            <v>201377.01713326553</v>
          </cell>
          <cell r="AB17">
            <v>28567.995521962846</v>
          </cell>
          <cell r="AC17">
            <v>0.1418632370696869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42243</v>
          </cell>
          <cell r="Z18">
            <v>42275</v>
          </cell>
          <cell r="AA18">
            <v>232016.92672266008</v>
          </cell>
          <cell r="AB18">
            <v>32914.672279836901</v>
          </cell>
          <cell r="AC18">
            <v>0.1418632370696869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42243</v>
          </cell>
          <cell r="Z19">
            <v>42275</v>
          </cell>
          <cell r="AA19">
            <v>51949.904325929929</v>
          </cell>
          <cell r="AB19">
            <v>7369.7815931369505</v>
          </cell>
          <cell r="AC19">
            <v>0.1418632370696869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42243</v>
          </cell>
          <cell r="Z20">
            <v>42275</v>
          </cell>
          <cell r="AA20">
            <v>31495.481884025667</v>
          </cell>
          <cell r="AB20">
            <v>4331.8758563122738</v>
          </cell>
          <cell r="AC20">
            <v>0.13753959606851981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42243</v>
          </cell>
          <cell r="Z21">
            <v>42275</v>
          </cell>
          <cell r="AA21">
            <v>1651.0849423092591</v>
          </cell>
          <cell r="AB21">
            <v>243.2381138682064</v>
          </cell>
          <cell r="AC21">
            <v>0.14732016968673092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42243</v>
          </cell>
          <cell r="Z22">
            <v>42275</v>
          </cell>
          <cell r="AA22">
            <v>17009.21292766256</v>
          </cell>
          <cell r="AB22">
            <v>2505.8001347409859</v>
          </cell>
          <cell r="AC22">
            <v>0.14732016968673095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42243</v>
          </cell>
          <cell r="Z23">
            <v>42275</v>
          </cell>
          <cell r="AA23">
            <v>99081.661752580651</v>
          </cell>
          <cell r="AB23">
            <v>14596.72722223346</v>
          </cell>
          <cell r="AC23">
            <v>0.14732016968673092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42243</v>
          </cell>
          <cell r="Z24">
            <v>42275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42243</v>
          </cell>
          <cell r="Z25">
            <v>42275</v>
          </cell>
          <cell r="AA25">
            <v>187773.42743295757</v>
          </cell>
          <cell r="AB25">
            <v>26638.14625130931</v>
          </cell>
          <cell r="AC25">
            <v>0.1418632370696869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42243</v>
          </cell>
          <cell r="Z26">
            <v>42275</v>
          </cell>
          <cell r="AA26">
            <v>191367.3037002557</v>
          </cell>
          <cell r="AB26">
            <v>27147.985172216144</v>
          </cell>
          <cell r="AC26">
            <v>0.1418632370696869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42243</v>
          </cell>
          <cell r="Z27">
            <v>42275</v>
          </cell>
          <cell r="AA27">
            <v>5286.5170393170647</v>
          </cell>
          <cell r="AB27">
            <v>727.10541819701632</v>
          </cell>
          <cell r="AC27">
            <v>0.13753959606851981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42243</v>
          </cell>
          <cell r="Z28">
            <v>42275</v>
          </cell>
          <cell r="AA28">
            <v>53076.994047325403</v>
          </cell>
          <cell r="AB28">
            <v>7529.6741894820834</v>
          </cell>
          <cell r="AC28">
            <v>0.1418632370696869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42243</v>
          </cell>
          <cell r="Z29">
            <v>42275</v>
          </cell>
          <cell r="AA29">
            <v>404621.05933778937</v>
          </cell>
          <cell r="AB29">
            <v>55651.417062136134</v>
          </cell>
          <cell r="AC29">
            <v>0.13753959606851981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42243</v>
          </cell>
          <cell r="Z30">
            <v>42275</v>
          </cell>
          <cell r="AA30">
            <v>28678.467698200664</v>
          </cell>
          <cell r="AB30">
            <v>3944.4248630746124</v>
          </cell>
          <cell r="AC30">
            <v>0.13753959606851981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42243</v>
          </cell>
          <cell r="Z31">
            <v>42275</v>
          </cell>
          <cell r="AA31">
            <v>53126.431233901254</v>
          </cell>
          <cell r="AB31">
            <v>7306.9878924727727</v>
          </cell>
          <cell r="AC31">
            <v>0.13753959606851981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42243</v>
          </cell>
          <cell r="Z32">
            <v>42275</v>
          </cell>
          <cell r="AA32">
            <v>80155.83182920728</v>
          </cell>
          <cell r="AB32">
            <v>11371.165773304787</v>
          </cell>
          <cell r="AC32">
            <v>0.1418632370696869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42243</v>
          </cell>
          <cell r="Z33">
            <v>42275</v>
          </cell>
          <cell r="AA33">
            <v>156778.3434910521</v>
          </cell>
          <cell r="AB33">
            <v>22241.083310063928</v>
          </cell>
          <cell r="AC33">
            <v>0.1418632370696869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42243</v>
          </cell>
          <cell r="Z34">
            <v>42275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42243</v>
          </cell>
          <cell r="Z35">
            <v>42275</v>
          </cell>
          <cell r="AA35">
            <v>117720.30625777427</v>
          </cell>
          <cell r="AB35">
            <v>16191.203371756719</v>
          </cell>
          <cell r="AC35">
            <v>0.13753959606851981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42243</v>
          </cell>
          <cell r="Z36">
            <v>42275</v>
          </cell>
          <cell r="AA36">
            <v>152728.90685232615</v>
          </cell>
          <cell r="AB36">
            <v>22500.048473553608</v>
          </cell>
          <cell r="AC36">
            <v>0.14732016968673092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42243</v>
          </cell>
          <cell r="Z37">
            <v>42275</v>
          </cell>
          <cell r="AA37">
            <v>199872.42973753216</v>
          </cell>
          <cell r="AB37">
            <v>27490.373251333782</v>
          </cell>
          <cell r="AC37">
            <v>0.13753959606851981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42243</v>
          </cell>
          <cell r="Z38">
            <v>42275</v>
          </cell>
          <cell r="AA38">
            <v>62779.460068777094</v>
          </cell>
          <cell r="AB38">
            <v>8634.6615792593711</v>
          </cell>
          <cell r="AC38">
            <v>0.13753959606851981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42243</v>
          </cell>
          <cell r="Z39">
            <v>42275</v>
          </cell>
          <cell r="AA39">
            <v>20938.651139641021</v>
          </cell>
          <cell r="AB39">
            <v>2879.8936199658779</v>
          </cell>
          <cell r="AC39">
            <v>0.13753959606851981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42243</v>
          </cell>
          <cell r="Z40">
            <v>42275</v>
          </cell>
          <cell r="AA40">
            <v>54285.399809754788</v>
          </cell>
          <cell r="AB40">
            <v>7466.391962251776</v>
          </cell>
          <cell r="AC40">
            <v>0.13753959606851981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42243</v>
          </cell>
          <cell r="Z41">
            <v>42275</v>
          </cell>
          <cell r="AA41">
            <v>49251.707131114694</v>
          </cell>
          <cell r="AB41">
            <v>7255.7698519169926</v>
          </cell>
          <cell r="AC41">
            <v>0.14732016968673092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42243</v>
          </cell>
          <cell r="Z42">
            <v>42275</v>
          </cell>
          <cell r="AA42">
            <v>21743.039999999997</v>
          </cell>
          <cell r="AB42">
            <v>3590.9016799999999</v>
          </cell>
          <cell r="AC42">
            <v>0.16515177638453502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42243</v>
          </cell>
          <cell r="Z43">
            <v>42275</v>
          </cell>
          <cell r="AA43">
            <v>50670.608129985012</v>
          </cell>
          <cell r="AB43">
            <v>7188.2964936092685</v>
          </cell>
          <cell r="AC43">
            <v>0.1418632370696869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42243</v>
          </cell>
          <cell r="Z44">
            <v>42275</v>
          </cell>
          <cell r="AA44">
            <v>14769.547265051062</v>
          </cell>
          <cell r="AB44">
            <v>2095.2557850738845</v>
          </cell>
          <cell r="AC44">
            <v>0.1418632370696869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42243</v>
          </cell>
          <cell r="Z45">
            <v>42275</v>
          </cell>
          <cell r="AA45">
            <v>8418.7743510062173</v>
          </cell>
          <cell r="AB45">
            <v>1240.2552659445339</v>
          </cell>
          <cell r="AC45">
            <v>0.14732016968673092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42243</v>
          </cell>
          <cell r="Z46">
            <v>42275</v>
          </cell>
          <cell r="AA46">
            <v>4796.8766481965695</v>
          </cell>
          <cell r="AB46">
            <v>706.67668177863573</v>
          </cell>
          <cell r="AC46">
            <v>0.14732016968673092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42243</v>
          </cell>
          <cell r="Z47">
            <v>42275</v>
          </cell>
          <cell r="AA47">
            <v>342863.05459225288</v>
          </cell>
          <cell r="AB47">
            <v>47157.246035437318</v>
          </cell>
          <cell r="AC47">
            <v>0.13753959606851981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42243</v>
          </cell>
          <cell r="Z48">
            <v>42275</v>
          </cell>
          <cell r="AA48">
            <v>25030.351518481802</v>
          </cell>
          <cell r="AB48">
            <v>3442.6644373050485</v>
          </cell>
          <cell r="AC48">
            <v>0.13753959606851981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42243</v>
          </cell>
          <cell r="Z49">
            <v>42275</v>
          </cell>
          <cell r="AA49">
            <v>50537.124081599963</v>
          </cell>
          <cell r="AB49">
            <v>6950.8556326479238</v>
          </cell>
          <cell r="AC49">
            <v>0.13753959606851981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42243</v>
          </cell>
          <cell r="Z50">
            <v>42275</v>
          </cell>
          <cell r="AA50">
            <v>11024.64</v>
          </cell>
          <cell r="AB50">
            <v>1820.7388799999999</v>
          </cell>
          <cell r="AC50">
            <v>0.16515177638453502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42243</v>
          </cell>
          <cell r="Z51">
            <v>42275</v>
          </cell>
          <cell r="AA51">
            <v>112559.11412229834</v>
          </cell>
          <cell r="AB51">
            <v>15481.335090211338</v>
          </cell>
          <cell r="AC51">
            <v>0.13753959606851981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42243</v>
          </cell>
          <cell r="Z52">
            <v>42275</v>
          </cell>
          <cell r="AA52">
            <v>139004.31784467088</v>
          </cell>
          <cell r="AB52">
            <v>19118.597728136174</v>
          </cell>
          <cell r="AC52">
            <v>0.13753959606851981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42243</v>
          </cell>
          <cell r="Z53">
            <v>42275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42243</v>
          </cell>
          <cell r="Z55">
            <v>42275</v>
          </cell>
          <cell r="AA55">
            <v>453445.94197467057</v>
          </cell>
          <cell r="AB55">
            <v>64327.309164640181</v>
          </cell>
          <cell r="AC55">
            <v>0.1418632370696869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42243</v>
          </cell>
          <cell r="Z56">
            <v>42275</v>
          </cell>
          <cell r="AA56">
            <v>5596.6584993163897</v>
          </cell>
          <cell r="AB56">
            <v>793.96009148659914</v>
          </cell>
          <cell r="AC56">
            <v>0.1418632370696869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42243</v>
          </cell>
          <cell r="Z57">
            <v>42275</v>
          </cell>
          <cell r="AA57">
            <v>84799.719617655763</v>
          </cell>
          <cell r="AB57">
            <v>11663.319182936109</v>
          </cell>
          <cell r="AC57">
            <v>0.13753959606851981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42243</v>
          </cell>
          <cell r="Z58">
            <v>42275</v>
          </cell>
          <cell r="AA58">
            <v>613373.34642105375</v>
          </cell>
          <cell r="AB58">
            <v>84363.122305948011</v>
          </cell>
          <cell r="AC58">
            <v>0.13753959606851981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42243</v>
          </cell>
          <cell r="Z59">
            <v>42275</v>
          </cell>
          <cell r="AA59">
            <v>18388.920837585247</v>
          </cell>
          <cell r="AB59">
            <v>2608.7118362380611</v>
          </cell>
          <cell r="AC59">
            <v>0.1418632370696869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42243</v>
          </cell>
          <cell r="Z60">
            <v>42275</v>
          </cell>
          <cell r="AA60">
            <v>42678.913123585764</v>
          </cell>
          <cell r="AB60">
            <v>6054.5687703278181</v>
          </cell>
          <cell r="AC60">
            <v>0.1418632370696869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42243</v>
          </cell>
          <cell r="Z61">
            <v>42275</v>
          </cell>
          <cell r="AA61">
            <v>175307.34403606234</v>
          </cell>
          <cell r="AB61">
            <v>24869.667307045071</v>
          </cell>
          <cell r="AC61">
            <v>0.1418632370696869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42243</v>
          </cell>
          <cell r="Z62">
            <v>42275</v>
          </cell>
          <cell r="AA62">
            <v>28678.467698200664</v>
          </cell>
          <cell r="AB62">
            <v>3944.4248630746124</v>
          </cell>
          <cell r="AC62">
            <v>0.13753959606851981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42243</v>
          </cell>
          <cell r="Z63">
            <v>42275</v>
          </cell>
          <cell r="AA63">
            <v>22482.093420527413</v>
          </cell>
          <cell r="AB63">
            <v>3189.3825487391287</v>
          </cell>
          <cell r="AC63">
            <v>0.1418632370696869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42243</v>
          </cell>
          <cell r="Z64">
            <v>42275</v>
          </cell>
          <cell r="AA64">
            <v>43605.133830560517</v>
          </cell>
          <cell r="AB64">
            <v>6185.9654380602315</v>
          </cell>
          <cell r="AC64">
            <v>0.1418632370696869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42243</v>
          </cell>
          <cell r="Z65">
            <v>42275</v>
          </cell>
          <cell r="AA65">
            <v>7599.2852599612715</v>
          </cell>
          <cell r="AB65">
            <v>1078.059206394063</v>
          </cell>
          <cell r="AC65">
            <v>0.1418632370696869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42243</v>
          </cell>
          <cell r="Z66">
            <v>42275</v>
          </cell>
          <cell r="AA66">
            <v>23320</v>
          </cell>
          <cell r="AB66">
            <v>4162.1000000000004</v>
          </cell>
          <cell r="AC66">
            <v>0.17847770154373929</v>
          </cell>
          <cell r="AE66" t="str">
            <v>1-52-34746-03601-00-9002-0-02</v>
          </cell>
          <cell r="AF66">
            <v>42243</v>
          </cell>
          <cell r="AG66">
            <v>42275</v>
          </cell>
          <cell r="AH66">
            <v>12720</v>
          </cell>
          <cell r="AI66">
            <v>2179.37</v>
          </cell>
          <cell r="AK66">
            <v>2179.37</v>
          </cell>
          <cell r="AL66">
            <v>4162.1000000000004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42243</v>
          </cell>
          <cell r="Z67">
            <v>42275</v>
          </cell>
          <cell r="AA67">
            <v>7774.3741121359717</v>
          </cell>
          <cell r="AB67">
            <v>1069.2842750687389</v>
          </cell>
          <cell r="AC67">
            <v>0.13753959606851981</v>
          </cell>
          <cell r="AE67" t="str">
            <v>1-52-34746-03601-00-9003-0-01</v>
          </cell>
          <cell r="AF67">
            <v>42243</v>
          </cell>
          <cell r="AG67">
            <v>42275</v>
          </cell>
          <cell r="AH67">
            <v>10600</v>
          </cell>
          <cell r="AI67">
            <v>1982.73</v>
          </cell>
          <cell r="AK67">
            <v>1982.73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42243</v>
          </cell>
          <cell r="Z68">
            <v>42275</v>
          </cell>
          <cell r="AA68">
            <v>22137.124304748828</v>
          </cell>
          <cell r="AB68">
            <v>3044.7311349937663</v>
          </cell>
          <cell r="AC68">
            <v>0.13753959606851981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42243</v>
          </cell>
          <cell r="Z69">
            <v>42275</v>
          </cell>
          <cell r="AA69">
            <v>44979.452130196405</v>
          </cell>
          <cell r="AB69">
            <v>6186.4556773705372</v>
          </cell>
          <cell r="AC69">
            <v>0.13753959606851981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42243</v>
          </cell>
          <cell r="Z70">
            <v>42275</v>
          </cell>
          <cell r="AA70">
            <v>53728.600127698897</v>
          </cell>
          <cell r="AB70">
            <v>7915.3064878431142</v>
          </cell>
          <cell r="AC70">
            <v>0.14732016968673092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42243</v>
          </cell>
          <cell r="Z71">
            <v>42275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42243</v>
          </cell>
          <cell r="Z72">
            <v>42275</v>
          </cell>
          <cell r="AA72">
            <v>101305.45784409018</v>
          </cell>
          <cell r="AB72">
            <v>14371.520182589338</v>
          </cell>
          <cell r="AC72">
            <v>0.1418632370696869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42243</v>
          </cell>
          <cell r="Z73">
            <v>42275</v>
          </cell>
          <cell r="AA73">
            <v>46873.763984725418</v>
          </cell>
          <cell r="AB73">
            <v>6649.6638925136531</v>
          </cell>
          <cell r="AC73">
            <v>0.1418632370696869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42243</v>
          </cell>
          <cell r="Z74">
            <v>42275</v>
          </cell>
          <cell r="AA74">
            <v>37465.802502424085</v>
          </cell>
          <cell r="AB74">
            <v>5315.020022407457</v>
          </cell>
          <cell r="AC74">
            <v>0.1418632370696869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42243</v>
          </cell>
          <cell r="Z75">
            <v>42275</v>
          </cell>
          <cell r="AA75">
            <v>10190.371168889738</v>
          </cell>
          <cell r="AB75">
            <v>1445.6390409603073</v>
          </cell>
          <cell r="AC75">
            <v>0.1418632370696869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42243</v>
          </cell>
          <cell r="Z76">
            <v>42275</v>
          </cell>
          <cell r="AA76">
            <v>22169.245117305265</v>
          </cell>
          <cell r="AB76">
            <v>3265.9769525081429</v>
          </cell>
          <cell r="AC76">
            <v>0.14732016968673092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42243</v>
          </cell>
          <cell r="Z78">
            <v>42275</v>
          </cell>
          <cell r="AA78">
            <v>39917.352853734454</v>
          </cell>
          <cell r="AB78">
            <v>5662.8048910836733</v>
          </cell>
          <cell r="AC78">
            <v>0.1418632370696869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42243</v>
          </cell>
          <cell r="Z79">
            <v>42275</v>
          </cell>
          <cell r="AA79">
            <v>47175.06750635647</v>
          </cell>
          <cell r="AB79">
            <v>6692.4077854327315</v>
          </cell>
          <cell r="AC79">
            <v>0.1418632370696869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42243</v>
          </cell>
          <cell r="Z80">
            <v>42275</v>
          </cell>
          <cell r="AA80">
            <v>114006.38075049203</v>
          </cell>
          <cell r="AB80">
            <v>16173.31421986404</v>
          </cell>
          <cell r="AC80">
            <v>0.1418632370696869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42243</v>
          </cell>
          <cell r="Z81">
            <v>42275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42243</v>
          </cell>
          <cell r="Z82">
            <v>42275</v>
          </cell>
          <cell r="AA82">
            <v>19090.563145697219</v>
          </cell>
          <cell r="AB82">
            <v>2708.2490853318723</v>
          </cell>
          <cell r="AC82">
            <v>0.1418632370696869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42243</v>
          </cell>
          <cell r="Z83">
            <v>42275</v>
          </cell>
          <cell r="AA83">
            <v>319913.55325494689</v>
          </cell>
          <cell r="AB83">
            <v>47129.718950603805</v>
          </cell>
          <cell r="AC83">
            <v>0.14732016968673092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42243</v>
          </cell>
          <cell r="Z84">
            <v>42275</v>
          </cell>
          <cell r="AA84">
            <v>158152.64394208248</v>
          </cell>
          <cell r="AB84">
            <v>21752.25076496246</v>
          </cell>
          <cell r="AC84">
            <v>0.13753959606851981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42243</v>
          </cell>
          <cell r="Z85">
            <v>42275</v>
          </cell>
          <cell r="AA85">
            <v>2890.6880000000001</v>
          </cell>
          <cell r="AB85">
            <v>410.0845381303555</v>
          </cell>
          <cell r="AC85">
            <v>0.14186399159312782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42243</v>
          </cell>
          <cell r="Z86">
            <v>42275</v>
          </cell>
          <cell r="AA86">
            <v>11679.312</v>
          </cell>
          <cell r="AB86">
            <v>1656.8738193815168</v>
          </cell>
          <cell r="AC86">
            <v>0.14186399159312782</v>
          </cell>
          <cell r="AL86">
            <v>14570</v>
          </cell>
          <cell r="AM86">
            <v>2066.9583575118722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42243</v>
          </cell>
          <cell r="Z87">
            <v>42275</v>
          </cell>
          <cell r="AA87">
            <v>17440</v>
          </cell>
          <cell r="AB87">
            <v>3569.21</v>
          </cell>
          <cell r="AC87">
            <v>0.2046565366972477</v>
          </cell>
          <cell r="AE87" t="str">
            <v>1-63-86192-02715-00-9001-0-01</v>
          </cell>
          <cell r="AF87">
            <v>42243</v>
          </cell>
          <cell r="AG87">
            <v>42275</v>
          </cell>
          <cell r="AH87">
            <v>17440</v>
          </cell>
          <cell r="AI87">
            <v>3569.21</v>
          </cell>
          <cell r="AK87">
            <v>3569.21</v>
          </cell>
          <cell r="AM87">
            <v>2066.9583575118722</v>
          </cell>
          <cell r="AN87">
            <v>2066.9583575118722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42243</v>
          </cell>
          <cell r="Z88">
            <v>42275</v>
          </cell>
          <cell r="AA88">
            <v>27301.861467010756</v>
          </cell>
          <cell r="AB88">
            <v>3873.1304457382967</v>
          </cell>
          <cell r="AC88">
            <v>0.1418632370696869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42243</v>
          </cell>
          <cell r="Z89">
            <v>42275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42243</v>
          </cell>
          <cell r="Z90">
            <v>42275</v>
          </cell>
          <cell r="AA90">
            <v>34694.991685856032</v>
          </cell>
          <cell r="AB90">
            <v>4921.9438306614102</v>
          </cell>
          <cell r="AC90">
            <v>0.1418632370696869</v>
          </cell>
          <cell r="AL90">
            <v>34695</v>
          </cell>
          <cell r="AM90">
            <v>4921.9438306614102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42243</v>
          </cell>
          <cell r="Z91">
            <v>42275</v>
          </cell>
          <cell r="AA91">
            <v>0</v>
          </cell>
          <cell r="AB91">
            <v>0</v>
          </cell>
          <cell r="AC91">
            <v>0</v>
          </cell>
          <cell r="AM91">
            <v>4921.9438306614102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42243</v>
          </cell>
          <cell r="Z92">
            <v>42275</v>
          </cell>
          <cell r="AA92">
            <v>62566.422529283424</v>
          </cell>
          <cell r="AB92">
            <v>8875.8752318739334</v>
          </cell>
          <cell r="AC92">
            <v>0.1418632370696869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42243</v>
          </cell>
          <cell r="Z93">
            <v>42275</v>
          </cell>
          <cell r="AA93">
            <v>11546.465842340998</v>
          </cell>
          <cell r="AB93">
            <v>1701.0273071757183</v>
          </cell>
          <cell r="AC93">
            <v>0.14732016968673092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42243</v>
          </cell>
          <cell r="Z94">
            <v>42275</v>
          </cell>
          <cell r="AA94">
            <v>103918.44841449024</v>
          </cell>
          <cell r="AB94">
            <v>15309.283454004495</v>
          </cell>
          <cell r="AC94">
            <v>0.14732016968673092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42243</v>
          </cell>
          <cell r="Z95">
            <v>42275</v>
          </cell>
          <cell r="AA95">
            <v>54524.898947712463</v>
          </cell>
          <cell r="AB95">
            <v>7735.0786656200553</v>
          </cell>
          <cell r="AC95">
            <v>0.1418632370696869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42243</v>
          </cell>
          <cell r="Z96">
            <v>42275</v>
          </cell>
          <cell r="AA96">
            <v>11036.334000394121</v>
          </cell>
          <cell r="AB96">
            <v>1625.8745976574999</v>
          </cell>
          <cell r="AC96">
            <v>0.14732016968673092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42243</v>
          </cell>
          <cell r="Z97">
            <v>42275</v>
          </cell>
          <cell r="AA97">
            <v>4301.7701547300985</v>
          </cell>
          <cell r="AB97">
            <v>591.66372946119179</v>
          </cell>
          <cell r="AC97">
            <v>0.13753959606851981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42243</v>
          </cell>
          <cell r="Z98">
            <v>42275</v>
          </cell>
          <cell r="AA98">
            <v>84211.069397042142</v>
          </cell>
          <cell r="AB98">
            <v>11946.454901764444</v>
          </cell>
          <cell r="AC98">
            <v>0.1418632370696869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42243</v>
          </cell>
          <cell r="Z99">
            <v>42275</v>
          </cell>
          <cell r="AA99">
            <v>30283.314750591973</v>
          </cell>
          <cell r="AB99">
            <v>4165.1548784122679</v>
          </cell>
          <cell r="AC99">
            <v>0.13753959606851981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42243</v>
          </cell>
          <cell r="Z100">
            <v>42275</v>
          </cell>
          <cell r="AA100">
            <v>94286.448021622127</v>
          </cell>
          <cell r="AB100">
            <v>13890.295521704507</v>
          </cell>
          <cell r="AC100">
            <v>0.14732016968673092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42243</v>
          </cell>
          <cell r="Z101">
            <v>42275</v>
          </cell>
          <cell r="AA101">
            <v>24060.109933669046</v>
          </cell>
          <cell r="AB101">
            <v>3544.5394781095242</v>
          </cell>
          <cell r="AC101">
            <v>0.14732016968673092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42243</v>
          </cell>
          <cell r="Z102">
            <v>42275</v>
          </cell>
          <cell r="AA102">
            <v>58204.670901560137</v>
          </cell>
          <cell r="AB102">
            <v>8005.4469251017099</v>
          </cell>
          <cell r="AC102">
            <v>0.13753959606851981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42243</v>
          </cell>
          <cell r="Z103">
            <v>42275</v>
          </cell>
          <cell r="AA103">
            <v>10198.278201987892</v>
          </cell>
          <cell r="AB103">
            <v>1402.6670644958053</v>
          </cell>
          <cell r="AC103">
            <v>0.13753959606851981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42243</v>
          </cell>
          <cell r="Z104">
            <v>42275</v>
          </cell>
          <cell r="AA104">
            <v>236901.13517924867</v>
          </cell>
          <cell r="AB104">
            <v>32583.286440727672</v>
          </cell>
          <cell r="AC104">
            <v>0.13753959606851981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42243</v>
          </cell>
          <cell r="Z106">
            <v>42275</v>
          </cell>
          <cell r="AA106">
            <v>103495.0389312373</v>
          </cell>
          <cell r="AB106">
            <v>14682.141243438593</v>
          </cell>
          <cell r="AC106">
            <v>0.1418632370696869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42243</v>
          </cell>
          <cell r="Z107">
            <v>42275</v>
          </cell>
          <cell r="AA107">
            <v>4213.7406330066142</v>
          </cell>
          <cell r="AB107">
            <v>597.77488637038982</v>
          </cell>
          <cell r="AC107">
            <v>0.1418632370696869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42243</v>
          </cell>
          <cell r="Z108">
            <v>42275</v>
          </cell>
          <cell r="AA108">
            <v>15866.433950198763</v>
          </cell>
          <cell r="AB108">
            <v>2182.262916558187</v>
          </cell>
          <cell r="AC108">
            <v>0.13753959606851981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42243</v>
          </cell>
          <cell r="Z109">
            <v>42275</v>
          </cell>
          <cell r="AA109">
            <v>90056.870772217022</v>
          </cell>
          <cell r="AB109">
            <v>12775.759208113181</v>
          </cell>
          <cell r="AC109">
            <v>0.1418632370696869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42243</v>
          </cell>
          <cell r="Z110">
            <v>42275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42243</v>
          </cell>
          <cell r="Z111">
            <v>42275</v>
          </cell>
          <cell r="AA111">
            <v>202486.04189120769</v>
          </cell>
          <cell r="AB111">
            <v>27849.848411230087</v>
          </cell>
          <cell r="AC111">
            <v>0.13753959606851981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42243</v>
          </cell>
          <cell r="Z112">
            <v>42275</v>
          </cell>
          <cell r="AA112">
            <v>46878.78819078482</v>
          </cell>
          <cell r="AB112">
            <v>6906.1910309747373</v>
          </cell>
          <cell r="AC112">
            <v>0.14732016968673092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42247</v>
          </cell>
          <cell r="Z113">
            <v>42277</v>
          </cell>
          <cell r="AA113">
            <v>97706.234400000001</v>
          </cell>
          <cell r="AB113">
            <v>15949.0105382</v>
          </cell>
          <cell r="AC113">
            <v>0.16323431801604668</v>
          </cell>
          <cell r="AE113" t="str">
            <v>1-44-38866-03717-00-9001-3-01</v>
          </cell>
          <cell r="AF113">
            <v>42247</v>
          </cell>
          <cell r="AG113">
            <v>42277</v>
          </cell>
          <cell r="AH113">
            <v>109680</v>
          </cell>
          <cell r="AI113">
            <v>17903.54</v>
          </cell>
          <cell r="AK113">
            <v>17903.54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42247</v>
          </cell>
          <cell r="Z114">
            <v>42277</v>
          </cell>
          <cell r="AA114">
            <v>11973.765600000001</v>
          </cell>
          <cell r="AB114">
            <v>1954.5294618000003</v>
          </cell>
          <cell r="AC114">
            <v>0.16323431801604668</v>
          </cell>
          <cell r="AE114" t="str">
            <v>1-44-38866-03717-00-9001-3-02</v>
          </cell>
          <cell r="AF114">
            <v>42243</v>
          </cell>
          <cell r="AG114">
            <v>42275</v>
          </cell>
          <cell r="AK114">
            <v>0</v>
          </cell>
          <cell r="AL114">
            <v>109680</v>
          </cell>
          <cell r="AM114">
            <v>17903.54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42243</v>
          </cell>
          <cell r="Z115">
            <v>42275</v>
          </cell>
          <cell r="AA115">
            <v>67124.102022031395</v>
          </cell>
          <cell r="AB115">
            <v>9888.7340999551034</v>
          </cell>
          <cell r="AC115">
            <v>0.14732016968673092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42243</v>
          </cell>
          <cell r="Z116">
            <v>42275</v>
          </cell>
          <cell r="AA116">
            <v>7525</v>
          </cell>
          <cell r="AB116">
            <v>1496.73</v>
          </cell>
          <cell r="AC116">
            <v>0.19890099667774086</v>
          </cell>
          <cell r="AE116" t="str">
            <v>1-63-00433-00909-00-9001-3-01</v>
          </cell>
          <cell r="AF116">
            <v>42243</v>
          </cell>
          <cell r="AG116">
            <v>42275</v>
          </cell>
          <cell r="AH116">
            <v>7525</v>
          </cell>
          <cell r="AI116">
            <v>1496.73</v>
          </cell>
          <cell r="AK116">
            <v>1496.73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42243</v>
          </cell>
          <cell r="Z118">
            <v>42275</v>
          </cell>
          <cell r="AA118">
            <v>57584.073744098067</v>
          </cell>
          <cell r="AB118">
            <v>8483.2955152337545</v>
          </cell>
          <cell r="AC118">
            <v>0.14732016968673092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42243</v>
          </cell>
          <cell r="Z119">
            <v>42275</v>
          </cell>
          <cell r="AA119">
            <v>32116.304368426907</v>
          </cell>
          <cell r="AB119">
            <v>4731.3794092673497</v>
          </cell>
          <cell r="AC119">
            <v>0.14732016968673092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11100</v>
          </cell>
          <cell r="AB120">
            <v>2259.4899999999998</v>
          </cell>
          <cell r="AC120">
            <v>0.20355765765765763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42243</v>
          </cell>
          <cell r="Z121">
            <v>42275</v>
          </cell>
          <cell r="AA121">
            <v>67222.830157767065</v>
          </cell>
          <cell r="AB121">
            <v>9245.8009064819944</v>
          </cell>
          <cell r="AC121">
            <v>0.13753959606851981</v>
          </cell>
          <cell r="AE121" t="str">
            <v>1-44-43997-03440-00-9001-2-01</v>
          </cell>
          <cell r="AF121">
            <v>42247</v>
          </cell>
          <cell r="AG121">
            <v>42277</v>
          </cell>
          <cell r="AH121">
            <v>11100</v>
          </cell>
          <cell r="AI121">
            <v>2259.4899999999998</v>
          </cell>
          <cell r="AK121">
            <v>2259.4899999999998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42243</v>
          </cell>
          <cell r="Z123">
            <v>42275</v>
          </cell>
          <cell r="AA123">
            <v>52318.760159299229</v>
          </cell>
          <cell r="AB123">
            <v>7422.1086756707564</v>
          </cell>
          <cell r="AC123">
            <v>0.1418632370696869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42243</v>
          </cell>
          <cell r="Z124">
            <v>42275</v>
          </cell>
          <cell r="AA124">
            <v>785</v>
          </cell>
          <cell r="AB124">
            <v>135.21</v>
          </cell>
          <cell r="AC124">
            <v>0.17224203821656053</v>
          </cell>
          <cell r="AE124" t="str">
            <v>1-63-43981-02712-00-0000-0-01</v>
          </cell>
          <cell r="AF124">
            <v>42243</v>
          </cell>
          <cell r="AG124">
            <v>42275</v>
          </cell>
          <cell r="AH124">
            <v>785</v>
          </cell>
          <cell r="AI124">
            <v>135.21</v>
          </cell>
          <cell r="AK124">
            <v>135.21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42243</v>
          </cell>
          <cell r="Z125">
            <v>42275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42243</v>
          </cell>
          <cell r="AG125">
            <v>42275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42243</v>
          </cell>
          <cell r="Z126">
            <v>42275</v>
          </cell>
          <cell r="AA126">
            <v>41313.387945191847</v>
          </cell>
          <cell r="AB126">
            <v>6086.2953224194071</v>
          </cell>
          <cell r="AC126">
            <v>0.14732016968673092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42243</v>
          </cell>
          <cell r="Z127">
            <v>42275</v>
          </cell>
          <cell r="AA127">
            <v>45711.459997256956</v>
          </cell>
          <cell r="AB127">
            <v>6484.7756863923732</v>
          </cell>
          <cell r="AC127">
            <v>0.1418632370696869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42243</v>
          </cell>
          <cell r="Z128">
            <v>42275</v>
          </cell>
          <cell r="AA128">
            <v>33657.997625340446</v>
          </cell>
          <cell r="AB128">
            <v>4774.8324964146304</v>
          </cell>
          <cell r="AC128">
            <v>0.1418632370696869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42243</v>
          </cell>
          <cell r="Z129">
            <v>42275</v>
          </cell>
          <cell r="AA129">
            <v>803499.22291748156</v>
          </cell>
          <cell r="AB129">
            <v>113987.00074605188</v>
          </cell>
          <cell r="AC129">
            <v>0.1418632370696869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42243</v>
          </cell>
          <cell r="Z130">
            <v>42275</v>
          </cell>
          <cell r="AA130">
            <v>2980.8526420188105</v>
          </cell>
          <cell r="AB130">
            <v>422.87340502451707</v>
          </cell>
          <cell r="AC130">
            <v>0.1418632370696869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42243</v>
          </cell>
          <cell r="Z131">
            <v>42275</v>
          </cell>
          <cell r="AA131">
            <v>1747.8869153443111</v>
          </cell>
          <cell r="AB131">
            <v>247.96089584249376</v>
          </cell>
          <cell r="AC131">
            <v>0.1418632370696869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42243</v>
          </cell>
          <cell r="Z132">
            <v>42275</v>
          </cell>
          <cell r="AA132">
            <v>22736.575975810465</v>
          </cell>
          <cell r="AB132">
            <v>3127.1794756941831</v>
          </cell>
          <cell r="AC132">
            <v>0.13753959606851981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42243</v>
          </cell>
          <cell r="Z133">
            <v>42275</v>
          </cell>
          <cell r="AA133">
            <v>14358.735207135109</v>
          </cell>
          <cell r="AB133">
            <v>1974.894640444197</v>
          </cell>
          <cell r="AC133">
            <v>0.13753959606851981</v>
          </cell>
          <cell r="AE133" t="str">
            <v>1-63-34103-03131-00-9002-0-01</v>
          </cell>
          <cell r="AF133">
            <v>42243</v>
          </cell>
          <cell r="AG133">
            <v>42276</v>
          </cell>
          <cell r="AH133">
            <v>55999.998999999996</v>
          </cell>
          <cell r="AI133">
            <v>10544.72</v>
          </cell>
          <cell r="AK133">
            <v>10544.72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42243</v>
          </cell>
          <cell r="Z134">
            <v>42275</v>
          </cell>
          <cell r="AA134">
            <v>2548.0818549851283</v>
          </cell>
          <cell r="AB134">
            <v>350.46214908417926</v>
          </cell>
          <cell r="AC134">
            <v>0.13753959606851981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42243</v>
          </cell>
          <cell r="Z136">
            <v>42276</v>
          </cell>
          <cell r="AA136">
            <v>103919.99799999999</v>
          </cell>
          <cell r="AB136">
            <v>18899.919999999998</v>
          </cell>
          <cell r="AC136">
            <v>0.1818699034232083</v>
          </cell>
          <cell r="AE136" t="str">
            <v>1-63-34103-03131-00-9001-0-01</v>
          </cell>
          <cell r="AF136">
            <v>42243</v>
          </cell>
          <cell r="AG136">
            <v>42276</v>
          </cell>
          <cell r="AH136">
            <v>47919.998999999996</v>
          </cell>
          <cell r="AI136">
            <v>8355.2000000000007</v>
          </cell>
          <cell r="AK136">
            <v>8355.2000000000007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42247</v>
          </cell>
          <cell r="Z137">
            <v>42277</v>
          </cell>
          <cell r="AA137">
            <v>0</v>
          </cell>
          <cell r="AB137">
            <v>0</v>
          </cell>
          <cell r="AC137">
            <v>0</v>
          </cell>
          <cell r="AE137" t="str">
            <v>1-44-38866-03447-00-9001-4-01</v>
          </cell>
          <cell r="AF137">
            <v>42247</v>
          </cell>
          <cell r="AG137">
            <v>42277</v>
          </cell>
          <cell r="AH137">
            <v>55640</v>
          </cell>
          <cell r="AI137">
            <v>8470.61</v>
          </cell>
          <cell r="AK137">
            <v>8470.61</v>
          </cell>
          <cell r="AL137">
            <v>0</v>
          </cell>
          <cell r="AM137">
            <v>0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42247</v>
          </cell>
          <cell r="Z138">
            <v>42277</v>
          </cell>
          <cell r="AA138">
            <v>0</v>
          </cell>
          <cell r="AB138">
            <v>0</v>
          </cell>
          <cell r="AC138">
            <v>0</v>
          </cell>
          <cell r="AL138">
            <v>0</v>
          </cell>
          <cell r="AM138">
            <v>0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42247</v>
          </cell>
          <cell r="Z139">
            <v>42277</v>
          </cell>
          <cell r="AA139">
            <v>55640</v>
          </cell>
          <cell r="AB139">
            <v>8470.61</v>
          </cell>
          <cell r="AC139">
            <v>0.15223957584471604</v>
          </cell>
          <cell r="AE139" t="str">
            <v>1-44-38866-03447-00-9004-0-01</v>
          </cell>
          <cell r="AF139">
            <v>42247</v>
          </cell>
          <cell r="AG139">
            <v>42277</v>
          </cell>
          <cell r="AK139">
            <v>0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42243</v>
          </cell>
          <cell r="Z140">
            <v>42275</v>
          </cell>
          <cell r="AA140">
            <v>21208.33478713853</v>
          </cell>
          <cell r="AB140">
            <v>3124.4154796142466</v>
          </cell>
          <cell r="AC140">
            <v>0.14732016968673092</v>
          </cell>
          <cell r="AE140" t="str">
            <v>1-44-38866-03447-00-9004-0-01</v>
          </cell>
          <cell r="AK140">
            <v>0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42243</v>
          </cell>
          <cell r="Z141">
            <v>42275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42243</v>
          </cell>
          <cell r="Z142">
            <v>42275</v>
          </cell>
          <cell r="AA142">
            <v>21531.58031487167</v>
          </cell>
          <cell r="AB142">
            <v>3172.0360656103694</v>
          </cell>
          <cell r="AC142">
            <v>0.14732016968673092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42243</v>
          </cell>
          <cell r="Z143">
            <v>42275</v>
          </cell>
          <cell r="AA143">
            <v>62968.606999999996</v>
          </cell>
          <cell r="AB143">
            <v>8660.7158396816903</v>
          </cell>
          <cell r="AC143">
            <v>0.13754021650314879</v>
          </cell>
          <cell r="AL143">
            <v>107510</v>
          </cell>
          <cell r="AM143">
            <v>14786.948676253527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42243</v>
          </cell>
          <cell r="Z144">
            <v>42275</v>
          </cell>
          <cell r="AA144">
            <v>44541.393000000004</v>
          </cell>
          <cell r="AB144">
            <v>6126.2328365718367</v>
          </cell>
          <cell r="AC144">
            <v>0.13754021650314879</v>
          </cell>
          <cell r="AM144">
            <v>14786.948676253527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42243</v>
          </cell>
          <cell r="Z145">
            <v>42275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42243</v>
          </cell>
          <cell r="Z146">
            <v>42275</v>
          </cell>
          <cell r="AA146">
            <v>30401</v>
          </cell>
          <cell r="AB146">
            <v>4853.7538004200533</v>
          </cell>
          <cell r="AC146">
            <v>0.15965770206309179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42243</v>
          </cell>
          <cell r="AG147">
            <v>42275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42243</v>
          </cell>
          <cell r="AG148">
            <v>42275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42243</v>
          </cell>
          <cell r="Z149">
            <v>42275</v>
          </cell>
          <cell r="AA149">
            <v>199446.84003262068</v>
          </cell>
          <cell r="AB149">
            <v>28294.174350347585</v>
          </cell>
          <cell r="AC149">
            <v>0.1418632370696869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42243</v>
          </cell>
          <cell r="Z151">
            <v>42275</v>
          </cell>
          <cell r="AA151">
            <v>131842.21217724006</v>
          </cell>
          <cell r="AB151">
            <v>18703.563001891769</v>
          </cell>
          <cell r="AC151">
            <v>0.14186323706968693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42243</v>
          </cell>
          <cell r="Z152">
            <v>42275</v>
          </cell>
          <cell r="AA152">
            <v>119372.04260485215</v>
          </cell>
          <cell r="AB152">
            <v>16418.382521745501</v>
          </cell>
          <cell r="AC152">
            <v>0.13753959606851981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42243</v>
          </cell>
          <cell r="Z153">
            <v>42275</v>
          </cell>
          <cell r="AA153">
            <v>6756.0864999999994</v>
          </cell>
          <cell r="AB153">
            <v>958.43668913748161</v>
          </cell>
          <cell r="AC153">
            <v>0.14186270248870878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42243</v>
          </cell>
          <cell r="Z154">
            <v>42275</v>
          </cell>
          <cell r="AA154">
            <v>68730.913499999995</v>
          </cell>
          <cell r="AB154">
            <v>9750.3531336276774</v>
          </cell>
          <cell r="AC154">
            <v>0.14186270248870878</v>
          </cell>
          <cell r="AL154">
            <v>75487</v>
          </cell>
          <cell r="AM154">
            <v>10708.789822765159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42243</v>
          </cell>
          <cell r="Z155">
            <v>42275</v>
          </cell>
          <cell r="AA155">
            <v>3047.0057113965295</v>
          </cell>
          <cell r="AB155">
            <v>432.25809358853587</v>
          </cell>
          <cell r="AC155">
            <v>0.1418632370696869</v>
          </cell>
          <cell r="AM155">
            <v>10708.789822765159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42243</v>
          </cell>
          <cell r="Z156">
            <v>42275</v>
          </cell>
          <cell r="AA156">
            <v>2376.5354136493788</v>
          </cell>
          <cell r="AB156">
            <v>337.14300679104826</v>
          </cell>
          <cell r="AC156">
            <v>0.1418632370696869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42243</v>
          </cell>
          <cell r="Z157">
            <v>42275</v>
          </cell>
          <cell r="AA157">
            <v>90465.76048423443</v>
          </cell>
          <cell r="AB157">
            <v>12833.765626264461</v>
          </cell>
          <cell r="AC157">
            <v>0.1418632370696869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42243</v>
          </cell>
          <cell r="Z158">
            <v>42275</v>
          </cell>
          <cell r="AA158">
            <v>274758.1869063261</v>
          </cell>
          <cell r="AB158">
            <v>40477.422717858492</v>
          </cell>
          <cell r="AC158">
            <v>0.14732016968673092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42247</v>
          </cell>
          <cell r="Z159">
            <v>42277</v>
          </cell>
          <cell r="AA159">
            <v>13400</v>
          </cell>
          <cell r="AB159">
            <v>2405.86</v>
          </cell>
          <cell r="AC159">
            <v>0.17954179104477613</v>
          </cell>
          <cell r="AE159" t="str">
            <v>1-44-43997-03500-00-9001-1-01</v>
          </cell>
          <cell r="AF159">
            <v>42247</v>
          </cell>
          <cell r="AG159">
            <v>42277</v>
          </cell>
          <cell r="AH159">
            <v>13400</v>
          </cell>
          <cell r="AI159">
            <v>2405.86</v>
          </cell>
          <cell r="AK159">
            <v>2405.86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42243</v>
          </cell>
          <cell r="Z160">
            <v>42275</v>
          </cell>
          <cell r="AA160">
            <v>15755.313508034436</v>
          </cell>
          <cell r="AB160">
            <v>2235.0997752975295</v>
          </cell>
          <cell r="AC160">
            <v>0.1418632370696869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42243</v>
          </cell>
          <cell r="Z161">
            <v>42275</v>
          </cell>
          <cell r="AA161">
            <v>43792.32</v>
          </cell>
          <cell r="AB161">
            <v>7232.3794399999997</v>
          </cell>
          <cell r="AC161">
            <v>0.16515177638453499</v>
          </cell>
          <cell r="AE161" t="str">
            <v>1-63-00433-00746-00-0000-4-01</v>
          </cell>
          <cell r="AF161">
            <v>42243</v>
          </cell>
          <cell r="AG161">
            <v>42275</v>
          </cell>
          <cell r="AH161">
            <v>76560</v>
          </cell>
          <cell r="AI161">
            <v>12644.02</v>
          </cell>
          <cell r="AK161">
            <v>12644.02</v>
          </cell>
          <cell r="AL161">
            <v>76560</v>
          </cell>
          <cell r="AM161">
            <v>12644.02</v>
          </cell>
          <cell r="AN161" t="str">
            <v>#42</v>
          </cell>
          <cell r="AO161">
            <v>0.28399999999999997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42243</v>
          </cell>
          <cell r="Z162">
            <v>42275</v>
          </cell>
          <cell r="AA162">
            <v>40804.317038928071</v>
          </cell>
          <cell r="AB162">
            <v>5788.6325015601178</v>
          </cell>
          <cell r="AC162">
            <v>0.1418632370696869</v>
          </cell>
          <cell r="AL162">
            <v>76560</v>
          </cell>
          <cell r="AM162">
            <v>12644.02</v>
          </cell>
          <cell r="AN162" t="str">
            <v>#52</v>
          </cell>
          <cell r="AO162">
            <v>0.14399999999999999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42243</v>
          </cell>
          <cell r="Z163">
            <v>42275</v>
          </cell>
          <cell r="AC163">
            <v>0</v>
          </cell>
          <cell r="AN163" t="str">
            <v>#261</v>
          </cell>
          <cell r="AO163">
            <v>0.57199999999999995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42243</v>
          </cell>
          <cell r="Z164">
            <v>42275</v>
          </cell>
          <cell r="AA164">
            <v>22258.978689804197</v>
          </cell>
          <cell r="AB164">
            <v>3279.1965176352819</v>
          </cell>
          <cell r="AC164">
            <v>0.14732016968673092</v>
          </cell>
          <cell r="AO164">
            <v>0.99999999999999989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42243</v>
          </cell>
          <cell r="Z165">
            <v>42275</v>
          </cell>
          <cell r="AA165">
            <v>7551.1153028804229</v>
          </cell>
          <cell r="AB165">
            <v>1112.4315877444144</v>
          </cell>
          <cell r="AC165">
            <v>0.14732016968673092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42243</v>
          </cell>
          <cell r="Z166">
            <v>42275</v>
          </cell>
          <cell r="AA166">
            <v>5670</v>
          </cell>
          <cell r="AB166">
            <v>1201.3800000000001</v>
          </cell>
          <cell r="AC166">
            <v>0.2118835978835979</v>
          </cell>
          <cell r="AE166" t="str">
            <v>1-63-96497-01102-00-0000-1-01</v>
          </cell>
          <cell r="AF166">
            <v>42243</v>
          </cell>
          <cell r="AG166">
            <v>42275</v>
          </cell>
          <cell r="AH166">
            <v>5670</v>
          </cell>
          <cell r="AI166">
            <v>1201.3800000000001</v>
          </cell>
          <cell r="AK166">
            <v>1201.3800000000001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42243</v>
          </cell>
          <cell r="Z167">
            <v>42275</v>
          </cell>
          <cell r="AA167">
            <v>5520</v>
          </cell>
          <cell r="AB167">
            <v>1084.49</v>
          </cell>
          <cell r="AC167">
            <v>0.19646557971014492</v>
          </cell>
          <cell r="AE167" t="str">
            <v>1-63-43981-02653-00-0000-0-01</v>
          </cell>
          <cell r="AF167">
            <v>42243</v>
          </cell>
          <cell r="AG167">
            <v>42275</v>
          </cell>
          <cell r="AH167">
            <v>5520</v>
          </cell>
          <cell r="AI167">
            <v>1084.49</v>
          </cell>
          <cell r="AK167">
            <v>1084.49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42243</v>
          </cell>
          <cell r="Z168">
            <v>42275</v>
          </cell>
          <cell r="AA168">
            <v>104960</v>
          </cell>
          <cell r="AB168">
            <v>18522.849999999999</v>
          </cell>
          <cell r="AC168">
            <v>0.17647532393292681</v>
          </cell>
          <cell r="AE168" t="str">
            <v>1-63-34103-03500-00-9001-6-01</v>
          </cell>
          <cell r="AF168">
            <v>42243</v>
          </cell>
          <cell r="AG168">
            <v>42275</v>
          </cell>
          <cell r="AH168">
            <v>69600</v>
          </cell>
          <cell r="AI168">
            <v>12771.78</v>
          </cell>
          <cell r="AK168">
            <v>12771.78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42243</v>
          </cell>
          <cell r="Z169">
            <v>42275</v>
          </cell>
          <cell r="AA169">
            <v>23807.410471842049</v>
          </cell>
          <cell r="AB169">
            <v>3507.3117505134255</v>
          </cell>
          <cell r="AC169">
            <v>0.14732016968673092</v>
          </cell>
          <cell r="AE169" t="str">
            <v>1-63-34103-03500-00-0000-4-01</v>
          </cell>
          <cell r="AF169">
            <v>42243</v>
          </cell>
          <cell r="AG169">
            <v>42275</v>
          </cell>
          <cell r="AH169">
            <v>35360</v>
          </cell>
          <cell r="AI169">
            <v>5751.07</v>
          </cell>
          <cell r="AK169">
            <v>5751.07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42243</v>
          </cell>
          <cell r="Z170">
            <v>42275</v>
          </cell>
          <cell r="AA170">
            <v>99555.508210072454</v>
          </cell>
          <cell r="AB170">
            <v>13692.824385609574</v>
          </cell>
          <cell r="AC170">
            <v>0.13753959606851981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42243</v>
          </cell>
          <cell r="Z171">
            <v>42275</v>
          </cell>
          <cell r="AA171">
            <v>53477.599070865726</v>
          </cell>
          <cell r="AB171">
            <v>7355.2873749211221</v>
          </cell>
          <cell r="AC171">
            <v>0.13753959606851981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42247</v>
          </cell>
          <cell r="Z172">
            <v>42277</v>
          </cell>
          <cell r="AA172">
            <v>1599345.97</v>
          </cell>
          <cell r="AB172">
            <v>225342.4833655337</v>
          </cell>
          <cell r="AC172">
            <v>0.14089664624942513</v>
          </cell>
          <cell r="AE172" t="str">
            <v>1-44-38866-03430-00-0000-1-01</v>
          </cell>
          <cell r="AF172">
            <v>42247</v>
          </cell>
          <cell r="AG172">
            <v>42277</v>
          </cell>
          <cell r="AH172">
            <v>198720</v>
          </cell>
          <cell r="AI172">
            <v>32318.59</v>
          </cell>
          <cell r="AK172">
            <v>32318.59</v>
          </cell>
        </row>
        <row r="173">
          <cell r="R173" t="str">
            <v>2811</v>
          </cell>
          <cell r="S173" t="str">
            <v>CAL URBAN MARKET</v>
          </cell>
          <cell r="Y173">
            <v>42247</v>
          </cell>
          <cell r="Z173">
            <v>42277</v>
          </cell>
          <cell r="AA173">
            <v>18429</v>
          </cell>
          <cell r="AB173">
            <v>2596.5842937306556</v>
          </cell>
          <cell r="AC173">
            <v>0.14089664624942513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42243</v>
          </cell>
          <cell r="Z174">
            <v>42275</v>
          </cell>
          <cell r="AA174">
            <v>18132</v>
          </cell>
          <cell r="AB174">
            <v>1636.4464808169082</v>
          </cell>
          <cell r="AC174">
            <v>9.0251846504351876E-2</v>
          </cell>
          <cell r="AE174" t="str">
            <v>1-44-38866-03434-00-9003-0-01</v>
          </cell>
          <cell r="AF174">
            <v>42247</v>
          </cell>
          <cell r="AG174">
            <v>42277</v>
          </cell>
          <cell r="AH174">
            <v>985249.97</v>
          </cell>
          <cell r="AI174">
            <v>131192.29999999999</v>
          </cell>
          <cell r="AK174">
            <v>131192.29999999999</v>
          </cell>
          <cell r="AL174">
            <v>0.14089664624942513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42243</v>
          </cell>
          <cell r="Z175">
            <v>42275</v>
          </cell>
          <cell r="AA175">
            <v>748433.96</v>
          </cell>
          <cell r="AB175">
            <v>119493.24619957995</v>
          </cell>
          <cell r="AC175">
            <v>0.15965770206309179</v>
          </cell>
          <cell r="AE175" t="str">
            <v>1-63-34103-03400-00-9001-0-01</v>
          </cell>
          <cell r="AF175">
            <v>42243</v>
          </cell>
          <cell r="AG175">
            <v>42275</v>
          </cell>
          <cell r="AH175">
            <v>778834.96</v>
          </cell>
          <cell r="AI175">
            <v>124347</v>
          </cell>
          <cell r="AK175">
            <v>124347</v>
          </cell>
          <cell r="AL175">
            <v>778834.96</v>
          </cell>
          <cell r="AM175">
            <v>0.15965770206309179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42243</v>
          </cell>
          <cell r="Z176">
            <v>42275</v>
          </cell>
          <cell r="AA176">
            <v>335929.95044125809</v>
          </cell>
          <cell r="AB176">
            <v>47656.11019825637</v>
          </cell>
          <cell r="AC176">
            <v>0.1418632370696869</v>
          </cell>
          <cell r="AE176" t="str">
            <v>1-44-38866-03434-00-9003-3-01</v>
          </cell>
          <cell r="AF176">
            <v>42247</v>
          </cell>
          <cell r="AG176">
            <v>42277</v>
          </cell>
          <cell r="AH176">
            <v>491400</v>
          </cell>
          <cell r="AI176">
            <v>72543.12</v>
          </cell>
          <cell r="AK176">
            <v>72543.12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42243</v>
          </cell>
          <cell r="Z177">
            <v>42275</v>
          </cell>
          <cell r="AA177">
            <v>485990.69677703199</v>
          </cell>
          <cell r="AB177">
            <v>71596.231915364944</v>
          </cell>
          <cell r="AC177">
            <v>0.14732016968673092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42243</v>
          </cell>
          <cell r="Z178">
            <v>42275</v>
          </cell>
          <cell r="AA178">
            <v>11776.971754875671</v>
          </cell>
          <cell r="AB178">
            <v>1734.9854773241211</v>
          </cell>
          <cell r="AC178">
            <v>0.14732016968673092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42243</v>
          </cell>
          <cell r="Z179">
            <v>42275</v>
          </cell>
          <cell r="AA179">
            <v>11838.243859261969</v>
          </cell>
          <cell r="AB179">
            <v>1744.0120941393736</v>
          </cell>
          <cell r="AC179">
            <v>0.14732016968673092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42243</v>
          </cell>
          <cell r="Z180">
            <v>42275</v>
          </cell>
          <cell r="AA180">
            <v>127053.27282189981</v>
          </cell>
          <cell r="AB180">
            <v>18717.509711376799</v>
          </cell>
          <cell r="AC180">
            <v>0.14732016968673092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42243</v>
          </cell>
          <cell r="Z181">
            <v>42275</v>
          </cell>
          <cell r="AA181">
            <v>3825.1340215860041</v>
          </cell>
          <cell r="AB181">
            <v>526.10738823689178</v>
          </cell>
          <cell r="AC181">
            <v>0.13753959606851981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42243</v>
          </cell>
          <cell r="Z182">
            <v>42275</v>
          </cell>
          <cell r="AA182">
            <v>296732.80724949698</v>
          </cell>
          <cell r="AB182">
            <v>40812.51044937376</v>
          </cell>
          <cell r="AC182">
            <v>0.13753959606851981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42243</v>
          </cell>
          <cell r="Z183">
            <v>42275</v>
          </cell>
          <cell r="AA183">
            <v>262329.72454244079</v>
          </cell>
          <cell r="AB183">
            <v>37214.943903189938</v>
          </cell>
          <cell r="AC183">
            <v>0.1418632370696869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42243</v>
          </cell>
          <cell r="Z184">
            <v>42275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42243</v>
          </cell>
          <cell r="Z185">
            <v>42275</v>
          </cell>
          <cell r="AA185">
            <v>35250.071903516073</v>
          </cell>
          <cell r="AB185">
            <v>5193.0465742954539</v>
          </cell>
          <cell r="AC185">
            <v>0.14732016968673092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42243</v>
          </cell>
          <cell r="Z186">
            <v>42275</v>
          </cell>
          <cell r="AA186">
            <v>8961.5889125161411</v>
          </cell>
          <cell r="AB186">
            <v>1320.2227992546043</v>
          </cell>
          <cell r="AC186">
            <v>0.14732016968673092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42243</v>
          </cell>
          <cell r="Z187">
            <v>42275</v>
          </cell>
          <cell r="AA187">
            <v>9129.3516784924032</v>
          </cell>
          <cell r="AB187">
            <v>1344.9376384053426</v>
          </cell>
          <cell r="AC187">
            <v>0.14732016968673092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42243</v>
          </cell>
          <cell r="Z188">
            <v>42275</v>
          </cell>
          <cell r="AA188">
            <v>5332.1441237799982</v>
          </cell>
          <cell r="AB188">
            <v>785.53237710937447</v>
          </cell>
          <cell r="AC188">
            <v>0.14732016968673092</v>
          </cell>
        </row>
        <row r="189">
          <cell r="R189">
            <v>3160</v>
          </cell>
          <cell r="S189" t="str">
            <v>Campus Develpmt &amp; Facilities</v>
          </cell>
          <cell r="Y189">
            <v>42247</v>
          </cell>
          <cell r="Z189">
            <v>42277</v>
          </cell>
          <cell r="AA189">
            <v>57595</v>
          </cell>
          <cell r="AB189">
            <v>8114.9423407356408</v>
          </cell>
          <cell r="AC189">
            <v>0.14089664624942513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42243</v>
          </cell>
          <cell r="Z190">
            <v>42275</v>
          </cell>
          <cell r="AA190">
            <v>178266.96646048219</v>
          </cell>
          <cell r="AB190">
            <v>26262.319748497008</v>
          </cell>
          <cell r="AC190">
            <v>0.14732016968673092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42243</v>
          </cell>
          <cell r="Z191">
            <v>42275</v>
          </cell>
          <cell r="AA191">
            <v>136930.50614924476</v>
          </cell>
          <cell r="AB191">
            <v>18833.366505225091</v>
          </cell>
          <cell r="AC191">
            <v>0.13753959606851981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42243</v>
          </cell>
          <cell r="Z192">
            <v>42275</v>
          </cell>
          <cell r="AA192">
            <v>119835.63003519355</v>
          </cell>
          <cell r="AB192">
            <v>16482.144149657102</v>
          </cell>
          <cell r="AC192">
            <v>0.13753959606851981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42243</v>
          </cell>
          <cell r="Z193">
            <v>42275</v>
          </cell>
          <cell r="AA193">
            <v>82905.442444466258</v>
          </cell>
          <cell r="AB193">
            <v>12213.643848872274</v>
          </cell>
          <cell r="AC193">
            <v>0.14732016968673092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42243</v>
          </cell>
          <cell r="Z194">
            <v>42275</v>
          </cell>
          <cell r="AA194">
            <v>100988.85802562853</v>
          </cell>
          <cell r="AB194">
            <v>13889.966740266043</v>
          </cell>
          <cell r="AC194">
            <v>0.13753959606851981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42243</v>
          </cell>
          <cell r="Z195">
            <v>42275</v>
          </cell>
          <cell r="AA195">
            <v>4207.8481730184922</v>
          </cell>
          <cell r="AB195">
            <v>578.74573803462249</v>
          </cell>
          <cell r="AC195">
            <v>0.13753959606851981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42243</v>
          </cell>
          <cell r="Z196">
            <v>42275</v>
          </cell>
          <cell r="AA196">
            <v>15487.806480413266</v>
          </cell>
          <cell r="AB196">
            <v>2130.1866473034443</v>
          </cell>
          <cell r="AC196">
            <v>0.13753959606851981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42243</v>
          </cell>
          <cell r="Z197">
            <v>42275</v>
          </cell>
          <cell r="AA197">
            <v>107734.1991337933</v>
          </cell>
          <cell r="AB197">
            <v>15283.522232230176</v>
          </cell>
          <cell r="AC197">
            <v>0.1418632370696869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42243</v>
          </cell>
          <cell r="Z198">
            <v>42275</v>
          </cell>
          <cell r="AA198">
            <v>45179.981107321044</v>
          </cell>
          <cell r="AB198">
            <v>6409.37837063186</v>
          </cell>
          <cell r="AC198">
            <v>0.1418632370696869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42243</v>
          </cell>
          <cell r="Z199">
            <v>42275</v>
          </cell>
          <cell r="AA199">
            <v>53805.610638720646</v>
          </cell>
          <cell r="AB199">
            <v>7633.0380977200948</v>
          </cell>
          <cell r="AC199">
            <v>0.1418632370696869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42243</v>
          </cell>
          <cell r="Z200">
            <v>42275</v>
          </cell>
          <cell r="AA200">
            <v>98969.189516148981</v>
          </cell>
          <cell r="AB200">
            <v>14040.089594924213</v>
          </cell>
          <cell r="AC200">
            <v>0.1418632370696869</v>
          </cell>
        </row>
        <row r="201">
          <cell r="R201" t="str">
            <v>5010</v>
          </cell>
          <cell r="S201" t="str">
            <v>Brian Kennedy Field</v>
          </cell>
          <cell r="Y201">
            <v>42243</v>
          </cell>
          <cell r="Z201">
            <v>42275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42243</v>
          </cell>
          <cell r="Z202">
            <v>42275</v>
          </cell>
          <cell r="AA202">
            <v>2208.6721897769239</v>
          </cell>
          <cell r="AB202">
            <v>303.77988082969125</v>
          </cell>
          <cell r="AC202">
            <v>0.13753959606851981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42243</v>
          </cell>
          <cell r="Z203">
            <v>42275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42243</v>
          </cell>
          <cell r="Z205">
            <v>42275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42243</v>
          </cell>
          <cell r="AG205">
            <v>42275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42243</v>
          </cell>
          <cell r="Z206">
            <v>42275</v>
          </cell>
          <cell r="AC206">
            <v>0</v>
          </cell>
          <cell r="AE206" t="str">
            <v>1-63-43981-03000-00-0000-3-01</v>
          </cell>
          <cell r="AF206">
            <v>42243</v>
          </cell>
          <cell r="AG206">
            <v>42275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42243</v>
          </cell>
          <cell r="AG209">
            <v>42275</v>
          </cell>
          <cell r="AK209">
            <v>0</v>
          </cell>
        </row>
        <row r="212">
          <cell r="AA212">
            <v>15566105.982819635</v>
          </cell>
          <cell r="AB212">
            <v>2233181.0299999993</v>
          </cell>
          <cell r="AC212">
            <v>0.1434643341414204</v>
          </cell>
        </row>
        <row r="216">
          <cell r="Z216" t="str">
            <v>ALLOCATED DWP PAYMENT:</v>
          </cell>
          <cell r="AA216">
            <v>15566105.982819635</v>
          </cell>
          <cell r="AB216">
            <v>2233181.0299999993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5588424.7323822705</v>
          </cell>
          <cell r="AB218">
            <v>791837.22748489876</v>
          </cell>
          <cell r="AC218">
            <v>0.14169238477823234</v>
          </cell>
          <cell r="AN218">
            <v>29971.237484898767</v>
          </cell>
        </row>
        <row r="219">
          <cell r="S219">
            <v>1656479</v>
          </cell>
          <cell r="Z219" t="str">
            <v>Jefferson 1</v>
          </cell>
          <cell r="AA219">
            <v>4115192.9426959837</v>
          </cell>
          <cell r="AB219">
            <v>566031.07847988559</v>
          </cell>
          <cell r="AC219">
            <v>0.137546668251492</v>
          </cell>
          <cell r="AN219">
            <v>-30034.461520114448</v>
          </cell>
        </row>
        <row r="220">
          <cell r="S220">
            <v>1134280</v>
          </cell>
          <cell r="Z220" t="str">
            <v>Jefferson 2</v>
          </cell>
          <cell r="AA220">
            <v>2872763.3797413805</v>
          </cell>
          <cell r="AB220">
            <v>422156.30403521599</v>
          </cell>
          <cell r="AC220">
            <v>0.14695129679396723</v>
          </cell>
          <cell r="AN220">
            <v>27.224035215971526</v>
          </cell>
        </row>
        <row r="221">
          <cell r="S221">
            <v>8943554</v>
          </cell>
          <cell r="W221">
            <v>0</v>
          </cell>
          <cell r="AA221">
            <v>12576381.054819634</v>
          </cell>
          <cell r="AB221">
            <v>1780024.6100000003</v>
          </cell>
          <cell r="AC221">
            <v>0.14153710850848014</v>
          </cell>
          <cell r="AD221">
            <v>1780024.6100000003</v>
          </cell>
          <cell r="AN221">
            <v>-35.999999999708962</v>
          </cell>
        </row>
        <row r="223">
          <cell r="X223" t="str">
            <v>DWP :</v>
          </cell>
          <cell r="Z223" t="str">
            <v>Biegler Vault</v>
          </cell>
          <cell r="AA223">
            <v>5370580.8899999997</v>
          </cell>
          <cell r="AB223">
            <v>761887.99</v>
          </cell>
          <cell r="AC223">
            <v>0.1418632370696869</v>
          </cell>
          <cell r="AD223">
            <v>29949.237484898767</v>
          </cell>
          <cell r="AE223" t="str">
            <v>1-63-96675-00946-00-0000-0-01</v>
          </cell>
          <cell r="AF223">
            <v>42243</v>
          </cell>
          <cell r="AG223">
            <v>42275</v>
          </cell>
          <cell r="AH223">
            <v>5370580.8899999997</v>
          </cell>
          <cell r="AI223">
            <v>761887.99</v>
          </cell>
          <cell r="AK223">
            <v>761887.99</v>
          </cell>
        </row>
        <row r="224">
          <cell r="Z224" t="str">
            <v>Jefferson 6</v>
          </cell>
          <cell r="AA224">
            <v>4333934.0599999996</v>
          </cell>
          <cell r="AB224">
            <v>596087.54</v>
          </cell>
          <cell r="AC224">
            <v>0.13753959606851981</v>
          </cell>
          <cell r="AD224">
            <v>-30056.461520114448</v>
          </cell>
          <cell r="AE224" t="str">
            <v>1-63-45784-00912-00-9006-0-01</v>
          </cell>
          <cell r="AF224">
            <v>42243</v>
          </cell>
          <cell r="AG224">
            <v>42275</v>
          </cell>
          <cell r="AH224">
            <v>4333934.0599999996</v>
          </cell>
          <cell r="AI224">
            <v>596087.54</v>
          </cell>
          <cell r="AK224">
            <v>596087.54</v>
          </cell>
        </row>
        <row r="225">
          <cell r="Z225" t="str">
            <v>Jefferson 5</v>
          </cell>
          <cell r="AA225">
            <v>2864638.84</v>
          </cell>
          <cell r="AB225">
            <v>422129.08</v>
          </cell>
          <cell r="AC225">
            <v>0.14735856894267343</v>
          </cell>
          <cell r="AD225">
            <v>27.224035215971526</v>
          </cell>
          <cell r="AE225" t="str">
            <v>1-63-45784-00912-00-9005-0-01</v>
          </cell>
          <cell r="AF225">
            <v>42243</v>
          </cell>
          <cell r="AG225">
            <v>42275</v>
          </cell>
          <cell r="AH225">
            <v>2864638.84</v>
          </cell>
          <cell r="AI225">
            <v>422129.08</v>
          </cell>
          <cell r="AK225">
            <v>422129.08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42275</v>
          </cell>
          <cell r="Z9">
            <v>42305</v>
          </cell>
          <cell r="AA9">
            <v>45599.149851827126</v>
          </cell>
          <cell r="AB9">
            <v>6170.3041055921612</v>
          </cell>
          <cell r="AC9">
            <v>0.13531620930746194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42275</v>
          </cell>
          <cell r="Z10">
            <v>42305</v>
          </cell>
          <cell r="AA10">
            <v>34564.530531729404</v>
          </cell>
          <cell r="AB10">
            <v>4677.1412480456547</v>
          </cell>
          <cell r="AC10">
            <v>0.13531620930746194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42275</v>
          </cell>
          <cell r="Z11">
            <v>42339</v>
          </cell>
          <cell r="AA11">
            <v>4770.961815351121</v>
          </cell>
          <cell r="AB11">
            <v>645.58846760396091</v>
          </cell>
          <cell r="AC11">
            <v>0.13531620930746194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42275</v>
          </cell>
          <cell r="Z12">
            <v>42305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42275</v>
          </cell>
          <cell r="Z13">
            <v>42305</v>
          </cell>
          <cell r="AA13">
            <v>111767.29879607244</v>
          </cell>
          <cell r="AB13">
            <v>15443.130881580018</v>
          </cell>
          <cell r="AC13">
            <v>0.1381721760114927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42275</v>
          </cell>
          <cell r="Z14">
            <v>42305</v>
          </cell>
          <cell r="AA14">
            <v>47218.880495745849</v>
          </cell>
          <cell r="AB14">
            <v>6524.3354669238352</v>
          </cell>
          <cell r="AC14">
            <v>0.1381721760114927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42275</v>
          </cell>
          <cell r="Z15">
            <v>42305</v>
          </cell>
          <cell r="AA15">
            <v>127390.14072581468</v>
          </cell>
          <cell r="AB15">
            <v>17601.77294649609</v>
          </cell>
          <cell r="AC15">
            <v>0.1381721760114927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42275</v>
          </cell>
          <cell r="Z16">
            <v>42305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42275</v>
          </cell>
          <cell r="Z17">
            <v>42305</v>
          </cell>
          <cell r="AA17">
            <v>193709.28881702194</v>
          </cell>
          <cell r="AB17">
            <v>26212.006670363735</v>
          </cell>
          <cell r="AC17">
            <v>0.13531620930746194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42275</v>
          </cell>
          <cell r="Z18">
            <v>42305</v>
          </cell>
          <cell r="AA18">
            <v>198311.36489218107</v>
          </cell>
          <cell r="AB18">
            <v>26834.742159798832</v>
          </cell>
          <cell r="AC18">
            <v>0.13531620930746194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42275</v>
          </cell>
          <cell r="Z19">
            <v>42305</v>
          </cell>
          <cell r="AA19">
            <v>51717.013663754362</v>
          </cell>
          <cell r="AB19">
            <v>6998.1502456814542</v>
          </cell>
          <cell r="AC19">
            <v>0.13531620930746194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42275</v>
          </cell>
          <cell r="Z20">
            <v>42305</v>
          </cell>
          <cell r="AA20">
            <v>29263.994659788379</v>
          </cell>
          <cell r="AB20">
            <v>3940.5196020332514</v>
          </cell>
          <cell r="AC20">
            <v>0.13465419358649333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42275</v>
          </cell>
          <cell r="Z21">
            <v>42305</v>
          </cell>
          <cell r="AA21">
            <v>1846.756168925315</v>
          </cell>
          <cell r="AB21">
            <v>255.17031842305857</v>
          </cell>
          <cell r="AC21">
            <v>0.1381721760114927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42275</v>
          </cell>
          <cell r="Z22">
            <v>42305</v>
          </cell>
          <cell r="AA22">
            <v>13000.926822523817</v>
          </cell>
          <cell r="AB22">
            <v>1796.3663492342976</v>
          </cell>
          <cell r="AC22">
            <v>0.1381721760114927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42275</v>
          </cell>
          <cell r="Z23">
            <v>42305</v>
          </cell>
          <cell r="AA23">
            <v>95720.264548462394</v>
          </cell>
          <cell r="AB23">
            <v>13225.877241056791</v>
          </cell>
          <cell r="AC23">
            <v>0.1381721760114927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42275</v>
          </cell>
          <cell r="Z24">
            <v>42305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42275</v>
          </cell>
          <cell r="Z25">
            <v>42305</v>
          </cell>
          <cell r="AA25">
            <v>169975.49172371018</v>
          </cell>
          <cell r="AB25">
            <v>23000.439215224331</v>
          </cell>
          <cell r="AC25">
            <v>0.13531620930746194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42275</v>
          </cell>
          <cell r="Z26">
            <v>42305</v>
          </cell>
          <cell r="AA26">
            <v>176725.53050499817</v>
          </cell>
          <cell r="AB26">
            <v>23913.828875786581</v>
          </cell>
          <cell r="AC26">
            <v>0.13531620930746194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42275</v>
          </cell>
          <cell r="Z27">
            <v>42305</v>
          </cell>
          <cell r="AA27">
            <v>5439.8745429737764</v>
          </cell>
          <cell r="AB27">
            <v>732.5019197958278</v>
          </cell>
          <cell r="AC27">
            <v>0.13465419358649333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42275</v>
          </cell>
          <cell r="Z28">
            <v>42305</v>
          </cell>
          <cell r="AA28">
            <v>45344.493649965501</v>
          </cell>
          <cell r="AB28">
            <v>6135.8449936796105</v>
          </cell>
          <cell r="AC28">
            <v>0.13531620930746194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42275</v>
          </cell>
          <cell r="Z29">
            <v>42305</v>
          </cell>
          <cell r="AA29">
            <v>361174.07973121328</v>
          </cell>
          <cell r="AB29">
            <v>48633.604450550367</v>
          </cell>
          <cell r="AC29">
            <v>0.13465419358649333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42275</v>
          </cell>
          <cell r="Z30">
            <v>42305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42275</v>
          </cell>
          <cell r="Z31">
            <v>42305</v>
          </cell>
          <cell r="AA31">
            <v>52831.586966350282</v>
          </cell>
          <cell r="AB31">
            <v>7113.9947388485889</v>
          </cell>
          <cell r="AC31">
            <v>0.13465419358649333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42275</v>
          </cell>
          <cell r="Z32">
            <v>42305</v>
          </cell>
          <cell r="AA32">
            <v>86166.3253389069</v>
          </cell>
          <cell r="AB32">
            <v>11659.700514814387</v>
          </cell>
          <cell r="AC32">
            <v>0.13531620930746194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42275</v>
          </cell>
          <cell r="Z33">
            <v>42305</v>
          </cell>
          <cell r="AA33">
            <v>154346.35957741857</v>
          </cell>
          <cell r="AB33">
            <v>20885.564298422752</v>
          </cell>
          <cell r="AC33">
            <v>0.13531620930746194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42275</v>
          </cell>
          <cell r="Z34">
            <v>42305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42275</v>
          </cell>
          <cell r="Z35">
            <v>42305</v>
          </cell>
          <cell r="AA35">
            <v>116026.89746690968</v>
          </cell>
          <cell r="AB35">
            <v>15623.508312749469</v>
          </cell>
          <cell r="AC35">
            <v>0.13465419358649333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42275</v>
          </cell>
          <cell r="Z36">
            <v>42305</v>
          </cell>
          <cell r="AA36">
            <v>141913.98528001356</v>
          </cell>
          <cell r="AB36">
            <v>19608.564152602419</v>
          </cell>
          <cell r="AC36">
            <v>0.1381721760114927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42275</v>
          </cell>
          <cell r="Z37">
            <v>42305</v>
          </cell>
          <cell r="AA37">
            <v>192071.16995747515</v>
          </cell>
          <cell r="AB37">
            <v>25863.188501838122</v>
          </cell>
          <cell r="AC37">
            <v>0.13465419358649333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42275</v>
          </cell>
          <cell r="Z38">
            <v>42305</v>
          </cell>
          <cell r="AA38">
            <v>58260.398515481029</v>
          </cell>
          <cell r="AB38">
            <v>7845.0069801298314</v>
          </cell>
          <cell r="AC38">
            <v>0.13465419358649333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42275</v>
          </cell>
          <cell r="Z39">
            <v>42305</v>
          </cell>
          <cell r="AA39">
            <v>19902.251675321717</v>
          </cell>
          <cell r="AB39">
            <v>2679.9216498958817</v>
          </cell>
          <cell r="AC39">
            <v>0.13465419358649333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42275</v>
          </cell>
          <cell r="Z40">
            <v>42305</v>
          </cell>
          <cell r="AA40">
            <v>51598.471518397499</v>
          </cell>
          <cell r="AB40">
            <v>6947.9505726054595</v>
          </cell>
          <cell r="AC40">
            <v>0.13465419358649333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42275</v>
          </cell>
          <cell r="Z41">
            <v>42305</v>
          </cell>
          <cell r="AA41">
            <v>45899.050190496673</v>
          </cell>
          <cell r="AB41">
            <v>6341.9716416816436</v>
          </cell>
          <cell r="AC41">
            <v>0.1381721760114927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42275</v>
          </cell>
          <cell r="Z42">
            <v>42305</v>
          </cell>
          <cell r="AA42">
            <v>17476.560000000001</v>
          </cell>
          <cell r="AB42">
            <v>2653.9158600000001</v>
          </cell>
          <cell r="AC42">
            <v>0.15185573476702507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42275</v>
          </cell>
          <cell r="Z43">
            <v>42305</v>
          </cell>
          <cell r="AA43">
            <v>48236.390397930802</v>
          </cell>
          <cell r="AB43">
            <v>6527.1654993228512</v>
          </cell>
          <cell r="AC43">
            <v>0.13531620930746194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42275</v>
          </cell>
          <cell r="Z44">
            <v>42305</v>
          </cell>
          <cell r="AA44">
            <v>15641.040240407132</v>
          </cell>
          <cell r="AB44">
            <v>2116.4862749573663</v>
          </cell>
          <cell r="AC44">
            <v>0.13531620930746194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42275</v>
          </cell>
          <cell r="Z45">
            <v>42305</v>
          </cell>
          <cell r="AA45">
            <v>8881.5224059548254</v>
          </cell>
          <cell r="AB45">
            <v>1227.1792771256062</v>
          </cell>
          <cell r="AC45">
            <v>0.1381721760114927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42275</v>
          </cell>
          <cell r="Z46">
            <v>42305</v>
          </cell>
          <cell r="AA46">
            <v>0</v>
          </cell>
          <cell r="AB46">
            <v>0</v>
          </cell>
          <cell r="AC46">
            <v>0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42275</v>
          </cell>
          <cell r="Z47">
            <v>42305</v>
          </cell>
          <cell r="AA47">
            <v>294594.75533546216</v>
          </cell>
          <cell r="AB47">
            <v>39668.419214506961</v>
          </cell>
          <cell r="AC47">
            <v>0.13465419358649333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42275</v>
          </cell>
          <cell r="Z48">
            <v>42305</v>
          </cell>
          <cell r="AA48">
            <v>13308.113358632023</v>
          </cell>
          <cell r="AB48">
            <v>1791.9932724642345</v>
          </cell>
          <cell r="AC48">
            <v>0.13465419358649333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42275</v>
          </cell>
          <cell r="Z49">
            <v>42305</v>
          </cell>
          <cell r="AA49">
            <v>48035.742011258393</v>
          </cell>
          <cell r="AB49">
            <v>6468.214103854838</v>
          </cell>
          <cell r="AC49">
            <v>0.13465419358649333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42275</v>
          </cell>
          <cell r="Z50">
            <v>42305</v>
          </cell>
          <cell r="AA50">
            <v>9843.119999999999</v>
          </cell>
          <cell r="AB50">
            <v>1494.7342200000001</v>
          </cell>
          <cell r="AC50">
            <v>0.1518557347670251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42275</v>
          </cell>
          <cell r="Z51">
            <v>42305</v>
          </cell>
          <cell r="AA51">
            <v>95440.299387217747</v>
          </cell>
          <cell r="AB51">
            <v>12851.436549639298</v>
          </cell>
          <cell r="AC51">
            <v>0.13465419358649333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42275</v>
          </cell>
          <cell r="Z52">
            <v>42305</v>
          </cell>
          <cell r="AA52">
            <v>115222.26884760187</v>
          </cell>
          <cell r="AB52">
            <v>15515.161694879962</v>
          </cell>
          <cell r="AC52">
            <v>0.13465419358649333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42275</v>
          </cell>
          <cell r="Z53">
            <v>42305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42275</v>
          </cell>
          <cell r="Z55">
            <v>42305</v>
          </cell>
          <cell r="AA55">
            <v>429002.44688628108</v>
          </cell>
          <cell r="AB55">
            <v>58050.984896277332</v>
          </cell>
          <cell r="AC55">
            <v>0.13531620930746194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42275</v>
          </cell>
          <cell r="Z56">
            <v>42305</v>
          </cell>
          <cell r="AA56">
            <v>4996.3305424962664</v>
          </cell>
          <cell r="AB56">
            <v>676.08450945768959</v>
          </cell>
          <cell r="AC56">
            <v>0.13531620930746194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42275</v>
          </cell>
          <cell r="Z57">
            <v>42305</v>
          </cell>
          <cell r="AA57">
            <v>78839.20052568629</v>
          </cell>
          <cell r="AB57">
            <v>10616.028969790128</v>
          </cell>
          <cell r="AC57">
            <v>0.13465419358649333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42275</v>
          </cell>
          <cell r="Z58">
            <v>42305</v>
          </cell>
          <cell r="AA58">
            <v>558306.68074429373</v>
          </cell>
          <cell r="AB58">
            <v>75178.335869574657</v>
          </cell>
          <cell r="AC58">
            <v>0.13465419358649333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42275</v>
          </cell>
          <cell r="Z59">
            <v>42305</v>
          </cell>
          <cell r="AA59">
            <v>17881.692976407838</v>
          </cell>
          <cell r="AB59">
            <v>2419.6829095673752</v>
          </cell>
          <cell r="AC59">
            <v>0.13531620930746194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42275</v>
          </cell>
          <cell r="Z60">
            <v>42305</v>
          </cell>
          <cell r="AA60">
            <v>48319.666596643838</v>
          </cell>
          <cell r="AB60">
            <v>6538.4341188582348</v>
          </cell>
          <cell r="AC60">
            <v>0.13531620930746194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42275</v>
          </cell>
          <cell r="Z61">
            <v>42305</v>
          </cell>
          <cell r="AA61">
            <v>155483.01934478001</v>
          </cell>
          <cell r="AB61">
            <v>21039.372789414399</v>
          </cell>
          <cell r="AC61">
            <v>0.13531620930746191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42275</v>
          </cell>
          <cell r="Z62">
            <v>42305</v>
          </cell>
          <cell r="AA62">
            <v>0</v>
          </cell>
          <cell r="AB62">
            <v>0</v>
          </cell>
          <cell r="AC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42275</v>
          </cell>
          <cell r="Z63">
            <v>42305</v>
          </cell>
          <cell r="AA63">
            <v>21068.797814303707</v>
          </cell>
          <cell r="AB63">
            <v>2850.9498548969168</v>
          </cell>
          <cell r="AC63">
            <v>0.13531620930746194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42275</v>
          </cell>
          <cell r="Z64">
            <v>42305</v>
          </cell>
          <cell r="AA64">
            <v>42375.435670535669</v>
          </cell>
          <cell r="AB64">
            <v>5734.0833226890936</v>
          </cell>
          <cell r="AC64">
            <v>0.13531620930746194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42275</v>
          </cell>
          <cell r="Z65">
            <v>42305</v>
          </cell>
          <cell r="AA65">
            <v>6308.1519374889249</v>
          </cell>
          <cell r="AB65">
            <v>853.5952079165229</v>
          </cell>
          <cell r="AC65">
            <v>0.13531620930746194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42275</v>
          </cell>
          <cell r="Z66">
            <v>42305</v>
          </cell>
          <cell r="AA66">
            <v>19720</v>
          </cell>
          <cell r="AB66">
            <v>3378.48</v>
          </cell>
          <cell r="AC66">
            <v>0.17132251521298175</v>
          </cell>
          <cell r="AE66" t="str">
            <v>1-52-34746-03601-00-9002-0-02</v>
          </cell>
          <cell r="AF66">
            <v>42275</v>
          </cell>
          <cell r="AG66">
            <v>42305</v>
          </cell>
          <cell r="AH66">
            <v>11840</v>
          </cell>
          <cell r="AI66">
            <v>1889.79</v>
          </cell>
          <cell r="AK66">
            <v>1889.79</v>
          </cell>
          <cell r="AL66">
            <v>3378.48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42275</v>
          </cell>
          <cell r="Z67">
            <v>42305</v>
          </cell>
          <cell r="AA67">
            <v>8086.1575198815972</v>
          </cell>
          <cell r="AB67">
            <v>1088.8350200530153</v>
          </cell>
          <cell r="AC67">
            <v>0.13465419358649333</v>
          </cell>
          <cell r="AE67" t="str">
            <v>1-52-34746-03601-00-9003-0-01</v>
          </cell>
          <cell r="AF67">
            <v>42275</v>
          </cell>
          <cell r="AG67">
            <v>42305</v>
          </cell>
          <cell r="AH67">
            <v>7880</v>
          </cell>
          <cell r="AI67">
            <v>1488.69</v>
          </cell>
          <cell r="AK67">
            <v>1488.69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42275</v>
          </cell>
          <cell r="Z68">
            <v>42305</v>
          </cell>
          <cell r="AA68">
            <v>24200.855893724067</v>
          </cell>
          <cell r="AB68">
            <v>3258.7467344723486</v>
          </cell>
          <cell r="AC68">
            <v>0.13465419358649333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42275</v>
          </cell>
          <cell r="Z69">
            <v>42305</v>
          </cell>
          <cell r="AA69">
            <v>45321.29911255261</v>
          </cell>
          <cell r="AB69">
            <v>6102.7029842930278</v>
          </cell>
          <cell r="AC69">
            <v>0.13465419358649333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42275</v>
          </cell>
          <cell r="Z70">
            <v>42305</v>
          </cell>
          <cell r="AA70">
            <v>55267.112142318132</v>
          </cell>
          <cell r="AB70">
            <v>7636.3771465752861</v>
          </cell>
          <cell r="AC70">
            <v>0.1381721760114927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42275</v>
          </cell>
          <cell r="Z71">
            <v>42305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42275</v>
          </cell>
          <cell r="Z72">
            <v>42305</v>
          </cell>
          <cell r="AA72">
            <v>91864.670213549311</v>
          </cell>
          <cell r="AB72">
            <v>12430.778942577603</v>
          </cell>
          <cell r="AC72">
            <v>0.13531620930746194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42275</v>
          </cell>
          <cell r="Z73">
            <v>42305</v>
          </cell>
          <cell r="AA73">
            <v>43878.027951662254</v>
          </cell>
          <cell r="AB73">
            <v>5937.4084143057953</v>
          </cell>
          <cell r="AC73">
            <v>0.13531620930746194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42275</v>
          </cell>
          <cell r="Z74">
            <v>42305</v>
          </cell>
          <cell r="AA74">
            <v>34677.416045540413</v>
          </cell>
          <cell r="AB74">
            <v>4692.416487860286</v>
          </cell>
          <cell r="AC74">
            <v>0.13531620930746194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42275</v>
          </cell>
          <cell r="Z75">
            <v>42305</v>
          </cell>
          <cell r="AA75">
            <v>9431.9346803247299</v>
          </cell>
          <cell r="AB75">
            <v>1276.2936473771304</v>
          </cell>
          <cell r="AC75">
            <v>0.13531620930746194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42275</v>
          </cell>
          <cell r="Z76">
            <v>42305</v>
          </cell>
          <cell r="AA76">
            <v>21383.671404487915</v>
          </cell>
          <cell r="AB76">
            <v>2954.6284090728277</v>
          </cell>
          <cell r="AC76">
            <v>0.1381721760114927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42275</v>
          </cell>
          <cell r="Z78">
            <v>42305</v>
          </cell>
          <cell r="AA78">
            <v>36197.38770726799</v>
          </cell>
          <cell r="AB78">
            <v>4898.0932913800252</v>
          </cell>
          <cell r="AC78">
            <v>0.13531620930746194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42275</v>
          </cell>
          <cell r="Z79">
            <v>42305</v>
          </cell>
          <cell r="AA79">
            <v>42778.782128650135</v>
          </cell>
          <cell r="AB79">
            <v>5788.6626364387339</v>
          </cell>
          <cell r="AC79">
            <v>0.13531620930746194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42275</v>
          </cell>
          <cell r="Z80">
            <v>42305</v>
          </cell>
          <cell r="AA80">
            <v>103382.05010589655</v>
          </cell>
          <cell r="AB80">
            <v>13989.267130764014</v>
          </cell>
          <cell r="AC80">
            <v>0.13531620930746194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42275</v>
          </cell>
          <cell r="Z81">
            <v>42305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42275</v>
          </cell>
          <cell r="Z82">
            <v>42305</v>
          </cell>
          <cell r="AA82">
            <v>17785.784542720939</v>
          </cell>
          <cell r="AB82">
            <v>2406.7049438802478</v>
          </cell>
          <cell r="AC82">
            <v>0.13531620930746194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42275</v>
          </cell>
          <cell r="Z83">
            <v>42305</v>
          </cell>
          <cell r="AA83">
            <v>292433.99572732195</v>
          </cell>
          <cell r="AB83">
            <v>40406.241529379629</v>
          </cell>
          <cell r="AC83">
            <v>0.1381721760114927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42275</v>
          </cell>
          <cell r="Z84">
            <v>42305</v>
          </cell>
          <cell r="AA84">
            <v>143115.12050538254</v>
          </cell>
          <cell r="AB84">
            <v>19271.051141686101</v>
          </cell>
          <cell r="AC84">
            <v>0.13465419358649333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42275</v>
          </cell>
          <cell r="Z85">
            <v>42305</v>
          </cell>
          <cell r="AA85">
            <v>2675.6224000000002</v>
          </cell>
          <cell r="AB85">
            <v>362.04636103406472</v>
          </cell>
          <cell r="AC85">
            <v>0.13531295037523408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42275</v>
          </cell>
          <cell r="Z86">
            <v>42305</v>
          </cell>
          <cell r="AA86">
            <v>10810.3776</v>
          </cell>
          <cell r="AB86">
            <v>1462.784087726342</v>
          </cell>
          <cell r="AC86">
            <v>0.13531295037523408</v>
          </cell>
          <cell r="AL86">
            <v>13486</v>
          </cell>
          <cell r="AM86">
            <v>1824.8304487604066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42275</v>
          </cell>
          <cell r="Z87">
            <v>42305</v>
          </cell>
          <cell r="AA87">
            <v>14440</v>
          </cell>
          <cell r="AB87">
            <v>2665.46</v>
          </cell>
          <cell r="AC87">
            <v>0.18458864265927979</v>
          </cell>
          <cell r="AE87" t="str">
            <v>1-63-86192-02715-00-9001-0-01</v>
          </cell>
          <cell r="AF87">
            <v>42275</v>
          </cell>
          <cell r="AG87">
            <v>42305</v>
          </cell>
          <cell r="AH87">
            <v>14440</v>
          </cell>
          <cell r="AI87">
            <v>2665.46</v>
          </cell>
          <cell r="AK87">
            <v>2665.46</v>
          </cell>
          <cell r="AM87">
            <v>1824.8304487604069</v>
          </cell>
          <cell r="AN87">
            <v>1824.8304487604069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42275</v>
          </cell>
          <cell r="Z88">
            <v>42305</v>
          </cell>
          <cell r="AA88">
            <v>24556.501568520267</v>
          </cell>
          <cell r="AB88">
            <v>3322.8927061049058</v>
          </cell>
          <cell r="AC88">
            <v>0.13531620930746194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42275</v>
          </cell>
          <cell r="Z89">
            <v>42305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42275</v>
          </cell>
          <cell r="Z90">
            <v>42305</v>
          </cell>
          <cell r="AA90">
            <v>32201.176150281946</v>
          </cell>
          <cell r="AB90">
            <v>4357.3410918980035</v>
          </cell>
          <cell r="AC90">
            <v>0.13531620930746194</v>
          </cell>
          <cell r="AL90">
            <v>32201</v>
          </cell>
          <cell r="AM90">
            <v>4357.3410918980035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42275</v>
          </cell>
          <cell r="Z91">
            <v>42305</v>
          </cell>
          <cell r="AA91">
            <v>0</v>
          </cell>
          <cell r="AB91">
            <v>0</v>
          </cell>
          <cell r="AC91">
            <v>0</v>
          </cell>
          <cell r="AM91">
            <v>4357.3410918980035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42275</v>
          </cell>
          <cell r="Z92">
            <v>42305</v>
          </cell>
          <cell r="AA92">
            <v>53734.470095185046</v>
          </cell>
          <cell r="AB92">
            <v>7271.1448024256142</v>
          </cell>
          <cell r="AC92">
            <v>0.13531620930746194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42275</v>
          </cell>
          <cell r="Z93">
            <v>42305</v>
          </cell>
          <cell r="AA93">
            <v>11137.309025960867</v>
          </cell>
          <cell r="AB93">
            <v>1538.8662230294512</v>
          </cell>
          <cell r="AC93">
            <v>0.1381721760114927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42275</v>
          </cell>
          <cell r="Z94">
            <v>42305</v>
          </cell>
          <cell r="AA94">
            <v>100235.98520494986</v>
          </cell>
          <cell r="AB94">
            <v>13849.824190423711</v>
          </cell>
          <cell r="AC94">
            <v>0.1381721760114927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42275</v>
          </cell>
          <cell r="Z95">
            <v>42305</v>
          </cell>
          <cell r="AA95">
            <v>48256.907722251402</v>
          </cell>
          <cell r="AB95">
            <v>6529.9418258750475</v>
          </cell>
          <cell r="AC95">
            <v>0.13531620930746194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42275</v>
          </cell>
          <cell r="Z96">
            <v>42305</v>
          </cell>
          <cell r="AA96">
            <v>9029.9455234264387</v>
          </cell>
          <cell r="AB96">
            <v>1247.6872222370685</v>
          </cell>
          <cell r="AC96">
            <v>0.1381721760114927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42275</v>
          </cell>
          <cell r="Z97">
            <v>42305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42275</v>
          </cell>
          <cell r="Z98">
            <v>42305</v>
          </cell>
          <cell r="AA98">
            <v>107883.71198202782</v>
          </cell>
          <cell r="AB98">
            <v>14598.414951426015</v>
          </cell>
          <cell r="AC98">
            <v>0.13531620930746194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42275</v>
          </cell>
          <cell r="Z99">
            <v>42305</v>
          </cell>
          <cell r="AA99">
            <v>26058.399383420765</v>
          </cell>
          <cell r="AB99">
            <v>3508.8727551292982</v>
          </cell>
          <cell r="AC99">
            <v>0.13465419358649333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42275</v>
          </cell>
          <cell r="Z100">
            <v>42305</v>
          </cell>
          <cell r="AA100">
            <v>12080.336345856093</v>
          </cell>
          <cell r="AB100">
            <v>1669.1663598576606</v>
          </cell>
          <cell r="AC100">
            <v>0.1381721760114927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42275</v>
          </cell>
          <cell r="Z101">
            <v>42305</v>
          </cell>
          <cell r="AA101">
            <v>23653.056111298505</v>
          </cell>
          <cell r="AB101">
            <v>3268.1942322200503</v>
          </cell>
          <cell r="AC101">
            <v>0.1381721760114927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42275</v>
          </cell>
          <cell r="Z102">
            <v>42305</v>
          </cell>
          <cell r="AA102">
            <v>55997.830653880294</v>
          </cell>
          <cell r="AB102">
            <v>7540.3427292912675</v>
          </cell>
          <cell r="AC102">
            <v>0.13465419358649333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42275</v>
          </cell>
          <cell r="Z103">
            <v>42305</v>
          </cell>
          <cell r="AA103">
            <v>9301.7503735595201</v>
          </cell>
          <cell r="AB103">
            <v>1252.5196954945202</v>
          </cell>
          <cell r="AC103">
            <v>0.13465419358649333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42275</v>
          </cell>
          <cell r="Z104">
            <v>42305</v>
          </cell>
          <cell r="AA104">
            <v>227540.91017695414</v>
          </cell>
          <cell r="AB104">
            <v>30639.337767814475</v>
          </cell>
          <cell r="AC104">
            <v>0.13465419358649333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42275</v>
          </cell>
          <cell r="Z106">
            <v>42305</v>
          </cell>
          <cell r="AA106">
            <v>101079.12125607564</v>
          </cell>
          <cell r="AB106">
            <v>13677.643528501456</v>
          </cell>
          <cell r="AC106">
            <v>0.13531620930746194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42275</v>
          </cell>
          <cell r="Z107">
            <v>42305</v>
          </cell>
          <cell r="AA107">
            <v>3918.4066447584928</v>
          </cell>
          <cell r="AB107">
            <v>530.22393369388988</v>
          </cell>
          <cell r="AC107">
            <v>0.13531620930746194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42275</v>
          </cell>
          <cell r="Z108">
            <v>42305</v>
          </cell>
          <cell r="AA108">
            <v>13627.083973059116</v>
          </cell>
          <cell r="AB108">
            <v>1834.9440033277028</v>
          </cell>
          <cell r="AC108">
            <v>0.13465419358649333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42275</v>
          </cell>
          <cell r="Z109">
            <v>42305</v>
          </cell>
          <cell r="AA109">
            <v>85990.84187089419</v>
          </cell>
          <cell r="AB109">
            <v>11635.954757126779</v>
          </cell>
          <cell r="AC109">
            <v>0.13531620930746194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42275</v>
          </cell>
          <cell r="Z110">
            <v>42305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42275</v>
          </cell>
          <cell r="Z111">
            <v>42305</v>
          </cell>
          <cell r="AA111">
            <v>190362.9397605189</v>
          </cell>
          <cell r="AB111">
            <v>25633.16814220688</v>
          </cell>
          <cell r="AC111">
            <v>0.13465419358649333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42275</v>
          </cell>
          <cell r="Z112">
            <v>42305</v>
          </cell>
          <cell r="AA112">
            <v>45217.582070286873</v>
          </cell>
          <cell r="AB112">
            <v>6247.8117086297943</v>
          </cell>
          <cell r="AC112">
            <v>0.1381721760114927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42277</v>
          </cell>
          <cell r="Z113">
            <v>42307</v>
          </cell>
          <cell r="AA113">
            <v>69556.006399999998</v>
          </cell>
          <cell r="AB113">
            <v>10743.3830751</v>
          </cell>
          <cell r="AC113">
            <v>0.15445658299180329</v>
          </cell>
          <cell r="AE113" t="str">
            <v>1-44-38866-03717-00-9001-3-01</v>
          </cell>
          <cell r="AF113">
            <v>42277</v>
          </cell>
          <cell r="AG113">
            <v>42307</v>
          </cell>
          <cell r="AH113">
            <v>78080</v>
          </cell>
          <cell r="AI113">
            <v>12059.970000000001</v>
          </cell>
          <cell r="AK113">
            <v>12059.970000000001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42277</v>
          </cell>
          <cell r="Z114">
            <v>42307</v>
          </cell>
          <cell r="AA114">
            <v>8523.9935999999998</v>
          </cell>
          <cell r="AB114">
            <v>1316.5869249000002</v>
          </cell>
          <cell r="AC114">
            <v>0.15445658299180332</v>
          </cell>
          <cell r="AE114" t="str">
            <v>1-44-38866-03717-00-9001-3-02</v>
          </cell>
          <cell r="AF114">
            <v>42275</v>
          </cell>
          <cell r="AG114">
            <v>42305</v>
          </cell>
          <cell r="AK114">
            <v>0</v>
          </cell>
          <cell r="AL114">
            <v>78080</v>
          </cell>
          <cell r="AM114">
            <v>12059.970000000001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42275</v>
          </cell>
          <cell r="Z115">
            <v>42305</v>
          </cell>
          <cell r="AA115">
            <v>60366.25871315461</v>
          </cell>
          <cell r="AB115">
            <v>8340.9373240693039</v>
          </cell>
          <cell r="AC115">
            <v>0.1381721760114927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42243</v>
          </cell>
          <cell r="Z116">
            <v>42305</v>
          </cell>
          <cell r="AA116">
            <v>7367.9030000000002</v>
          </cell>
          <cell r="AB116">
            <v>1142.8200000000002</v>
          </cell>
          <cell r="AC116">
            <v>0.15510790519364873</v>
          </cell>
          <cell r="AE116" t="str">
            <v>1-63-00433-00909-00-9001-3-01</v>
          </cell>
          <cell r="AF116">
            <v>42243</v>
          </cell>
          <cell r="AG116">
            <v>42305</v>
          </cell>
          <cell r="AH116">
            <v>7367.9030000000002</v>
          </cell>
          <cell r="AI116">
            <v>1142.8200000000002</v>
          </cell>
          <cell r="AK116">
            <v>1142.8200000000002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42275</v>
          </cell>
          <cell r="Z118">
            <v>42305</v>
          </cell>
          <cell r="AA118">
            <v>53544.438515484289</v>
          </cell>
          <cell r="AB118">
            <v>7398.3515829980443</v>
          </cell>
          <cell r="AC118">
            <v>0.1381721760114927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42275</v>
          </cell>
          <cell r="Z119">
            <v>42305</v>
          </cell>
          <cell r="AA119">
            <v>30621.939617759988</v>
          </cell>
          <cell r="AB119">
            <v>4231.1000306784345</v>
          </cell>
          <cell r="AC119">
            <v>0.1381721760114927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11560</v>
          </cell>
          <cell r="AB120">
            <v>1954.8899999999999</v>
          </cell>
          <cell r="AC120">
            <v>0.16910813148788925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42275</v>
          </cell>
          <cell r="Z121">
            <v>42305</v>
          </cell>
          <cell r="AA121">
            <v>59585.359086815173</v>
          </cell>
          <cell r="AB121">
            <v>8023.4184773967299</v>
          </cell>
          <cell r="AC121">
            <v>0.13465419358649333</v>
          </cell>
          <cell r="AE121" t="str">
            <v>1-44-43997-03440-00-9001-2-01</v>
          </cell>
          <cell r="AF121">
            <v>42277</v>
          </cell>
          <cell r="AG121">
            <v>42307</v>
          </cell>
          <cell r="AH121">
            <v>11560</v>
          </cell>
          <cell r="AI121">
            <v>1954.8899999999999</v>
          </cell>
          <cell r="AK121">
            <v>1954.8899999999999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42275</v>
          </cell>
          <cell r="Z123">
            <v>42305</v>
          </cell>
          <cell r="AA123">
            <v>51907.945470079052</v>
          </cell>
          <cell r="AB123">
            <v>7023.9864139495376</v>
          </cell>
          <cell r="AC123">
            <v>0.13531620930746194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42275</v>
          </cell>
          <cell r="Z124">
            <v>42305</v>
          </cell>
          <cell r="AA124">
            <v>635</v>
          </cell>
          <cell r="AB124">
            <v>107.62</v>
          </cell>
          <cell r="AC124">
            <v>0.16948031496062993</v>
          </cell>
          <cell r="AE124" t="str">
            <v>1-63-43981-02712-00-0000-0-01</v>
          </cell>
          <cell r="AF124">
            <v>42275</v>
          </cell>
          <cell r="AG124">
            <v>42305</v>
          </cell>
          <cell r="AH124">
            <v>635</v>
          </cell>
          <cell r="AI124">
            <v>107.62</v>
          </cell>
          <cell r="AK124">
            <v>107.62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42275</v>
          </cell>
          <cell r="Z125">
            <v>42305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42275</v>
          </cell>
          <cell r="AG125">
            <v>42305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42275</v>
          </cell>
          <cell r="Z126">
            <v>42305</v>
          </cell>
          <cell r="AA126">
            <v>35940.967252225986</v>
          </cell>
          <cell r="AB126">
            <v>4966.0416531978644</v>
          </cell>
          <cell r="AC126">
            <v>0.1381721760114927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42275</v>
          </cell>
          <cell r="Z127">
            <v>42305</v>
          </cell>
          <cell r="AA127">
            <v>43549.107081769595</v>
          </cell>
          <cell r="AB127">
            <v>5892.9000890298075</v>
          </cell>
          <cell r="AC127">
            <v>0.13531620930746194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42275</v>
          </cell>
          <cell r="Z128">
            <v>42305</v>
          </cell>
          <cell r="AA128">
            <v>33105.789002582147</v>
          </cell>
          <cell r="AB128">
            <v>4479.7498739620778</v>
          </cell>
          <cell r="AC128">
            <v>0.13531620930746194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42275</v>
          </cell>
          <cell r="Z129">
            <v>42305</v>
          </cell>
          <cell r="AA129">
            <v>608711.35726768582</v>
          </cell>
          <cell r="AB129">
            <v>82368.513427863421</v>
          </cell>
          <cell r="AC129">
            <v>0.13531620930746194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42275</v>
          </cell>
          <cell r="Z130">
            <v>42305</v>
          </cell>
          <cell r="AA130">
            <v>666.29004979969375</v>
          </cell>
          <cell r="AB130">
            <v>90.159843838174595</v>
          </cell>
          <cell r="AC130">
            <v>0.13531620930746194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42275</v>
          </cell>
          <cell r="Z131">
            <v>42305</v>
          </cell>
          <cell r="AA131">
            <v>1610.9720295966026</v>
          </cell>
          <cell r="AB131">
            <v>217.99062834536065</v>
          </cell>
          <cell r="AC131">
            <v>0.13531620930746194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42275</v>
          </cell>
          <cell r="Z132">
            <v>42305</v>
          </cell>
          <cell r="AA132">
            <v>21192.761044352745</v>
          </cell>
          <cell r="AB132">
            <v>2853.694148298569</v>
          </cell>
          <cell r="AC132">
            <v>0.13465419358649333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42275</v>
          </cell>
          <cell r="Z133">
            <v>42305</v>
          </cell>
          <cell r="AA133">
            <v>13644.903560457278</v>
          </cell>
          <cell r="AB133">
            <v>1837.3434854988463</v>
          </cell>
          <cell r="AC133">
            <v>0.13465419358649333</v>
          </cell>
          <cell r="AE133" t="str">
            <v>1-63-34103-03131-00-9002-0-01</v>
          </cell>
          <cell r="AF133">
            <v>42276</v>
          </cell>
          <cell r="AG133">
            <v>42305</v>
          </cell>
          <cell r="AH133">
            <v>42720</v>
          </cell>
          <cell r="AI133">
            <v>8083.3</v>
          </cell>
          <cell r="AK133">
            <v>8083.3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42275</v>
          </cell>
          <cell r="Z134">
            <v>42305</v>
          </cell>
          <cell r="AA134">
            <v>2069.5223314539908</v>
          </cell>
          <cell r="AB134">
            <v>278.66986065117669</v>
          </cell>
          <cell r="AC134">
            <v>0.13465419358649333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42276</v>
          </cell>
          <cell r="Z136">
            <v>42305</v>
          </cell>
          <cell r="AA136">
            <v>86720</v>
          </cell>
          <cell r="AB136">
            <v>15166.11</v>
          </cell>
          <cell r="AC136">
            <v>0.17488595479704797</v>
          </cell>
          <cell r="AE136" t="str">
            <v>1-63-34103-03131-00-9001-0-01</v>
          </cell>
          <cell r="AF136">
            <v>42276</v>
          </cell>
          <cell r="AG136">
            <v>42305</v>
          </cell>
          <cell r="AH136">
            <v>44000</v>
          </cell>
          <cell r="AI136">
            <v>7082.81</v>
          </cell>
          <cell r="AK136">
            <v>7082.81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42255</v>
          </cell>
          <cell r="Z137">
            <v>42307</v>
          </cell>
          <cell r="AA137">
            <v>114257.1</v>
          </cell>
          <cell r="AB137">
            <v>16518.7219</v>
          </cell>
          <cell r="AC137">
            <v>0.14457501459427904</v>
          </cell>
          <cell r="AE137" t="str">
            <v>1-44-38866-03447-00-9001-4-01</v>
          </cell>
          <cell r="AF137">
            <v>42277</v>
          </cell>
          <cell r="AG137">
            <v>42307</v>
          </cell>
          <cell r="AH137">
            <v>55160</v>
          </cell>
          <cell r="AI137">
            <v>7702.3</v>
          </cell>
          <cell r="AK137">
            <v>7702.3</v>
          </cell>
          <cell r="AL137">
            <v>342600</v>
          </cell>
          <cell r="AM137">
            <v>49531.4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42255</v>
          </cell>
          <cell r="Z138">
            <v>42307</v>
          </cell>
          <cell r="AA138">
            <v>228342.9</v>
          </cell>
          <cell r="AB138">
            <v>33012.678099999997</v>
          </cell>
          <cell r="AC138">
            <v>0.14457501459427904</v>
          </cell>
          <cell r="AL138">
            <v>342600</v>
          </cell>
          <cell r="AM138">
            <v>49531.399999999994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42255</v>
          </cell>
          <cell r="Z139">
            <v>42307</v>
          </cell>
          <cell r="AA139">
            <v>55160</v>
          </cell>
          <cell r="AB139">
            <v>7702.3</v>
          </cell>
          <cell r="AC139">
            <v>0.13963560551124002</v>
          </cell>
          <cell r="AE139" t="str">
            <v>1-44-38866-03447-00-9004-0-01</v>
          </cell>
          <cell r="AF139">
            <v>42255</v>
          </cell>
          <cell r="AG139">
            <v>42307</v>
          </cell>
          <cell r="AH139">
            <v>125760</v>
          </cell>
          <cell r="AI139">
            <v>18252.13</v>
          </cell>
          <cell r="AK139">
            <v>18252.13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42275</v>
          </cell>
          <cell r="Z140">
            <v>42305</v>
          </cell>
          <cell r="AA140">
            <v>20201.181775964644</v>
          </cell>
          <cell r="AB140">
            <v>2791.2412439887457</v>
          </cell>
          <cell r="AC140">
            <v>0.1381721760114927</v>
          </cell>
          <cell r="AE140" t="str">
            <v>1-44-38866-03447-00-9004-0-01</v>
          </cell>
          <cell r="AF140">
            <v>42255</v>
          </cell>
          <cell r="AG140">
            <v>42307</v>
          </cell>
          <cell r="AH140">
            <v>216840</v>
          </cell>
          <cell r="AI140">
            <v>31279.27</v>
          </cell>
          <cell r="AK140">
            <v>31279.27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42275</v>
          </cell>
          <cell r="Z141">
            <v>42305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42275</v>
          </cell>
          <cell r="Z142">
            <v>42305</v>
          </cell>
          <cell r="AA142">
            <v>19696.896726818079</v>
          </cell>
          <cell r="AB142">
            <v>2721.5630814181022</v>
          </cell>
          <cell r="AC142">
            <v>0.1381721760114927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42275</v>
          </cell>
          <cell r="Z143">
            <v>42305</v>
          </cell>
          <cell r="AA143">
            <v>57870.088499999998</v>
          </cell>
          <cell r="AB143">
            <v>7792.485922625031</v>
          </cell>
          <cell r="AC143">
            <v>0.1346548126088494</v>
          </cell>
          <cell r="AL143">
            <v>98805</v>
          </cell>
          <cell r="AM143">
            <v>13304.568759817366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42275</v>
          </cell>
          <cell r="Z144">
            <v>42305</v>
          </cell>
          <cell r="AA144">
            <v>40934.911500000002</v>
          </cell>
          <cell r="AB144">
            <v>5512.0828371923353</v>
          </cell>
          <cell r="AC144">
            <v>0.13465481260884943</v>
          </cell>
          <cell r="AM144">
            <v>13304.568759817366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42275</v>
          </cell>
          <cell r="Z145">
            <v>42305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42275</v>
          </cell>
          <cell r="Z146">
            <v>42305</v>
          </cell>
          <cell r="AA146">
            <v>29872</v>
          </cell>
          <cell r="AB146">
            <v>4497.8930747267377</v>
          </cell>
          <cell r="AC146">
            <v>0.15057221058940606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42275</v>
          </cell>
          <cell r="AG147">
            <v>42305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42275</v>
          </cell>
          <cell r="AG148">
            <v>42305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42275</v>
          </cell>
          <cell r="Z149">
            <v>42305</v>
          </cell>
          <cell r="AA149">
            <v>162553.36976575555</v>
          </cell>
          <cell r="AB149">
            <v>21996.105806856231</v>
          </cell>
          <cell r="AC149">
            <v>0.13531620930746194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42275</v>
          </cell>
          <cell r="Z151">
            <v>42305</v>
          </cell>
          <cell r="AA151">
            <v>123691.30461986101</v>
          </cell>
          <cell r="AB151">
            <v>16737.438465454146</v>
          </cell>
          <cell r="AC151">
            <v>0.13531620930746194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42275</v>
          </cell>
          <cell r="Z152">
            <v>42305</v>
          </cell>
          <cell r="AA152">
            <v>115458.97236687412</v>
          </cell>
          <cell r="AB152">
            <v>15547.034816386651</v>
          </cell>
          <cell r="AC152">
            <v>0.13465419358649333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42275</v>
          </cell>
          <cell r="Z153">
            <v>42305</v>
          </cell>
          <cell r="AA153">
            <v>6353.4259999999995</v>
          </cell>
          <cell r="AB153">
            <v>859.72360582250963</v>
          </cell>
          <cell r="AC153">
            <v>0.13531653722298956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42275</v>
          </cell>
          <cell r="Z154">
            <v>42305</v>
          </cell>
          <cell r="AA154">
            <v>64634.574000000001</v>
          </cell>
          <cell r="AB154">
            <v>8746.1267385630726</v>
          </cell>
          <cell r="AC154">
            <v>0.13531653722298956</v>
          </cell>
          <cell r="AL154">
            <v>70988</v>
          </cell>
          <cell r="AM154">
            <v>9605.8503443855825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42275</v>
          </cell>
          <cell r="Z155">
            <v>42305</v>
          </cell>
          <cell r="AA155">
            <v>2883.0461374740516</v>
          </cell>
          <cell r="AB155">
            <v>390.12287458150848</v>
          </cell>
          <cell r="AC155">
            <v>0.13531620930746194</v>
          </cell>
          <cell r="AM155">
            <v>9605.8503443855825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42275</v>
          </cell>
          <cell r="Z156">
            <v>42305</v>
          </cell>
          <cell r="AA156">
            <v>1784.3635351295504</v>
          </cell>
          <cell r="AB156">
            <v>241.45330960019297</v>
          </cell>
          <cell r="AC156">
            <v>0.13531620930746194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42275</v>
          </cell>
          <cell r="Z157">
            <v>42305</v>
          </cell>
          <cell r="AA157">
            <v>84053.040933884666</v>
          </cell>
          <cell r="AB157">
            <v>11373.738879938204</v>
          </cell>
          <cell r="AC157">
            <v>0.13531620930746194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42275</v>
          </cell>
          <cell r="Z158">
            <v>42305</v>
          </cell>
          <cell r="AA158">
            <v>272085.95461386809</v>
          </cell>
          <cell r="AB158">
            <v>37594.708411162399</v>
          </cell>
          <cell r="AC158">
            <v>0.1381721760114927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42277</v>
          </cell>
          <cell r="Z159">
            <v>42307</v>
          </cell>
          <cell r="AA159">
            <v>13160</v>
          </cell>
          <cell r="AB159">
            <v>2055.61</v>
          </cell>
          <cell r="AC159">
            <v>0.15620136778115504</v>
          </cell>
          <cell r="AE159" t="str">
            <v>1-44-43997-03500-00-9001-1-01</v>
          </cell>
          <cell r="AF159">
            <v>42277</v>
          </cell>
          <cell r="AG159">
            <v>42307</v>
          </cell>
          <cell r="AH159">
            <v>13160</v>
          </cell>
          <cell r="AI159">
            <v>2055.61</v>
          </cell>
          <cell r="AK159">
            <v>2055.61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42275</v>
          </cell>
          <cell r="Z160">
            <v>42305</v>
          </cell>
          <cell r="AA160">
            <v>14582.668145845464</v>
          </cell>
          <cell r="AB160">
            <v>1973.2713750844828</v>
          </cell>
          <cell r="AC160">
            <v>0.13531620930746194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42275</v>
          </cell>
          <cell r="Z161">
            <v>42305</v>
          </cell>
          <cell r="AA161">
            <v>39640.32</v>
          </cell>
          <cell r="AB161">
            <v>6019.6099199999999</v>
          </cell>
          <cell r="AC161">
            <v>0.15185573476702507</v>
          </cell>
          <cell r="AE161" t="str">
            <v>1-63-00433-00746-00-0000-4-01</v>
          </cell>
          <cell r="AF161">
            <v>42275</v>
          </cell>
          <cell r="AG161">
            <v>42305</v>
          </cell>
          <cell r="AH161">
            <v>66960</v>
          </cell>
          <cell r="AI161">
            <v>10168.26</v>
          </cell>
          <cell r="AK161">
            <v>10168.26</v>
          </cell>
          <cell r="AL161">
            <v>66960</v>
          </cell>
          <cell r="AM161">
            <v>10168.26</v>
          </cell>
          <cell r="AN161" t="str">
            <v>#42</v>
          </cell>
          <cell r="AO161">
            <v>0.26100000000000001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42275</v>
          </cell>
          <cell r="Z162">
            <v>42305</v>
          </cell>
          <cell r="AA162">
            <v>37649.129208117629</v>
          </cell>
          <cell r="AB162">
            <v>5094.5374481693234</v>
          </cell>
          <cell r="AC162">
            <v>0.13531620930746194</v>
          </cell>
          <cell r="AL162">
            <v>66960</v>
          </cell>
          <cell r="AM162">
            <v>10168.26</v>
          </cell>
          <cell r="AN162" t="str">
            <v>#52</v>
          </cell>
          <cell r="AO162">
            <v>0.14699999999999999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42275</v>
          </cell>
          <cell r="Z163">
            <v>42305</v>
          </cell>
          <cell r="AC163">
            <v>0</v>
          </cell>
          <cell r="AN163" t="str">
            <v>#261</v>
          </cell>
          <cell r="AO163">
            <v>0.59199999999999997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42275</v>
          </cell>
          <cell r="Z164">
            <v>42305</v>
          </cell>
          <cell r="AA164">
            <v>94546.137743323925</v>
          </cell>
          <cell r="AB164">
            <v>13063.645585477387</v>
          </cell>
          <cell r="AC164">
            <v>0.1381721760114927</v>
          </cell>
          <cell r="AO164" t="str">
            <v xml:space="preserve">    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42275</v>
          </cell>
          <cell r="Z165">
            <v>42305</v>
          </cell>
          <cell r="AA165">
            <v>7281.5035220979871</v>
          </cell>
          <cell r="AB165">
            <v>1006.1011862836272</v>
          </cell>
          <cell r="AC165">
            <v>0.1381721760114927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42275</v>
          </cell>
          <cell r="Z166">
            <v>42305</v>
          </cell>
          <cell r="AA166">
            <v>4680</v>
          </cell>
          <cell r="AB166">
            <v>821.34</v>
          </cell>
          <cell r="AC166">
            <v>0.17550000000000002</v>
          </cell>
          <cell r="AE166" t="str">
            <v>1-63-96497-01102-00-0000-1-01</v>
          </cell>
          <cell r="AF166">
            <v>42275</v>
          </cell>
          <cell r="AG166">
            <v>42305</v>
          </cell>
          <cell r="AH166">
            <v>4680</v>
          </cell>
          <cell r="AI166">
            <v>821.34</v>
          </cell>
          <cell r="AK166">
            <v>821.34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42275</v>
          </cell>
          <cell r="Z167">
            <v>42305</v>
          </cell>
          <cell r="AA167">
            <v>4480</v>
          </cell>
          <cell r="AB167">
            <v>816.06</v>
          </cell>
          <cell r="AC167">
            <v>0.18215624999999999</v>
          </cell>
          <cell r="AE167" t="str">
            <v>1-63-43981-02653-00-0000-0-01</v>
          </cell>
          <cell r="AF167">
            <v>42275</v>
          </cell>
          <cell r="AG167">
            <v>42305</v>
          </cell>
          <cell r="AH167">
            <v>4480</v>
          </cell>
          <cell r="AI167">
            <v>816.06</v>
          </cell>
          <cell r="AK167">
            <v>816.06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42275</v>
          </cell>
          <cell r="Z168">
            <v>42305</v>
          </cell>
          <cell r="AA168">
            <v>91200</v>
          </cell>
          <cell r="AB168">
            <v>14545.1</v>
          </cell>
          <cell r="AC168">
            <v>0.15948574561403508</v>
          </cell>
          <cell r="AE168" t="str">
            <v>1-63-34103-03500-00-9001-6-01</v>
          </cell>
          <cell r="AF168">
            <v>42275</v>
          </cell>
          <cell r="AG168">
            <v>42305</v>
          </cell>
          <cell r="AH168">
            <v>58000</v>
          </cell>
          <cell r="AI168">
            <v>9595.19</v>
          </cell>
          <cell r="AK168">
            <v>9595.19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42275</v>
          </cell>
          <cell r="Z169">
            <v>42305</v>
          </cell>
          <cell r="AA169">
            <v>25358.392177456546</v>
          </cell>
          <cell r="AB169">
            <v>3503.8242273119854</v>
          </cell>
          <cell r="AC169">
            <v>0.1381721760114927</v>
          </cell>
          <cell r="AE169" t="str">
            <v>1-63-34103-03500-00-0000-4-01</v>
          </cell>
          <cell r="AF169">
            <v>42275</v>
          </cell>
          <cell r="AG169">
            <v>42305</v>
          </cell>
          <cell r="AH169">
            <v>33200</v>
          </cell>
          <cell r="AI169">
            <v>4949.91</v>
          </cell>
          <cell r="AK169">
            <v>4949.91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42275</v>
          </cell>
          <cell r="Z170">
            <v>42305</v>
          </cell>
          <cell r="AA170">
            <v>94627.874698423228</v>
          </cell>
          <cell r="AB170">
            <v>12742.040158319916</v>
          </cell>
          <cell r="AC170">
            <v>0.13465419358649333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42275</v>
          </cell>
          <cell r="Z171">
            <v>42305</v>
          </cell>
          <cell r="AA171">
            <v>50830.595798098388</v>
          </cell>
          <cell r="AB171">
            <v>6844.5528867139346</v>
          </cell>
          <cell r="AC171">
            <v>0.13465419358649333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42277</v>
          </cell>
          <cell r="Z172">
            <v>42307</v>
          </cell>
          <cell r="AA172">
            <v>1540440.04</v>
          </cell>
          <cell r="AB172">
            <v>204720.37694157002</v>
          </cell>
          <cell r="AC172">
            <v>0.13289733558312988</v>
          </cell>
          <cell r="AE172" t="str">
            <v>1-44-38866-03430-00-0000-1-01</v>
          </cell>
          <cell r="AF172">
            <v>42277</v>
          </cell>
          <cell r="AG172">
            <v>42307</v>
          </cell>
          <cell r="AH172">
            <v>194880</v>
          </cell>
          <cell r="AI172">
            <v>28355.06</v>
          </cell>
          <cell r="AK172">
            <v>28355.06</v>
          </cell>
        </row>
        <row r="173">
          <cell r="R173" t="str">
            <v>2811</v>
          </cell>
          <cell r="S173" t="str">
            <v>CAL URBAN MARKET</v>
          </cell>
          <cell r="Y173">
            <v>42277</v>
          </cell>
          <cell r="Z173">
            <v>42307</v>
          </cell>
          <cell r="AA173">
            <v>15247</v>
          </cell>
          <cell r="AB173">
            <v>2026.2856756359813</v>
          </cell>
          <cell r="AC173">
            <v>0.13289733558312988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42275</v>
          </cell>
          <cell r="Z174">
            <v>42305</v>
          </cell>
          <cell r="AA174">
            <v>18132</v>
          </cell>
          <cell r="AB174">
            <v>1475.0877350030121</v>
          </cell>
          <cell r="AC174">
            <v>8.1352731910600717E-2</v>
          </cell>
          <cell r="AE174" t="str">
            <v>1-44-38866-03434-00-9003-0-01</v>
          </cell>
          <cell r="AF174">
            <v>42277</v>
          </cell>
          <cell r="AG174">
            <v>42307</v>
          </cell>
          <cell r="AH174">
            <v>943290.04</v>
          </cell>
          <cell r="AI174">
            <v>121112.88</v>
          </cell>
          <cell r="AK174">
            <v>121112.88</v>
          </cell>
          <cell r="AL174">
            <v>0.13289733558312988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42275</v>
          </cell>
          <cell r="Z175">
            <v>42305</v>
          </cell>
          <cell r="AA175">
            <v>635907.36</v>
          </cell>
          <cell r="AB175">
            <v>95749.976925273251</v>
          </cell>
          <cell r="AC175">
            <v>0.15057221058940606</v>
          </cell>
          <cell r="AE175" t="str">
            <v>1-63-34103-03400-00-9001-0-01</v>
          </cell>
          <cell r="AF175">
            <v>42275</v>
          </cell>
          <cell r="AG175">
            <v>42305</v>
          </cell>
          <cell r="AH175">
            <v>665779.36</v>
          </cell>
          <cell r="AI175">
            <v>100247.87</v>
          </cell>
          <cell r="AK175">
            <v>100247.87</v>
          </cell>
          <cell r="AL175">
            <v>665779.36</v>
          </cell>
          <cell r="AM175">
            <v>0.15057221058940606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42275</v>
          </cell>
          <cell r="Z176">
            <v>42305</v>
          </cell>
          <cell r="AA176">
            <v>323998.40171772154</v>
          </cell>
          <cell r="AB176">
            <v>43842.235542118346</v>
          </cell>
          <cell r="AC176">
            <v>0.13531620930746194</v>
          </cell>
          <cell r="AE176" t="str">
            <v>1-44-38866-03434-00-9003-3-01</v>
          </cell>
          <cell r="AF176">
            <v>42277</v>
          </cell>
          <cell r="AG176">
            <v>42307</v>
          </cell>
          <cell r="AH176">
            <v>463800</v>
          </cell>
          <cell r="AI176">
            <v>63429.61</v>
          </cell>
          <cell r="AK176">
            <v>63429.61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42275</v>
          </cell>
          <cell r="Z177">
            <v>42305</v>
          </cell>
          <cell r="AA177">
            <v>450362.99176052079</v>
          </cell>
          <cell r="AB177">
            <v>62227.634566597117</v>
          </cell>
          <cell r="AC177">
            <v>0.1381721760114927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42275</v>
          </cell>
          <cell r="Z178">
            <v>42305</v>
          </cell>
          <cell r="AA178">
            <v>12047.360985355072</v>
          </cell>
          <cell r="AB178">
            <v>1664.610082542471</v>
          </cell>
          <cell r="AC178">
            <v>0.1381721760114927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42275</v>
          </cell>
          <cell r="Z179">
            <v>42305</v>
          </cell>
          <cell r="AA179">
            <v>12128.133620974069</v>
          </cell>
          <cell r="AB179">
            <v>1675.7706133681315</v>
          </cell>
          <cell r="AC179">
            <v>0.1381721760114927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42275</v>
          </cell>
          <cell r="Z180">
            <v>42305</v>
          </cell>
          <cell r="AA180">
            <v>120073.07820672283</v>
          </cell>
          <cell r="AB180">
            <v>16590.758496221035</v>
          </cell>
          <cell r="AC180">
            <v>0.1381721760114927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42275</v>
          </cell>
          <cell r="Z181">
            <v>42305</v>
          </cell>
          <cell r="AA181">
            <v>4085.0661627477175</v>
          </cell>
          <cell r="AB181">
            <v>550.07128989226464</v>
          </cell>
          <cell r="AC181">
            <v>0.13465419358649333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42275</v>
          </cell>
          <cell r="Z182">
            <v>42305</v>
          </cell>
          <cell r="AA182">
            <v>285991.68128447223</v>
          </cell>
          <cell r="AB182">
            <v>38509.979215806023</v>
          </cell>
          <cell r="AC182">
            <v>0.13465419358649333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42275</v>
          </cell>
          <cell r="Z183">
            <v>42305</v>
          </cell>
          <cell r="AA183">
            <v>246994.71111991955</v>
          </cell>
          <cell r="AB183">
            <v>33422.388027739129</v>
          </cell>
          <cell r="AC183">
            <v>0.13531620930746194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42275</v>
          </cell>
          <cell r="Z184">
            <v>42305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42275</v>
          </cell>
          <cell r="Z185">
            <v>42305</v>
          </cell>
          <cell r="AA185">
            <v>34451.092871485962</v>
          </cell>
          <cell r="AB185">
            <v>4760.1824680272402</v>
          </cell>
          <cell r="AC185">
            <v>0.1381721760114927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42275</v>
          </cell>
          <cell r="Z186">
            <v>42305</v>
          </cell>
          <cell r="AA186">
            <v>9470.4555454596884</v>
          </cell>
          <cell r="AB186">
            <v>1308.5534505362732</v>
          </cell>
          <cell r="AC186">
            <v>0.1381721760114927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42275</v>
          </cell>
          <cell r="Z187">
            <v>42305</v>
          </cell>
          <cell r="AA187">
            <v>8837.260633406031</v>
          </cell>
          <cell r="AB187">
            <v>1221.0635316984135</v>
          </cell>
          <cell r="AC187">
            <v>0.1381721760114927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42275</v>
          </cell>
          <cell r="Z188">
            <v>42305</v>
          </cell>
          <cell r="AA188">
            <v>5801.0118212531033</v>
          </cell>
          <cell r="AB188">
            <v>801.53842641093365</v>
          </cell>
          <cell r="AC188">
            <v>0.1381721760114927</v>
          </cell>
        </row>
        <row r="189">
          <cell r="R189">
            <v>3160</v>
          </cell>
          <cell r="S189" t="str">
            <v>Campus Develpmt &amp; Facilities</v>
          </cell>
          <cell r="Y189">
            <v>42277</v>
          </cell>
          <cell r="Z189">
            <v>42307</v>
          </cell>
          <cell r="AA189">
            <v>46283</v>
          </cell>
          <cell r="AB189">
            <v>6150.8873827940006</v>
          </cell>
          <cell r="AC189">
            <v>0.13289733558312988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42275</v>
          </cell>
          <cell r="Z190">
            <v>42305</v>
          </cell>
          <cell r="AA190">
            <v>164073.76748887092</v>
          </cell>
          <cell r="AB190">
            <v>22670.429480341001</v>
          </cell>
          <cell r="AC190">
            <v>0.1381721760114927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42275</v>
          </cell>
          <cell r="Z191">
            <v>42305</v>
          </cell>
          <cell r="AA191">
            <v>126829.8738304835</v>
          </cell>
          <cell r="AB191">
            <v>17078.174383320449</v>
          </cell>
          <cell r="AC191">
            <v>0.13465419358649333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42275</v>
          </cell>
          <cell r="Z192">
            <v>42305</v>
          </cell>
          <cell r="AA192">
            <v>117432.64016778216</v>
          </cell>
          <cell r="AB192">
            <v>15812.797462525552</v>
          </cell>
          <cell r="AC192">
            <v>0.13465419358649333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42275</v>
          </cell>
          <cell r="Z193">
            <v>42305</v>
          </cell>
          <cell r="AA193">
            <v>80233.675448501701</v>
          </cell>
          <cell r="AB193">
            <v>11086.061526119358</v>
          </cell>
          <cell r="AC193">
            <v>0.1381721760114927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42275</v>
          </cell>
          <cell r="Z194">
            <v>42305</v>
          </cell>
          <cell r="AA194">
            <v>90716.623761088413</v>
          </cell>
          <cell r="AB194">
            <v>12215.37381743868</v>
          </cell>
          <cell r="AC194">
            <v>0.13465419358649333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42275</v>
          </cell>
          <cell r="Z195">
            <v>42305</v>
          </cell>
          <cell r="AA195">
            <v>3419.1333320222534</v>
          </cell>
          <cell r="AB195">
            <v>460.40064158815647</v>
          </cell>
          <cell r="AC195">
            <v>0.13465419358649333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42275</v>
          </cell>
          <cell r="Z196">
            <v>42305</v>
          </cell>
          <cell r="AA196">
            <v>14674.801463790191</v>
          </cell>
          <cell r="AB196">
            <v>1976.02355714856</v>
          </cell>
          <cell r="AC196">
            <v>0.13465419358649333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42275</v>
          </cell>
          <cell r="Z197">
            <v>42305</v>
          </cell>
          <cell r="AA197">
            <v>94056.564131752835</v>
          </cell>
          <cell r="AB197">
            <v>12727.377718792983</v>
          </cell>
          <cell r="AC197">
            <v>0.13531620930746194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42275</v>
          </cell>
          <cell r="Z198">
            <v>42305</v>
          </cell>
          <cell r="AA198">
            <v>32856.443167015277</v>
          </cell>
          <cell r="AB198">
            <v>4446.0093406865672</v>
          </cell>
          <cell r="AC198">
            <v>0.13531620930746194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42275</v>
          </cell>
          <cell r="Z199">
            <v>42305</v>
          </cell>
          <cell r="AA199">
            <v>49546.683051111337</v>
          </cell>
          <cell r="AB199">
            <v>6704.4693342346582</v>
          </cell>
          <cell r="AC199">
            <v>0.13531620930746194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42275</v>
          </cell>
          <cell r="Z200">
            <v>42305</v>
          </cell>
          <cell r="AA200">
            <v>95086.372892456391</v>
          </cell>
          <cell r="AB200">
            <v>12866.727536603004</v>
          </cell>
          <cell r="AC200">
            <v>0.13531620930746194</v>
          </cell>
        </row>
        <row r="201">
          <cell r="R201" t="str">
            <v>5010</v>
          </cell>
          <cell r="S201" t="str">
            <v>Brian Kennedy Field</v>
          </cell>
          <cell r="Y201">
            <v>42275</v>
          </cell>
          <cell r="Z201">
            <v>42305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42275</v>
          </cell>
          <cell r="Z202">
            <v>42305</v>
          </cell>
          <cell r="AA202">
            <v>699.86429506279626</v>
          </cell>
          <cell r="AB202">
            <v>94.23966227166045</v>
          </cell>
          <cell r="AC202">
            <v>0.13465419358649333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42275</v>
          </cell>
          <cell r="Z203">
            <v>42305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42275</v>
          </cell>
          <cell r="Z205">
            <v>42305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42275</v>
          </cell>
          <cell r="AG205">
            <v>42305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42275</v>
          </cell>
          <cell r="Z206">
            <v>42305</v>
          </cell>
          <cell r="AC206">
            <v>0</v>
          </cell>
          <cell r="AE206" t="str">
            <v>1-63-43981-03000-00-0000-3-01</v>
          </cell>
          <cell r="AF206">
            <v>42275</v>
          </cell>
          <cell r="AG206">
            <v>42305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42275</v>
          </cell>
          <cell r="AG209">
            <v>42305</v>
          </cell>
          <cell r="AK209">
            <v>0</v>
          </cell>
        </row>
        <row r="212">
          <cell r="AA212">
            <v>14579759.659578847</v>
          </cell>
          <cell r="AB212">
            <v>1997535.0900000008</v>
          </cell>
          <cell r="AC212">
            <v>0.13700740867066541</v>
          </cell>
        </row>
        <row r="216">
          <cell r="Z216" t="str">
            <v>ALLOCATED DWP PAYMENT:</v>
          </cell>
          <cell r="AA216">
            <v>14579759.659578847</v>
          </cell>
          <cell r="AB216">
            <v>1997535.0900000008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5089405.2066463744</v>
          </cell>
          <cell r="AB218">
            <v>688541.20143612602</v>
          </cell>
          <cell r="AC218">
            <v>0.13528912976646934</v>
          </cell>
          <cell r="AN218">
            <v>27960.011436126078</v>
          </cell>
        </row>
        <row r="219">
          <cell r="S219">
            <v>1656479</v>
          </cell>
          <cell r="Z219" t="str">
            <v>Jefferson 1</v>
          </cell>
          <cell r="AA219">
            <v>3726287.0657393211</v>
          </cell>
          <cell r="AB219">
            <v>501767.17902164586</v>
          </cell>
          <cell r="AC219">
            <v>0.13465607189393816</v>
          </cell>
          <cell r="AN219">
            <v>-27939.510978354083</v>
          </cell>
        </row>
        <row r="220">
          <cell r="S220">
            <v>1134280</v>
          </cell>
          <cell r="Z220" t="str">
            <v>Jefferson 2</v>
          </cell>
          <cell r="AA220">
            <v>2699555.0841931491</v>
          </cell>
          <cell r="AB220">
            <v>371965.86954222817</v>
          </cell>
          <cell r="AC220">
            <v>0.13778784204857314</v>
          </cell>
          <cell r="AN220">
            <v>-86.500457771820948</v>
          </cell>
        </row>
        <row r="221">
          <cell r="S221">
            <v>8943554</v>
          </cell>
          <cell r="W221">
            <v>0</v>
          </cell>
          <cell r="AA221">
            <v>11515247.356578846</v>
          </cell>
          <cell r="AB221">
            <v>1562274.25</v>
          </cell>
          <cell r="AC221">
            <v>0.13567005567687157</v>
          </cell>
          <cell r="AD221">
            <v>1562274.25</v>
          </cell>
          <cell r="AN221">
            <v>-65.999999999825377</v>
          </cell>
        </row>
        <row r="223">
          <cell r="X223" t="str">
            <v>DWP :</v>
          </cell>
          <cell r="Z223" t="str">
            <v>Biegler Vault</v>
          </cell>
          <cell r="AA223">
            <v>4881922.08</v>
          </cell>
          <cell r="AB223">
            <v>660603.18999999994</v>
          </cell>
          <cell r="AC223">
            <v>0.13531620930746194</v>
          </cell>
          <cell r="AD223">
            <v>27938.011436126078</v>
          </cell>
          <cell r="AE223" t="str">
            <v>1-63-96675-00946-00-0000-0-01</v>
          </cell>
          <cell r="AF223">
            <v>42275</v>
          </cell>
          <cell r="AG223">
            <v>42305</v>
          </cell>
          <cell r="AH223">
            <v>4881922.08</v>
          </cell>
          <cell r="AI223">
            <v>660603.18999999994</v>
          </cell>
          <cell r="AK223">
            <v>660603.18999999994</v>
          </cell>
        </row>
        <row r="224">
          <cell r="Z224" t="str">
            <v>Jefferson 6</v>
          </cell>
          <cell r="AA224">
            <v>3933993.26</v>
          </cell>
          <cell r="AB224">
            <v>529728.68999999994</v>
          </cell>
          <cell r="AC224">
            <v>0.13465419358649333</v>
          </cell>
          <cell r="AD224">
            <v>-27961.510978354083</v>
          </cell>
          <cell r="AE224" t="str">
            <v>1-63-45784-00912-00-9006-0-01</v>
          </cell>
          <cell r="AF224">
            <v>42275</v>
          </cell>
          <cell r="AG224">
            <v>42305</v>
          </cell>
          <cell r="AH224">
            <v>3933993.26</v>
          </cell>
          <cell r="AI224">
            <v>529728.68999999994</v>
          </cell>
          <cell r="AK224">
            <v>529728.68999999994</v>
          </cell>
        </row>
        <row r="225">
          <cell r="Z225" t="str">
            <v>Jefferson 5</v>
          </cell>
          <cell r="AA225">
            <v>2691876.04</v>
          </cell>
          <cell r="AB225">
            <v>372052.37</v>
          </cell>
          <cell r="AC225">
            <v>0.13821303970594426</v>
          </cell>
          <cell r="AD225">
            <v>-86.500457771820948</v>
          </cell>
          <cell r="AE225" t="str">
            <v>1-63-45784-00912-00-9005-0-01</v>
          </cell>
          <cell r="AF225">
            <v>42275</v>
          </cell>
          <cell r="AG225">
            <v>42305</v>
          </cell>
          <cell r="AH225">
            <v>2691876.04</v>
          </cell>
          <cell r="AI225">
            <v>372052.37</v>
          </cell>
          <cell r="AK225">
            <v>372052.37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42305</v>
          </cell>
          <cell r="Z9">
            <v>42338</v>
          </cell>
          <cell r="AA9">
            <v>47843.743401056505</v>
          </cell>
          <cell r="AB9">
            <v>6504.7305702870626</v>
          </cell>
          <cell r="AC9">
            <v>0.13595780990129261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42305</v>
          </cell>
          <cell r="Z10">
            <v>42338</v>
          </cell>
          <cell r="AA10">
            <v>36711.82863459309</v>
          </cell>
          <cell r="AB10">
            <v>4991.2598186308378</v>
          </cell>
          <cell r="AC10">
            <v>0.13595780990129261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42305</v>
          </cell>
          <cell r="Z11">
            <v>42339</v>
          </cell>
          <cell r="AA11">
            <v>5065.3087337755323</v>
          </cell>
          <cell r="AB11">
            <v>688.66828191801096</v>
          </cell>
          <cell r="AC11">
            <v>0.13595780990129261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42305</v>
          </cell>
          <cell r="Z12">
            <v>42338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42305</v>
          </cell>
          <cell r="Z13">
            <v>42338</v>
          </cell>
          <cell r="AA13">
            <v>97985.299567604277</v>
          </cell>
          <cell r="AB13">
            <v>13358.892620251581</v>
          </cell>
          <cell r="AC13">
            <v>0.13633568177270006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42305</v>
          </cell>
          <cell r="Z14">
            <v>42338</v>
          </cell>
          <cell r="AA14">
            <v>41396.356589464478</v>
          </cell>
          <cell r="AB14">
            <v>5643.8004985304442</v>
          </cell>
          <cell r="AC14">
            <v>0.13633568177270006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42305</v>
          </cell>
          <cell r="Z15">
            <v>42338</v>
          </cell>
          <cell r="AA15">
            <v>111701.3225427001</v>
          </cell>
          <cell r="AB15">
            <v>15228.875963771288</v>
          </cell>
          <cell r="AC15">
            <v>0.13633568177270006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42305</v>
          </cell>
          <cell r="Z16">
            <v>42338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42305</v>
          </cell>
          <cell r="Z17">
            <v>42338</v>
          </cell>
          <cell r="AA17">
            <v>206694.36442638264</v>
          </cell>
          <cell r="AB17">
            <v>28101.713106350628</v>
          </cell>
          <cell r="AC17">
            <v>0.13595780990129261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42305</v>
          </cell>
          <cell r="Z18">
            <v>42338</v>
          </cell>
          <cell r="AA18">
            <v>110930.12934645638</v>
          </cell>
          <cell r="AB18">
            <v>15081.817438011316</v>
          </cell>
          <cell r="AC18">
            <v>0.13595780990129261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42305</v>
          </cell>
          <cell r="Z19">
            <v>42338</v>
          </cell>
          <cell r="AA19">
            <v>52787.760367165603</v>
          </cell>
          <cell r="AB19">
            <v>7176.9082891140888</v>
          </cell>
          <cell r="AC19">
            <v>0.13595780990129261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42305</v>
          </cell>
          <cell r="Z20">
            <v>42338</v>
          </cell>
          <cell r="AA20">
            <v>28465.267966154621</v>
          </cell>
          <cell r="AB20">
            <v>3832.0151929485155</v>
          </cell>
          <cell r="AC20">
            <v>0.13462073139465278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42305</v>
          </cell>
          <cell r="Z21">
            <v>42338</v>
          </cell>
          <cell r="AA21">
            <v>1568.6321372656798</v>
          </cell>
          <cell r="AB21">
            <v>213.86053188468406</v>
          </cell>
          <cell r="AC21">
            <v>0.13633568177270006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42305</v>
          </cell>
          <cell r="Z22">
            <v>42338</v>
          </cell>
          <cell r="AA22">
            <v>9950.211273924373</v>
          </cell>
          <cell r="AB22">
            <v>1356.5688378128857</v>
          </cell>
          <cell r="AC22">
            <v>0.13633568177270006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42305</v>
          </cell>
          <cell r="Z23">
            <v>42338</v>
          </cell>
          <cell r="AA23">
            <v>102119.10905675238</v>
          </cell>
          <cell r="AB23">
            <v>13922.478355273044</v>
          </cell>
          <cell r="AC23">
            <v>0.13633568177270006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42305</v>
          </cell>
          <cell r="Z24">
            <v>42338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42305</v>
          </cell>
          <cell r="Z25">
            <v>42338</v>
          </cell>
          <cell r="AA25">
            <v>178043.35541724259</v>
          </cell>
          <cell r="AB25">
            <v>24206.384670005744</v>
          </cell>
          <cell r="AC25">
            <v>0.13595780990129261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42305</v>
          </cell>
          <cell r="Z26">
            <v>42338</v>
          </cell>
          <cell r="AA26">
            <v>151748.49525639965</v>
          </cell>
          <cell r="AB26">
            <v>20631.393070876788</v>
          </cell>
          <cell r="AC26">
            <v>0.13595780990129261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42305</v>
          </cell>
          <cell r="Z27">
            <v>42338</v>
          </cell>
          <cell r="AA27">
            <v>3484.7513269839719</v>
          </cell>
          <cell r="AB27">
            <v>469.11977236706912</v>
          </cell>
          <cell r="AC27">
            <v>0.13462073139465278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42305</v>
          </cell>
          <cell r="Z28">
            <v>42338</v>
          </cell>
          <cell r="AA28">
            <v>45907.731232315491</v>
          </cell>
          <cell r="AB28">
            <v>6241.5145958827834</v>
          </cell>
          <cell r="AC28">
            <v>0.13595780990129261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42305</v>
          </cell>
          <cell r="Z29">
            <v>42338</v>
          </cell>
          <cell r="AA29">
            <v>314368.23513121076</v>
          </cell>
          <cell r="AB29">
            <v>42320.481740609772</v>
          </cell>
          <cell r="AC29">
            <v>0.13462073139465278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42305</v>
          </cell>
          <cell r="Z30">
            <v>42338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42305</v>
          </cell>
          <cell r="Z31">
            <v>42338</v>
          </cell>
          <cell r="AA31">
            <v>58146.163723084879</v>
          </cell>
          <cell r="AB31">
            <v>7827.6790881949128</v>
          </cell>
          <cell r="AC31">
            <v>0.13462073139465278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42305</v>
          </cell>
          <cell r="Z32">
            <v>42338</v>
          </cell>
          <cell r="AA32">
            <v>99972.042833078565</v>
          </cell>
          <cell r="AB32">
            <v>13591.979994943578</v>
          </cell>
          <cell r="AC32">
            <v>0.13595780990129261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42305</v>
          </cell>
          <cell r="Z33">
            <v>42338</v>
          </cell>
          <cell r="AA33">
            <v>171589.43830814835</v>
          </cell>
          <cell r="AB33">
            <v>23328.924234568811</v>
          </cell>
          <cell r="AC33">
            <v>0.13595780990129261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42305</v>
          </cell>
          <cell r="Z34">
            <v>42338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42305</v>
          </cell>
          <cell r="Z35">
            <v>42338</v>
          </cell>
          <cell r="AA35">
            <v>126806.69210046215</v>
          </cell>
          <cell r="AB35">
            <v>17070.809636300753</v>
          </cell>
          <cell r="AC35">
            <v>0.13462073139465278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42305</v>
          </cell>
          <cell r="Z36">
            <v>42338</v>
          </cell>
          <cell r="AA36">
            <v>127226.50632973308</v>
          </cell>
          <cell r="AB36">
            <v>17345.512480022899</v>
          </cell>
          <cell r="AC36">
            <v>0.13633568177270006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42305</v>
          </cell>
          <cell r="Z37">
            <v>42338</v>
          </cell>
          <cell r="AA37">
            <v>189244.71439414108</v>
          </cell>
          <cell r="AB37">
            <v>25476.261864311447</v>
          </cell>
          <cell r="AC37">
            <v>0.13462073139465278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42305</v>
          </cell>
          <cell r="Z38">
            <v>42338</v>
          </cell>
          <cell r="AA38">
            <v>57770.490142171759</v>
          </cell>
          <cell r="AB38">
            <v>7777.10563596674</v>
          </cell>
          <cell r="AC38">
            <v>0.13462073139465278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42305</v>
          </cell>
          <cell r="Z39">
            <v>42338</v>
          </cell>
          <cell r="AA39">
            <v>22049.305577905805</v>
          </cell>
          <cell r="AB39">
            <v>2968.2936436418768</v>
          </cell>
          <cell r="AC39">
            <v>0.13462073139465278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42305</v>
          </cell>
          <cell r="Z40">
            <v>42338</v>
          </cell>
          <cell r="AA40">
            <v>57164.815287632598</v>
          </cell>
          <cell r="AB40">
            <v>7695.5692440613284</v>
          </cell>
          <cell r="AC40">
            <v>0.13462073139465278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42305</v>
          </cell>
          <cell r="Z41">
            <v>42338</v>
          </cell>
          <cell r="AA41">
            <v>38887.570464881188</v>
          </cell>
          <cell r="AB41">
            <v>5301.7634318134915</v>
          </cell>
          <cell r="AC41">
            <v>0.13633568177270006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42305</v>
          </cell>
          <cell r="Z42">
            <v>42339</v>
          </cell>
          <cell r="AA42">
            <v>17012.64</v>
          </cell>
          <cell r="AB42">
            <v>2526.7924400000002</v>
          </cell>
          <cell r="AC42">
            <v>0.14852441713925649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42305</v>
          </cell>
          <cell r="Z43">
            <v>42338</v>
          </cell>
          <cell r="AA43">
            <v>50033.97938993523</v>
          </cell>
          <cell r="AB43">
            <v>6802.5102585020059</v>
          </cell>
          <cell r="AC43">
            <v>0.13595780990129261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42305</v>
          </cell>
          <cell r="Z44">
            <v>42338</v>
          </cell>
          <cell r="AA44">
            <v>13670.428076702947</v>
          </cell>
          <cell r="AB44">
            <v>1858.6014617216724</v>
          </cell>
          <cell r="AC44">
            <v>0.13595780990129261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42305</v>
          </cell>
          <cell r="Z45">
            <v>42338</v>
          </cell>
          <cell r="AA45">
            <v>11065.566015344566</v>
          </cell>
          <cell r="AB45">
            <v>1508.6314869028213</v>
          </cell>
          <cell r="AC45">
            <v>0.13633568177270006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42305</v>
          </cell>
          <cell r="Z46">
            <v>42338</v>
          </cell>
          <cell r="AA46">
            <v>3370.5188965414086</v>
          </cell>
          <cell r="AB46">
            <v>459.5219916877416</v>
          </cell>
          <cell r="AC46">
            <v>0.13633568177270006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42305</v>
          </cell>
          <cell r="Z47">
            <v>42338</v>
          </cell>
          <cell r="AA47">
            <v>207358.69237951687</v>
          </cell>
          <cell r="AB47">
            <v>27914.778829169376</v>
          </cell>
          <cell r="AC47">
            <v>0.13462073139465278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42305</v>
          </cell>
          <cell r="Z48">
            <v>42338</v>
          </cell>
          <cell r="AA48">
            <v>6920.7760285339309</v>
          </cell>
          <cell r="AB48">
            <v>931.67993077981816</v>
          </cell>
          <cell r="AC48">
            <v>0.13462073139465278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42305</v>
          </cell>
          <cell r="Z49">
            <v>42338</v>
          </cell>
          <cell r="AA49">
            <v>53217.741097899714</v>
          </cell>
          <cell r="AB49">
            <v>7164.2112297705316</v>
          </cell>
          <cell r="AC49">
            <v>0.13462073139465278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42305</v>
          </cell>
          <cell r="Z50">
            <v>42339</v>
          </cell>
          <cell r="AA50">
            <v>8125.4400000000005</v>
          </cell>
          <cell r="AB50">
            <v>1206.8262400000001</v>
          </cell>
          <cell r="AC50">
            <v>0.14852441713925646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42305</v>
          </cell>
          <cell r="Z51">
            <v>42338</v>
          </cell>
          <cell r="AA51">
            <v>84487.32787158477</v>
          </cell>
          <cell r="AB51">
            <v>11373.745871652574</v>
          </cell>
          <cell r="AC51">
            <v>0.13462073139465278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42305</v>
          </cell>
          <cell r="Z52">
            <v>42338</v>
          </cell>
          <cell r="AA52">
            <v>91159.395082799267</v>
          </cell>
          <cell r="AB52">
            <v>12271.944439540552</v>
          </cell>
          <cell r="AC52">
            <v>0.13462073139465278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42305</v>
          </cell>
          <cell r="Z53">
            <v>42338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42305</v>
          </cell>
          <cell r="Z55">
            <v>42338</v>
          </cell>
          <cell r="AA55">
            <v>474764.84655273927</v>
          </cell>
          <cell r="AB55">
            <v>64547.988755433682</v>
          </cell>
          <cell r="AC55">
            <v>0.13595780990129261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42305</v>
          </cell>
          <cell r="Z56">
            <v>42338</v>
          </cell>
          <cell r="AA56">
            <v>6025.7874339722403</v>
          </cell>
          <cell r="AB56">
            <v>819.25286245359564</v>
          </cell>
          <cell r="AC56">
            <v>0.13595780990129261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42305</v>
          </cell>
          <cell r="Z57">
            <v>42338</v>
          </cell>
          <cell r="AA57">
            <v>70249.074374413511</v>
          </cell>
          <cell r="AB57">
            <v>9456.981772080906</v>
          </cell>
          <cell r="AC57">
            <v>0.13462073139465278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42305</v>
          </cell>
          <cell r="Z58">
            <v>42338</v>
          </cell>
          <cell r="AA58">
            <v>410221.48344443477</v>
          </cell>
          <cell r="AB58">
            <v>55224.316135089255</v>
          </cell>
          <cell r="AC58">
            <v>0.13462073139465278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42305</v>
          </cell>
          <cell r="Z59">
            <v>42338</v>
          </cell>
          <cell r="AA59">
            <v>19799.193230248675</v>
          </cell>
          <cell r="AB59">
            <v>2691.8549493971091</v>
          </cell>
          <cell r="AC59">
            <v>0.13595780990129261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42305</v>
          </cell>
          <cell r="Z60">
            <v>42338</v>
          </cell>
          <cell r="AA60">
            <v>45452.130485054055</v>
          </cell>
          <cell r="AB60">
            <v>6179.5721160957255</v>
          </cell>
          <cell r="AC60">
            <v>0.13595780990129261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42305</v>
          </cell>
          <cell r="Z61">
            <v>42338</v>
          </cell>
          <cell r="AA61">
            <v>164888.74716119145</v>
          </cell>
          <cell r="AB61">
            <v>22417.912941403571</v>
          </cell>
          <cell r="AC61">
            <v>0.13595780990129261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42305</v>
          </cell>
          <cell r="Z62">
            <v>42338</v>
          </cell>
          <cell r="AA62">
            <v>25721</v>
          </cell>
          <cell r="AB62">
            <v>3496.97</v>
          </cell>
          <cell r="AC62">
            <v>0.13595777769138057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42305</v>
          </cell>
          <cell r="Z63">
            <v>42338</v>
          </cell>
          <cell r="AA63">
            <v>21366.130768777555</v>
          </cell>
          <cell r="AB63">
            <v>2904.8923453876178</v>
          </cell>
          <cell r="AC63">
            <v>0.13595780990129261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42305</v>
          </cell>
          <cell r="Z64">
            <v>42338</v>
          </cell>
          <cell r="AA64">
            <v>44196.376560307901</v>
          </cell>
          <cell r="AB64">
            <v>6008.8425627122861</v>
          </cell>
          <cell r="AC64">
            <v>0.13595780990129261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42305</v>
          </cell>
          <cell r="Z65">
            <v>42338</v>
          </cell>
          <cell r="AA65">
            <v>5706.8436303196204</v>
          </cell>
          <cell r="AB65">
            <v>775.88996142739757</v>
          </cell>
          <cell r="AC65">
            <v>0.13595780990129261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42305</v>
          </cell>
          <cell r="Z66">
            <v>42339</v>
          </cell>
          <cell r="AA66">
            <v>0</v>
          </cell>
          <cell r="AB66">
            <v>0</v>
          </cell>
          <cell r="AC66">
            <v>0</v>
          </cell>
          <cell r="AE66" t="str">
            <v>1-52-34746-03601-00-9002-0-02</v>
          </cell>
          <cell r="AF66">
            <v>42305</v>
          </cell>
          <cell r="AG66">
            <v>42339</v>
          </cell>
          <cell r="AK66">
            <v>0</v>
          </cell>
          <cell r="AL66">
            <v>0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42305</v>
          </cell>
          <cell r="Z67">
            <v>42338</v>
          </cell>
          <cell r="AA67">
            <v>8702.415780824309</v>
          </cell>
          <cell r="AB67">
            <v>1171.5255773149368</v>
          </cell>
          <cell r="AC67">
            <v>0.13462073139465278</v>
          </cell>
          <cell r="AE67" t="str">
            <v>1-52-34746-03601-00-9003-0-01</v>
          </cell>
          <cell r="AF67">
            <v>42305</v>
          </cell>
          <cell r="AG67">
            <v>42339</v>
          </cell>
          <cell r="AK67">
            <v>0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42305</v>
          </cell>
          <cell r="Z68">
            <v>42338</v>
          </cell>
          <cell r="AA68">
            <v>27448.82475881237</v>
          </cell>
          <cell r="AB68">
            <v>3695.1808649549748</v>
          </cell>
          <cell r="AC68">
            <v>0.13462073139465278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42305</v>
          </cell>
          <cell r="Z69">
            <v>42338</v>
          </cell>
          <cell r="AA69">
            <v>51223.212398772652</v>
          </cell>
          <cell r="AB69">
            <v>6895.7063175064204</v>
          </cell>
          <cell r="AC69">
            <v>0.13462073139465278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42305</v>
          </cell>
          <cell r="Z70">
            <v>42338</v>
          </cell>
          <cell r="AA70">
            <v>45268.508012876911</v>
          </cell>
          <cell r="AB70">
            <v>6171.7129027685096</v>
          </cell>
          <cell r="AC70">
            <v>0.13633568177270006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42305</v>
          </cell>
          <cell r="Z71">
            <v>42338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42305</v>
          </cell>
          <cell r="Z72">
            <v>42338</v>
          </cell>
          <cell r="AA72">
            <v>81898.327820400678</v>
          </cell>
          <cell r="AB72">
            <v>11134.71728503978</v>
          </cell>
          <cell r="AC72">
            <v>0.13595780990129261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42305</v>
          </cell>
          <cell r="Z73">
            <v>42338</v>
          </cell>
          <cell r="AA73">
            <v>45757.881965927845</v>
          </cell>
          <cell r="AB73">
            <v>6221.1414178094037</v>
          </cell>
          <cell r="AC73">
            <v>0.13595780990129261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42305</v>
          </cell>
          <cell r="Z74">
            <v>42338</v>
          </cell>
          <cell r="AA74">
            <v>62346.607045102915</v>
          </cell>
          <cell r="AB74">
            <v>8476.5081486286927</v>
          </cell>
          <cell r="AC74">
            <v>0.13595780990129261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42305</v>
          </cell>
          <cell r="Z75">
            <v>42338</v>
          </cell>
          <cell r="AA75">
            <v>10371.338557315159</v>
          </cell>
          <cell r="AB75">
            <v>1410.0644759974007</v>
          </cell>
          <cell r="AC75">
            <v>0.13595780990129261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42305</v>
          </cell>
          <cell r="Z76">
            <v>42338</v>
          </cell>
          <cell r="AA76">
            <v>18895.287023422316</v>
          </cell>
          <cell r="AB76">
            <v>2576.1018386291335</v>
          </cell>
          <cell r="AC76">
            <v>0.13633568177270006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42305</v>
          </cell>
          <cell r="Z78">
            <v>42338</v>
          </cell>
          <cell r="AA78">
            <v>32270.361564458286</v>
          </cell>
          <cell r="AB78">
            <v>4387.4076830265994</v>
          </cell>
          <cell r="AC78">
            <v>0.13595780990129261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42305</v>
          </cell>
          <cell r="Z79">
            <v>42338</v>
          </cell>
          <cell r="AA79">
            <v>38137.763523186011</v>
          </cell>
          <cell r="AB79">
            <v>5185.1268031457748</v>
          </cell>
          <cell r="AC79">
            <v>0.13595780990129261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42305</v>
          </cell>
          <cell r="Z80">
            <v>42338</v>
          </cell>
          <cell r="AA80">
            <v>92166.223046750165</v>
          </cell>
          <cell r="AB80">
            <v>12530.717832310193</v>
          </cell>
          <cell r="AC80">
            <v>0.13595780990129261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42305</v>
          </cell>
          <cell r="Z81">
            <v>42338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42305</v>
          </cell>
          <cell r="Z82">
            <v>42338</v>
          </cell>
          <cell r="AA82">
            <v>15189.562845633283</v>
          </cell>
          <cell r="AB82">
            <v>2065.1396978503471</v>
          </cell>
          <cell r="AC82">
            <v>0.13595780990129261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42305</v>
          </cell>
          <cell r="Z83">
            <v>42338</v>
          </cell>
          <cell r="AA83">
            <v>243294.26949336319</v>
          </cell>
          <cell r="AB83">
            <v>33169.690102768691</v>
          </cell>
          <cell r="AC83">
            <v>0.13633568177270006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42305</v>
          </cell>
          <cell r="Z84">
            <v>42338</v>
          </cell>
          <cell r="AA84">
            <v>127472.91268749745</v>
          </cell>
          <cell r="AB84">
            <v>17160.496738997619</v>
          </cell>
          <cell r="AC84">
            <v>0.13462073139465278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42305</v>
          </cell>
          <cell r="Z85">
            <v>42338</v>
          </cell>
          <cell r="AA85">
            <v>4810.4064000000008</v>
          </cell>
          <cell r="AB85">
            <v>654.01062570570889</v>
          </cell>
          <cell r="AC85">
            <v>0.13595745791991895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42305</v>
          </cell>
          <cell r="Z86">
            <v>42338</v>
          </cell>
          <cell r="AA86">
            <v>19435.5936</v>
          </cell>
          <cell r="AB86">
            <v>2642.4138990206461</v>
          </cell>
          <cell r="AC86">
            <v>0.13595745791991895</v>
          </cell>
          <cell r="AL86">
            <v>24246</v>
          </cell>
          <cell r="AM86">
            <v>3296.4245247263548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42305</v>
          </cell>
          <cell r="Z87">
            <v>42338</v>
          </cell>
          <cell r="AA87">
            <v>12000</v>
          </cell>
          <cell r="AB87">
            <v>2322.27</v>
          </cell>
          <cell r="AC87">
            <v>0.19352249999999999</v>
          </cell>
          <cell r="AE87" t="str">
            <v>1-63-86192-02715-00-9001-0-01</v>
          </cell>
          <cell r="AF87">
            <v>42305</v>
          </cell>
          <cell r="AG87">
            <v>42339</v>
          </cell>
          <cell r="AH87">
            <v>12000</v>
          </cell>
          <cell r="AI87">
            <v>2322.27</v>
          </cell>
          <cell r="AK87">
            <v>2322.27</v>
          </cell>
          <cell r="AM87">
            <v>3296.4245247263552</v>
          </cell>
          <cell r="AN87">
            <v>3296.4245247263552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42305</v>
          </cell>
          <cell r="Z88">
            <v>42338</v>
          </cell>
          <cell r="AA88">
            <v>27696.583257041806</v>
          </cell>
          <cell r="AB88">
            <v>3765.5668013762138</v>
          </cell>
          <cell r="AC88">
            <v>0.13595780990129261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42305</v>
          </cell>
          <cell r="Z89">
            <v>42338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42305</v>
          </cell>
          <cell r="Z90">
            <v>42338</v>
          </cell>
          <cell r="AA90">
            <v>34769.375508260069</v>
          </cell>
          <cell r="AB90">
            <v>4727.1681457386812</v>
          </cell>
          <cell r="AC90">
            <v>0.13595780990129261</v>
          </cell>
          <cell r="AL90">
            <v>34769</v>
          </cell>
          <cell r="AM90">
            <v>4727.1681457386812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42305</v>
          </cell>
          <cell r="Z91">
            <v>42338</v>
          </cell>
          <cell r="AA91">
            <v>0</v>
          </cell>
          <cell r="AB91">
            <v>0</v>
          </cell>
          <cell r="AC91">
            <v>0</v>
          </cell>
          <cell r="AM91">
            <v>4727.1681457386812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42305</v>
          </cell>
          <cell r="Z92">
            <v>42338</v>
          </cell>
          <cell r="AA92">
            <v>51516.408460780964</v>
          </cell>
          <cell r="AB92">
            <v>7004.0580683082007</v>
          </cell>
          <cell r="AC92">
            <v>0.13595780990129261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42305</v>
          </cell>
          <cell r="Z93">
            <v>42338</v>
          </cell>
          <cell r="AA93">
            <v>9841.3083140788713</v>
          </cell>
          <cell r="AB93">
            <v>1341.7214785352844</v>
          </cell>
          <cell r="AC93">
            <v>0.13633568177270006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42305</v>
          </cell>
          <cell r="Z94">
            <v>42338</v>
          </cell>
          <cell r="AA94">
            <v>88571.705550017839</v>
          </cell>
          <cell r="AB94">
            <v>12075.483861932524</v>
          </cell>
          <cell r="AC94">
            <v>0.13633568177270006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42305</v>
          </cell>
          <cell r="Z95">
            <v>42338</v>
          </cell>
          <cell r="AA95">
            <v>48517.948696952837</v>
          </cell>
          <cell r="AB95">
            <v>6596.3940457409817</v>
          </cell>
          <cell r="AC95">
            <v>0.13595780990129261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42305</v>
          </cell>
          <cell r="Z96">
            <v>42338</v>
          </cell>
          <cell r="AA96">
            <v>6889.0820839160433</v>
          </cell>
          <cell r="AB96">
            <v>939.22770269878708</v>
          </cell>
          <cell r="AC96">
            <v>0.13633568177270006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42305</v>
          </cell>
          <cell r="Z97">
            <v>42338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42305</v>
          </cell>
          <cell r="Z98">
            <v>42338</v>
          </cell>
          <cell r="AA98">
            <v>0</v>
          </cell>
          <cell r="AB98">
            <v>0</v>
          </cell>
          <cell r="AC98">
            <v>0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42305</v>
          </cell>
          <cell r="Z99">
            <v>42338</v>
          </cell>
          <cell r="AA99">
            <v>22678.546136709923</v>
          </cell>
          <cell r="AB99">
            <v>3053.0024678912669</v>
          </cell>
          <cell r="AC99">
            <v>0.13462073139465278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42305</v>
          </cell>
          <cell r="Z100">
            <v>42338</v>
          </cell>
          <cell r="AA100">
            <v>10115.436184376993</v>
          </cell>
          <cell r="AB100">
            <v>1379.094888625277</v>
          </cell>
          <cell r="AC100">
            <v>0.13633568177270006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42305</v>
          </cell>
          <cell r="Z101">
            <v>42338</v>
          </cell>
          <cell r="AA101">
            <v>27208.005128219411</v>
          </cell>
          <cell r="AB101">
            <v>3709.4219288309127</v>
          </cell>
          <cell r="AC101">
            <v>0.13633568177270006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42305</v>
          </cell>
          <cell r="Z102">
            <v>42338</v>
          </cell>
          <cell r="AA102">
            <v>65992.818144724326</v>
          </cell>
          <cell r="AB102">
            <v>8884.0014454371012</v>
          </cell>
          <cell r="AC102">
            <v>0.13462073139465278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42305</v>
          </cell>
          <cell r="Z103">
            <v>42338</v>
          </cell>
          <cell r="AA103">
            <v>9963.6522730850538</v>
          </cell>
          <cell r="AB103">
            <v>1341.3141563647046</v>
          </cell>
          <cell r="AC103">
            <v>0.13462073139465278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42305</v>
          </cell>
          <cell r="Z104">
            <v>42338</v>
          </cell>
          <cell r="AA104">
            <v>242821.81435461668</v>
          </cell>
          <cell r="AB104">
            <v>32688.850246995094</v>
          </cell>
          <cell r="AC104">
            <v>0.13462073139465278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42305</v>
          </cell>
          <cell r="Z106">
            <v>42338</v>
          </cell>
          <cell r="AA106">
            <v>102202.39900358464</v>
          </cell>
          <cell r="AB106">
            <v>13895.214335185417</v>
          </cell>
          <cell r="AC106">
            <v>0.13595780990129261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42305</v>
          </cell>
          <cell r="Z107">
            <v>42338</v>
          </cell>
          <cell r="AA107">
            <v>4151.7015803929798</v>
          </cell>
          <cell r="AB107">
            <v>564.45625423396484</v>
          </cell>
          <cell r="AC107">
            <v>0.13595780990129261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42305</v>
          </cell>
          <cell r="Z108">
            <v>42338</v>
          </cell>
          <cell r="AA108">
            <v>16382.442545845664</v>
          </cell>
          <cell r="AB108">
            <v>2205.4163975526208</v>
          </cell>
          <cell r="AC108">
            <v>0.13462073139465278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42305</v>
          </cell>
          <cell r="Z109">
            <v>42338</v>
          </cell>
          <cell r="AA109">
            <v>86387.132048741842</v>
          </cell>
          <cell r="AB109">
            <v>11745.005277000706</v>
          </cell>
          <cell r="AC109">
            <v>0.13595780990129261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42305</v>
          </cell>
          <cell r="Z110">
            <v>42338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42305</v>
          </cell>
          <cell r="Z111">
            <v>42338</v>
          </cell>
          <cell r="AA111">
            <v>203204.53003168944</v>
          </cell>
          <cell r="AB111">
            <v>27355.542455572719</v>
          </cell>
          <cell r="AC111">
            <v>0.13462073139465278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42305</v>
          </cell>
          <cell r="Z112">
            <v>42338</v>
          </cell>
          <cell r="AA112">
            <v>39955.678502348062</v>
          </cell>
          <cell r="AB112">
            <v>5447.3846693084379</v>
          </cell>
          <cell r="AC112">
            <v>0.13633568177270006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42307</v>
          </cell>
          <cell r="Z113">
            <v>42341</v>
          </cell>
          <cell r="AA113">
            <v>48746.217600000004</v>
          </cell>
          <cell r="AB113">
            <v>8387.4584238999996</v>
          </cell>
          <cell r="AC113">
            <v>0.17206377923976607</v>
          </cell>
          <cell r="AE113" t="str">
            <v>1-44-38866-03717-00-9001-3-01</v>
          </cell>
          <cell r="AF113">
            <v>42307</v>
          </cell>
          <cell r="AG113">
            <v>42341</v>
          </cell>
          <cell r="AH113">
            <v>54720</v>
          </cell>
          <cell r="AI113">
            <v>9415.33</v>
          </cell>
          <cell r="AK113">
            <v>9415.33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42307</v>
          </cell>
          <cell r="Z114">
            <v>42341</v>
          </cell>
          <cell r="AA114">
            <v>5973.7824000000001</v>
          </cell>
          <cell r="AB114">
            <v>1027.8715761000001</v>
          </cell>
          <cell r="AC114">
            <v>0.1720637792397661</v>
          </cell>
          <cell r="AE114" t="str">
            <v>1-44-38866-03717-00-9001-3-02</v>
          </cell>
          <cell r="AF114">
            <v>42305</v>
          </cell>
          <cell r="AG114">
            <v>42338</v>
          </cell>
          <cell r="AK114">
            <v>0</v>
          </cell>
          <cell r="AL114">
            <v>54720</v>
          </cell>
          <cell r="AM114">
            <v>9415.33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42305</v>
          </cell>
          <cell r="Z115">
            <v>42338</v>
          </cell>
          <cell r="AA115">
            <v>53458.121435965717</v>
          </cell>
          <cell r="AB115">
            <v>7288.2494322601769</v>
          </cell>
          <cell r="AC115">
            <v>0.13633568177270006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42305</v>
          </cell>
          <cell r="Z116">
            <v>42339</v>
          </cell>
          <cell r="AA116">
            <v>4480</v>
          </cell>
          <cell r="AB116">
            <v>754.86</v>
          </cell>
          <cell r="AC116">
            <v>0.16849553571428572</v>
          </cell>
          <cell r="AE116" t="str">
            <v>1-63-00433-00909-00-9001-3-01</v>
          </cell>
          <cell r="AF116">
            <v>42305</v>
          </cell>
          <cell r="AG116">
            <v>42339</v>
          </cell>
          <cell r="AH116">
            <v>4480</v>
          </cell>
          <cell r="AI116">
            <v>754.86</v>
          </cell>
          <cell r="AK116">
            <v>754.86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42305</v>
          </cell>
          <cell r="Z118">
            <v>42338</v>
          </cell>
          <cell r="AA118">
            <v>52863.311758336291</v>
          </cell>
          <cell r="AB118">
            <v>7207.1556493355693</v>
          </cell>
          <cell r="AC118">
            <v>0.13633568177270006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42305</v>
          </cell>
          <cell r="Z119">
            <v>42338</v>
          </cell>
          <cell r="AA119">
            <v>35518.367825488043</v>
          </cell>
          <cell r="AB119">
            <v>4842.4208929414463</v>
          </cell>
          <cell r="AC119">
            <v>0.13633568177270006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11520</v>
          </cell>
          <cell r="AB120">
            <v>1941.71</v>
          </cell>
          <cell r="AC120">
            <v>0.16855121527777778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42305</v>
          </cell>
          <cell r="Z121">
            <v>42338</v>
          </cell>
          <cell r="AA121">
            <v>65826.262997965518</v>
          </cell>
          <cell r="AB121">
            <v>8861.5796697628866</v>
          </cell>
          <cell r="AC121">
            <v>0.13462073139465278</v>
          </cell>
          <cell r="AE121" t="str">
            <v>1-44-43997-03440-00-9001-2-01</v>
          </cell>
          <cell r="AF121">
            <v>42307</v>
          </cell>
          <cell r="AG121">
            <v>42341</v>
          </cell>
          <cell r="AH121">
            <v>11520</v>
          </cell>
          <cell r="AI121">
            <v>1941.71</v>
          </cell>
          <cell r="AK121">
            <v>1941.71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42305</v>
          </cell>
          <cell r="Z123">
            <v>42338</v>
          </cell>
          <cell r="AA123">
            <v>57378.455888498451</v>
          </cell>
          <cell r="AB123">
            <v>7801.0491981181758</v>
          </cell>
          <cell r="AC123">
            <v>0.13595780990129261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42305</v>
          </cell>
          <cell r="Z124">
            <v>42339</v>
          </cell>
          <cell r="AA124">
            <v>668</v>
          </cell>
          <cell r="AB124">
            <v>114.12</v>
          </cell>
          <cell r="AC124">
            <v>0.17083832335329341</v>
          </cell>
          <cell r="AE124" t="str">
            <v>1-63-43981-02712-00-0000-0-01</v>
          </cell>
          <cell r="AF124">
            <v>42305</v>
          </cell>
          <cell r="AG124">
            <v>42339</v>
          </cell>
          <cell r="AH124">
            <v>668</v>
          </cell>
          <cell r="AI124">
            <v>114.12</v>
          </cell>
          <cell r="AK124">
            <v>114.12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42305</v>
          </cell>
          <cell r="Z125">
            <v>42338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42305</v>
          </cell>
          <cell r="AG125">
            <v>42338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42305</v>
          </cell>
          <cell r="Z126">
            <v>42338</v>
          </cell>
          <cell r="AA126">
            <v>31981.307761345757</v>
          </cell>
          <cell r="AB126">
            <v>4360.1933976256178</v>
          </cell>
          <cell r="AC126">
            <v>0.13633568177270006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42305</v>
          </cell>
          <cell r="Z127">
            <v>42338</v>
          </cell>
          <cell r="AA127">
            <v>49524.600526875416</v>
          </cell>
          <cell r="AB127">
            <v>6733.256223870384</v>
          </cell>
          <cell r="AC127">
            <v>0.13595780990129261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42305</v>
          </cell>
          <cell r="Z128">
            <v>42338</v>
          </cell>
          <cell r="AA128">
            <v>30052.344095845354</v>
          </cell>
          <cell r="AB128">
            <v>4085.850885671176</v>
          </cell>
          <cell r="AC128">
            <v>0.13595780990129261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42305</v>
          </cell>
          <cell r="Z129">
            <v>42338</v>
          </cell>
          <cell r="AA129">
            <v>275392.06606480374</v>
          </cell>
          <cell r="AB129">
            <v>37441.702166362804</v>
          </cell>
          <cell r="AC129">
            <v>0.13595780990129261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42305</v>
          </cell>
          <cell r="Z130">
            <v>42338</v>
          </cell>
          <cell r="AA130">
            <v>803.95567052095828</v>
          </cell>
          <cell r="AB130">
            <v>109.30405222175467</v>
          </cell>
          <cell r="AC130">
            <v>0.13595780990129261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42305</v>
          </cell>
          <cell r="Z131">
            <v>42338</v>
          </cell>
          <cell r="AA131">
            <v>1630.0278821711129</v>
          </cell>
          <cell r="AB131">
            <v>221.61502093802676</v>
          </cell>
          <cell r="AC131">
            <v>0.13595780990129261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42305</v>
          </cell>
          <cell r="Z132">
            <v>42338</v>
          </cell>
          <cell r="AA132">
            <v>2076.2473105320346</v>
          </cell>
          <cell r="AB132">
            <v>279.50593150000327</v>
          </cell>
          <cell r="AC132">
            <v>0.13462073139465278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42305</v>
          </cell>
          <cell r="Z133">
            <v>42338</v>
          </cell>
          <cell r="AA133">
            <v>23888.010589447029</v>
          </cell>
          <cell r="AB133">
            <v>3215.8214571145695</v>
          </cell>
          <cell r="AC133">
            <v>0.13462073139465278</v>
          </cell>
          <cell r="AE133" t="str">
            <v>1-63-34103-03131-00-9002-0-01</v>
          </cell>
          <cell r="AF133">
            <v>42305</v>
          </cell>
          <cell r="AG133">
            <v>42339</v>
          </cell>
          <cell r="AH133">
            <v>32240</v>
          </cell>
          <cell r="AI133">
            <v>6362.33</v>
          </cell>
          <cell r="AK133">
            <v>6362.33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42305</v>
          </cell>
          <cell r="Z134">
            <v>42338</v>
          </cell>
          <cell r="AA134">
            <v>11609.263529372143</v>
          </cell>
          <cell r="AB134">
            <v>1562.8475472773459</v>
          </cell>
          <cell r="AC134">
            <v>0.13462073139465278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42305</v>
          </cell>
          <cell r="Z136">
            <v>42339</v>
          </cell>
          <cell r="AA136">
            <v>83920</v>
          </cell>
          <cell r="AB136">
            <v>14269.51</v>
          </cell>
          <cell r="AC136">
            <v>0.17003705910390848</v>
          </cell>
          <cell r="AE136" t="str">
            <v>1-63-34103-03131-00-9001-0-01</v>
          </cell>
          <cell r="AF136">
            <v>42305</v>
          </cell>
          <cell r="AG136">
            <v>42339</v>
          </cell>
          <cell r="AH136">
            <v>51680</v>
          </cell>
          <cell r="AI136">
            <v>7907.18</v>
          </cell>
          <cell r="AK136">
            <v>7907.18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42307</v>
          </cell>
          <cell r="Z137">
            <v>42341</v>
          </cell>
          <cell r="AA137">
            <v>52386.18</v>
          </cell>
          <cell r="AB137">
            <v>7625.3140850000009</v>
          </cell>
          <cell r="AC137">
            <v>0.14555965113318056</v>
          </cell>
          <cell r="AE137" t="str">
            <v>1-44-38866-03447-00-9001-4-01</v>
          </cell>
          <cell r="AF137">
            <v>42307</v>
          </cell>
          <cell r="AG137">
            <v>42341</v>
          </cell>
          <cell r="AH137">
            <v>53440</v>
          </cell>
          <cell r="AI137">
            <v>7335.33</v>
          </cell>
          <cell r="AK137">
            <v>7335.33</v>
          </cell>
          <cell r="AL137">
            <v>157080</v>
          </cell>
          <cell r="AM137">
            <v>22864.510000000002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42307</v>
          </cell>
          <cell r="Z138">
            <v>42341</v>
          </cell>
          <cell r="AA138">
            <v>104693.81999999999</v>
          </cell>
          <cell r="AB138">
            <v>15239.195915</v>
          </cell>
          <cell r="AC138">
            <v>0.14555965113318056</v>
          </cell>
          <cell r="AL138">
            <v>157080</v>
          </cell>
          <cell r="AM138">
            <v>22864.510000000002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42307</v>
          </cell>
          <cell r="Z139">
            <v>42341</v>
          </cell>
          <cell r="AA139">
            <v>53440</v>
          </cell>
          <cell r="AB139">
            <v>7335.33</v>
          </cell>
          <cell r="AC139">
            <v>0.1372629116766467</v>
          </cell>
          <cell r="AE139">
            <v>5236180944</v>
          </cell>
          <cell r="AF139">
            <v>42307</v>
          </cell>
          <cell r="AG139">
            <v>42341</v>
          </cell>
          <cell r="AH139">
            <v>65280</v>
          </cell>
          <cell r="AI139">
            <v>9131.2199999999993</v>
          </cell>
          <cell r="AK139">
            <v>9131.2199999999993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42305</v>
          </cell>
          <cell r="Z140">
            <v>42338</v>
          </cell>
          <cell r="AA140">
            <v>22897.886457896508</v>
          </cell>
          <cell r="AB140">
            <v>3121.7989613911964</v>
          </cell>
          <cell r="AC140">
            <v>0.13633568177270006</v>
          </cell>
          <cell r="AE140">
            <v>5236180945</v>
          </cell>
          <cell r="AF140">
            <v>42307</v>
          </cell>
          <cell r="AG140">
            <v>42341</v>
          </cell>
          <cell r="AH140">
            <v>91800</v>
          </cell>
          <cell r="AI140">
            <v>13733.29</v>
          </cell>
          <cell r="AK140">
            <v>13733.29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42305</v>
          </cell>
          <cell r="Z141">
            <v>42338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42305</v>
          </cell>
          <cell r="Z142">
            <v>42338</v>
          </cell>
          <cell r="AA142">
            <v>22464.145089198879</v>
          </cell>
          <cell r="AB142">
            <v>3062.664536176781</v>
          </cell>
          <cell r="AC142">
            <v>0.13633568177270006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42305</v>
          </cell>
          <cell r="Z143">
            <v>42338</v>
          </cell>
          <cell r="AA143">
            <v>52424.835599999999</v>
          </cell>
          <cell r="AB143">
            <v>7057.4397882335852</v>
          </cell>
          <cell r="AC143">
            <v>0.13462016060635174</v>
          </cell>
          <cell r="AL143">
            <v>89508</v>
          </cell>
          <cell r="AM143">
            <v>12049.58133555333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42305</v>
          </cell>
          <cell r="Z144">
            <v>42338</v>
          </cell>
          <cell r="AA144">
            <v>37083.164400000001</v>
          </cell>
          <cell r="AB144">
            <v>4992.1415473197449</v>
          </cell>
          <cell r="AC144">
            <v>0.13462016060635174</v>
          </cell>
          <cell r="AM144">
            <v>12049.58133555333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42305</v>
          </cell>
          <cell r="Z145">
            <v>42338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42305</v>
          </cell>
          <cell r="Z146">
            <v>42339</v>
          </cell>
          <cell r="AA146">
            <v>29931</v>
          </cell>
          <cell r="AB146">
            <v>4474.3159035287399</v>
          </cell>
          <cell r="AC146">
            <v>0.14948768512674951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42305</v>
          </cell>
          <cell r="AG147">
            <v>42338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42305</v>
          </cell>
          <cell r="AG148">
            <v>42338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42305</v>
          </cell>
          <cell r="Z149">
            <v>42338</v>
          </cell>
          <cell r="AA149">
            <v>114949.44208766895</v>
          </cell>
          <cell r="AB149">
            <v>15628.274395614939</v>
          </cell>
          <cell r="AC149">
            <v>0.13595780990129261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42305</v>
          </cell>
          <cell r="Z151">
            <v>42338</v>
          </cell>
          <cell r="AA151">
            <v>129562.19002027308</v>
          </cell>
          <cell r="AB151">
            <v>17614.991601171438</v>
          </cell>
          <cell r="AC151">
            <v>0.13595780990129261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42305</v>
          </cell>
          <cell r="Z152">
            <v>42338</v>
          </cell>
          <cell r="AA152">
            <v>113419.70435120056</v>
          </cell>
          <cell r="AB152">
            <v>15268.643554323902</v>
          </cell>
          <cell r="AC152">
            <v>0.13462073139465278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42305</v>
          </cell>
          <cell r="Z153">
            <v>42338</v>
          </cell>
          <cell r="AA153">
            <v>6777.9245000000001</v>
          </cell>
          <cell r="AB153">
            <v>921.50887122154859</v>
          </cell>
          <cell r="AC153">
            <v>0.13595738211919425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42305</v>
          </cell>
          <cell r="Z154">
            <v>42338</v>
          </cell>
          <cell r="AA154">
            <v>68953.075499999992</v>
          </cell>
          <cell r="AB154">
            <v>9374.6796340471501</v>
          </cell>
          <cell r="AC154">
            <v>0.13595738211919425</v>
          </cell>
          <cell r="AL154">
            <v>75731</v>
          </cell>
          <cell r="AM154">
            <v>10296.188505268699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42305</v>
          </cell>
          <cell r="Z155">
            <v>42338</v>
          </cell>
          <cell r="AA155">
            <v>3188.3516099444105</v>
          </cell>
          <cell r="AB155">
            <v>433.48130208330241</v>
          </cell>
          <cell r="AC155">
            <v>0.13595780990129261</v>
          </cell>
          <cell r="AM155">
            <v>10296.188505268699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42305</v>
          </cell>
          <cell r="Z156">
            <v>42338</v>
          </cell>
          <cell r="AA156">
            <v>1076.4935387516152</v>
          </cell>
          <cell r="AB156">
            <v>146.35770390156188</v>
          </cell>
          <cell r="AC156">
            <v>0.13595780990129261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42305</v>
          </cell>
          <cell r="Z157">
            <v>42338</v>
          </cell>
          <cell r="AA157">
            <v>94859.241737299279</v>
          </cell>
          <cell r="AB157">
            <v>12896.854755500497</v>
          </cell>
          <cell r="AC157">
            <v>0.13595780990129261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42305</v>
          </cell>
          <cell r="Z158">
            <v>42338</v>
          </cell>
          <cell r="AA158">
            <v>242268.76662148477</v>
          </cell>
          <cell r="AB158">
            <v>33029.877469571285</v>
          </cell>
          <cell r="AC158">
            <v>0.13633568177270006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42307</v>
          </cell>
          <cell r="Z159">
            <v>42341</v>
          </cell>
          <cell r="AA159">
            <v>14760</v>
          </cell>
          <cell r="AB159">
            <v>2271.0099999999998</v>
          </cell>
          <cell r="AC159">
            <v>0.15386246612466123</v>
          </cell>
          <cell r="AE159" t="str">
            <v>1-44-43997-03500-00-9001-1-01</v>
          </cell>
          <cell r="AF159">
            <v>42307</v>
          </cell>
          <cell r="AG159">
            <v>42341</v>
          </cell>
          <cell r="AH159">
            <v>14760</v>
          </cell>
          <cell r="AI159">
            <v>2271.0099999999998</v>
          </cell>
          <cell r="AK159">
            <v>2271.0099999999998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42305</v>
          </cell>
          <cell r="Z160">
            <v>42338</v>
          </cell>
          <cell r="AA160">
            <v>16035.19073575557</v>
          </cell>
          <cell r="AB160">
            <v>2180.109413782824</v>
          </cell>
          <cell r="AC160">
            <v>0.13595780990129261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42305</v>
          </cell>
          <cell r="Z161">
            <v>42339</v>
          </cell>
          <cell r="AA161">
            <v>38341.919999999998</v>
          </cell>
          <cell r="AB161">
            <v>5694.7113199999994</v>
          </cell>
          <cell r="AC161">
            <v>0.14852441713925646</v>
          </cell>
          <cell r="AE161" t="str">
            <v>1-63-00433-00746-00-0000-4-01</v>
          </cell>
          <cell r="AF161">
            <v>42305</v>
          </cell>
          <cell r="AG161">
            <v>42339</v>
          </cell>
          <cell r="AH161">
            <v>63480</v>
          </cell>
          <cell r="AI161">
            <v>9428.33</v>
          </cell>
          <cell r="AK161">
            <v>9428.33</v>
          </cell>
          <cell r="AL161">
            <v>63480</v>
          </cell>
          <cell r="AM161">
            <v>9428.33</v>
          </cell>
          <cell r="AN161" t="str">
            <v>#42</v>
          </cell>
          <cell r="AO161">
            <v>0.26800000000000002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42305</v>
          </cell>
          <cell r="Z162">
            <v>42338</v>
          </cell>
          <cell r="AA162">
            <v>40469.933384785079</v>
          </cell>
          <cell r="AB162">
            <v>5502.2035098465849</v>
          </cell>
          <cell r="AC162">
            <v>0.13595780990129261</v>
          </cell>
          <cell r="AL162">
            <v>63480</v>
          </cell>
          <cell r="AM162">
            <v>9428.33</v>
          </cell>
          <cell r="AN162" t="str">
            <v>#52</v>
          </cell>
          <cell r="AO162">
            <v>0.128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42305</v>
          </cell>
          <cell r="Z163">
            <v>42338</v>
          </cell>
          <cell r="AC163">
            <v>0</v>
          </cell>
          <cell r="AN163" t="str">
            <v>#261</v>
          </cell>
          <cell r="AO163">
            <v>0.60399999999999998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42305</v>
          </cell>
          <cell r="Z164">
            <v>42338</v>
          </cell>
          <cell r="AA164">
            <v>103776.20752971953</v>
          </cell>
          <cell r="AB164">
            <v>14148.40000534952</v>
          </cell>
          <cell r="AC164">
            <v>0.13633568177270006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42305</v>
          </cell>
          <cell r="Z165">
            <v>42338</v>
          </cell>
          <cell r="AA165">
            <v>8109.875950581054</v>
          </cell>
          <cell r="AB165">
            <v>1105.665466814492</v>
          </cell>
          <cell r="AC165">
            <v>0.13633568177270006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42305</v>
          </cell>
          <cell r="Z166">
            <v>42339</v>
          </cell>
          <cell r="AA166">
            <v>3800</v>
          </cell>
          <cell r="AB166">
            <v>698.26</v>
          </cell>
          <cell r="AC166">
            <v>0.18375263157894736</v>
          </cell>
          <cell r="AE166" t="str">
            <v>1-63-96497-01102-00-0000-1-01</v>
          </cell>
          <cell r="AF166">
            <v>42305</v>
          </cell>
          <cell r="AG166">
            <v>42339</v>
          </cell>
          <cell r="AH166">
            <v>3800</v>
          </cell>
          <cell r="AI166">
            <v>698.26</v>
          </cell>
          <cell r="AK166">
            <v>698.26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42305</v>
          </cell>
          <cell r="Z167">
            <v>42339</v>
          </cell>
          <cell r="AA167">
            <v>3640</v>
          </cell>
          <cell r="AB167">
            <v>688.33</v>
          </cell>
          <cell r="AC167">
            <v>0.18910164835164836</v>
          </cell>
          <cell r="AE167" t="str">
            <v>1-63-43981-02653-00-0000-0-01</v>
          </cell>
          <cell r="AF167">
            <v>42305</v>
          </cell>
          <cell r="AG167">
            <v>42339</v>
          </cell>
          <cell r="AH167">
            <v>3640</v>
          </cell>
          <cell r="AI167">
            <v>688.33</v>
          </cell>
          <cell r="AK167">
            <v>688.33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42305</v>
          </cell>
          <cell r="Z168">
            <v>42339</v>
          </cell>
          <cell r="AA168">
            <v>86760</v>
          </cell>
          <cell r="AB168">
            <v>13830.010000000002</v>
          </cell>
          <cell r="AC168">
            <v>0.15940537113877365</v>
          </cell>
          <cell r="AE168" t="str">
            <v>1-63-34103-03500-00-9001-6-01</v>
          </cell>
          <cell r="AF168">
            <v>42305</v>
          </cell>
          <cell r="AG168">
            <v>42339</v>
          </cell>
          <cell r="AH168">
            <v>53760</v>
          </cell>
          <cell r="AI168">
            <v>8960.7000000000007</v>
          </cell>
          <cell r="AK168">
            <v>8960.7000000000007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42305</v>
          </cell>
          <cell r="Z169">
            <v>42338</v>
          </cell>
          <cell r="AA169">
            <v>30936.684522471525</v>
          </cell>
          <cell r="AB169">
            <v>4217.7739761580933</v>
          </cell>
          <cell r="AC169">
            <v>0.13633568177270006</v>
          </cell>
          <cell r="AE169" t="str">
            <v>1-63-34103-03500-00-0000-4-01</v>
          </cell>
          <cell r="AF169">
            <v>42305</v>
          </cell>
          <cell r="AG169">
            <v>42339</v>
          </cell>
          <cell r="AH169">
            <v>33000</v>
          </cell>
          <cell r="AI169">
            <v>4869.3100000000004</v>
          </cell>
          <cell r="AK169">
            <v>4869.3100000000004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42305</v>
          </cell>
          <cell r="Z170">
            <v>42338</v>
          </cell>
          <cell r="AA170">
            <v>137768.73262592952</v>
          </cell>
          <cell r="AB170">
            <v>18546.527549416995</v>
          </cell>
          <cell r="AC170">
            <v>0.13462073139465278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42305</v>
          </cell>
          <cell r="Z171">
            <v>42338</v>
          </cell>
          <cell r="AA171">
            <v>56314.202128456396</v>
          </cell>
          <cell r="AB171">
            <v>7581.0590784391125</v>
          </cell>
          <cell r="AC171">
            <v>0.13462073139465278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42307</v>
          </cell>
          <cell r="Z172">
            <v>42341</v>
          </cell>
          <cell r="AA172">
            <v>1729248.27</v>
          </cell>
          <cell r="AB172">
            <v>225315.31911770458</v>
          </cell>
          <cell r="AC172">
            <v>0.13029668615351836</v>
          </cell>
          <cell r="AE172" t="str">
            <v>1-44-38866-03430-00-0000-1-01</v>
          </cell>
          <cell r="AF172">
            <v>42307</v>
          </cell>
          <cell r="AG172">
            <v>42341</v>
          </cell>
          <cell r="AH172">
            <v>206400</v>
          </cell>
          <cell r="AI172">
            <v>29623.599999999999</v>
          </cell>
          <cell r="AK172">
            <v>29623.599999999999</v>
          </cell>
        </row>
        <row r="173">
          <cell r="R173" t="str">
            <v>2811</v>
          </cell>
          <cell r="S173" t="str">
            <v>CAL URBAN MARKET</v>
          </cell>
          <cell r="Y173">
            <v>42307</v>
          </cell>
          <cell r="Z173">
            <v>42341</v>
          </cell>
          <cell r="AA173">
            <v>13833</v>
          </cell>
          <cell r="AB173">
            <v>1802.3940595616195</v>
          </cell>
          <cell r="AC173">
            <v>0.13029668615351836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42305</v>
          </cell>
          <cell r="Z174">
            <v>42338</v>
          </cell>
          <cell r="AA174">
            <v>18132</v>
          </cell>
          <cell r="AB174">
            <v>1556.8004005896953</v>
          </cell>
          <cell r="AC174">
            <v>8.5859276449905986E-2</v>
          </cell>
          <cell r="AE174" t="str">
            <v>1-44-38866-03434-00-9003-0-01</v>
          </cell>
          <cell r="AF174">
            <v>42307</v>
          </cell>
          <cell r="AG174">
            <v>42341</v>
          </cell>
          <cell r="AH174">
            <v>1084072.27</v>
          </cell>
          <cell r="AI174">
            <v>136389.76999999999</v>
          </cell>
          <cell r="AK174">
            <v>136389.76999999999</v>
          </cell>
          <cell r="AL174">
            <v>0.13029668615351836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42305</v>
          </cell>
          <cell r="Z175">
            <v>42339</v>
          </cell>
          <cell r="AA175">
            <v>584213.77</v>
          </cell>
          <cell r="AB175">
            <v>87332.764096471263</v>
          </cell>
          <cell r="AC175">
            <v>0.14948768512674951</v>
          </cell>
          <cell r="AE175" t="str">
            <v>1-63-34103-03400-00-9001-0-01</v>
          </cell>
          <cell r="AF175">
            <v>42305</v>
          </cell>
          <cell r="AG175">
            <v>42339</v>
          </cell>
          <cell r="AH175">
            <v>614144.77</v>
          </cell>
          <cell r="AI175">
            <v>91807.08</v>
          </cell>
          <cell r="AK175">
            <v>91807.08</v>
          </cell>
          <cell r="AL175">
            <v>614144.77</v>
          </cell>
          <cell r="AM175">
            <v>0.14948768512674951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42305</v>
          </cell>
          <cell r="Z176">
            <v>42338</v>
          </cell>
          <cell r="AA176">
            <v>345838.68169420265</v>
          </cell>
          <cell r="AB176">
            <v>47019.469742294052</v>
          </cell>
          <cell r="AC176">
            <v>0.13595780990129261</v>
          </cell>
          <cell r="AE176" t="str">
            <v>1-44-38866-03434-00-9003-3-01</v>
          </cell>
          <cell r="AF176">
            <v>42307</v>
          </cell>
          <cell r="AG176">
            <v>42341</v>
          </cell>
          <cell r="AH176">
            <v>495000</v>
          </cell>
          <cell r="AI176">
            <v>66627.75</v>
          </cell>
          <cell r="AK176">
            <v>66627.75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42305</v>
          </cell>
          <cell r="Z177">
            <v>42338</v>
          </cell>
          <cell r="AA177">
            <v>486655.59882459568</v>
          </cell>
          <cell r="AB177">
            <v>66348.522854252864</v>
          </cell>
          <cell r="AC177">
            <v>0.13633568177270006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42305</v>
          </cell>
          <cell r="Z178">
            <v>42338</v>
          </cell>
          <cell r="AA178">
            <v>14786.902080243233</v>
          </cell>
          <cell r="AB178">
            <v>2015.9823764161179</v>
          </cell>
          <cell r="AC178">
            <v>0.13633568177270006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42305</v>
          </cell>
          <cell r="Z179">
            <v>42338</v>
          </cell>
          <cell r="AA179">
            <v>15109.038698106828</v>
          </cell>
          <cell r="AB179">
            <v>2059.9010918365029</v>
          </cell>
          <cell r="AC179">
            <v>0.13633568177270006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42305</v>
          </cell>
          <cell r="Z180">
            <v>42338</v>
          </cell>
          <cell r="AA180">
            <v>133482.05306518407</v>
          </cell>
          <cell r="AB180">
            <v>18198.366709061596</v>
          </cell>
          <cell r="AC180">
            <v>0.13633568177270006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42305</v>
          </cell>
          <cell r="Z181">
            <v>42338</v>
          </cell>
          <cell r="AA181">
            <v>3825.4751557256791</v>
          </cell>
          <cell r="AB181">
            <v>514.98826339586412</v>
          </cell>
          <cell r="AC181">
            <v>0.13462073139465278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42305</v>
          </cell>
          <cell r="Z182">
            <v>42338</v>
          </cell>
          <cell r="AA182">
            <v>303716.39178372954</v>
          </cell>
          <cell r="AB182">
            <v>40886.522798470585</v>
          </cell>
          <cell r="AC182">
            <v>0.13462073139465278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42305</v>
          </cell>
          <cell r="Z183">
            <v>42338</v>
          </cell>
          <cell r="AA183">
            <v>258449.01071616932</v>
          </cell>
          <cell r="AB183">
            <v>35138.161468126083</v>
          </cell>
          <cell r="AC183">
            <v>0.13595780990129261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42305</v>
          </cell>
          <cell r="Z184">
            <v>42338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42305</v>
          </cell>
          <cell r="Z185">
            <v>42338</v>
          </cell>
          <cell r="AA185">
            <v>38989.476478833305</v>
          </cell>
          <cell r="AB185">
            <v>5315.6568577023918</v>
          </cell>
          <cell r="AC185">
            <v>0.13633568177270006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42305</v>
          </cell>
          <cell r="Z186">
            <v>42338</v>
          </cell>
          <cell r="AA186">
            <v>12670.291309149372</v>
          </cell>
          <cell r="AB186">
            <v>1727.412803891596</v>
          </cell>
          <cell r="AC186">
            <v>0.13633568177270006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42305</v>
          </cell>
          <cell r="Z187">
            <v>42338</v>
          </cell>
          <cell r="AA187">
            <v>9492.0845096379308</v>
          </cell>
          <cell r="AB187">
            <v>1294.1098130655726</v>
          </cell>
          <cell r="AC187">
            <v>0.13633568177270006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42305</v>
          </cell>
          <cell r="Z188">
            <v>42338</v>
          </cell>
          <cell r="AA188">
            <v>5253.2515553970979</v>
          </cell>
          <cell r="AB188">
            <v>716.20563232856034</v>
          </cell>
          <cell r="AC188">
            <v>0.13633568177270006</v>
          </cell>
        </row>
        <row r="189">
          <cell r="R189">
            <v>3160</v>
          </cell>
          <cell r="S189" t="str">
            <v>Campus Develpmt &amp; Facilities</v>
          </cell>
          <cell r="Y189">
            <v>42307</v>
          </cell>
          <cell r="Z189">
            <v>42341</v>
          </cell>
          <cell r="AA189">
            <v>42391</v>
          </cell>
          <cell r="AB189">
            <v>5523.4068227337966</v>
          </cell>
          <cell r="AC189">
            <v>0.13029668615351836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42305</v>
          </cell>
          <cell r="Z190">
            <v>42338</v>
          </cell>
          <cell r="AA190">
            <v>187681.50438238814</v>
          </cell>
          <cell r="AB190">
            <v>25587.68585609888</v>
          </cell>
          <cell r="AC190">
            <v>0.13633568177270006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42305</v>
          </cell>
          <cell r="Z191">
            <v>42338</v>
          </cell>
          <cell r="AA191">
            <v>119211.06681163897</v>
          </cell>
          <cell r="AB191">
            <v>16048.281004519657</v>
          </cell>
          <cell r="AC191">
            <v>0.13462073139465278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42305</v>
          </cell>
          <cell r="Z192">
            <v>42338</v>
          </cell>
          <cell r="AA192">
            <v>119766.63735341787</v>
          </cell>
          <cell r="AB192">
            <v>16123.072317195256</v>
          </cell>
          <cell r="AC192">
            <v>0.13462073139465278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42305</v>
          </cell>
          <cell r="Z193">
            <v>42338</v>
          </cell>
          <cell r="AA193">
            <v>86692.713832530892</v>
          </cell>
          <cell r="AB193">
            <v>11819.310245083683</v>
          </cell>
          <cell r="AC193">
            <v>0.13633568177270006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42305</v>
          </cell>
          <cell r="Z194">
            <v>42338</v>
          </cell>
          <cell r="AA194">
            <v>90397.751520955702</v>
          </cell>
          <cell r="AB194">
            <v>12169.411426183142</v>
          </cell>
          <cell r="AC194">
            <v>0.13462073139465278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42305</v>
          </cell>
          <cell r="Z195">
            <v>42338</v>
          </cell>
          <cell r="AA195">
            <v>2824.9116075650463</v>
          </cell>
          <cell r="AB195">
            <v>380.29166673565089</v>
          </cell>
          <cell r="AC195">
            <v>0.13462073139465278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42305</v>
          </cell>
          <cell r="Z196">
            <v>42338</v>
          </cell>
          <cell r="AA196">
            <v>13565.289493223236</v>
          </cell>
          <cell r="AB196">
            <v>1826.1691931579107</v>
          </cell>
          <cell r="AC196">
            <v>0.13462073139465278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42305</v>
          </cell>
          <cell r="Z197">
            <v>42338</v>
          </cell>
          <cell r="AA197">
            <v>101057.69339587666</v>
          </cell>
          <cell r="AB197">
            <v>13739.582667779712</v>
          </cell>
          <cell r="AC197">
            <v>0.13595780990129261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42305</v>
          </cell>
          <cell r="Z198">
            <v>42338</v>
          </cell>
          <cell r="AA198">
            <v>144546.10783435413</v>
          </cell>
          <cell r="AB198">
            <v>19652.172250914868</v>
          </cell>
          <cell r="AC198">
            <v>0.13595780990129266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42305</v>
          </cell>
          <cell r="Z199">
            <v>42338</v>
          </cell>
          <cell r="AA199">
            <v>52344.42071989859</v>
          </cell>
          <cell r="AB199">
            <v>7116.6328016292546</v>
          </cell>
          <cell r="AC199">
            <v>0.13595780990129261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42305</v>
          </cell>
          <cell r="Z200">
            <v>42338</v>
          </cell>
          <cell r="AA200">
            <v>79881.687278911486</v>
          </cell>
          <cell r="AB200">
            <v>10860.539253660752</v>
          </cell>
          <cell r="AC200">
            <v>0.13595780990129261</v>
          </cell>
        </row>
        <row r="201">
          <cell r="R201" t="str">
            <v>5010</v>
          </cell>
          <cell r="S201" t="str">
            <v>Brian Kennedy Field</v>
          </cell>
          <cell r="Y201">
            <v>42305</v>
          </cell>
          <cell r="Z201">
            <v>42338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42305</v>
          </cell>
          <cell r="Z202">
            <v>42338</v>
          </cell>
          <cell r="AA202">
            <v>1431.9972108576223</v>
          </cell>
          <cell r="AB202">
            <v>192.77651188075592</v>
          </cell>
          <cell r="AC202">
            <v>0.13462073139465278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42305</v>
          </cell>
          <cell r="Z203">
            <v>42338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42305</v>
          </cell>
          <cell r="Z205">
            <v>42338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42305</v>
          </cell>
          <cell r="AG205">
            <v>42338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42305</v>
          </cell>
          <cell r="Z206">
            <v>42338</v>
          </cell>
          <cell r="AC206">
            <v>0</v>
          </cell>
          <cell r="AE206" t="str">
            <v>1-63-43981-03000-00-0000-3-01</v>
          </cell>
          <cell r="AF206">
            <v>42305</v>
          </cell>
          <cell r="AG206">
            <v>42338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42305</v>
          </cell>
          <cell r="AG209">
            <v>42338</v>
          </cell>
          <cell r="AK209">
            <v>0</v>
          </cell>
        </row>
        <row r="212">
          <cell r="AA212">
            <v>13919887.21341992</v>
          </cell>
          <cell r="AB212">
            <v>1896961.2799999993</v>
          </cell>
          <cell r="AC212">
            <v>0.13627705820569955</v>
          </cell>
        </row>
        <row r="216">
          <cell r="Z216" t="str">
            <v>ALLOCATED DWP PAYMENT:</v>
          </cell>
          <cell r="AA216">
            <v>13919887.21341992</v>
          </cell>
          <cell r="AB216">
            <v>1896961.2799999993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4792955.6042568507</v>
          </cell>
          <cell r="AB218">
            <v>651358.69969115662</v>
          </cell>
          <cell r="AC218">
            <v>0.13589917234214607</v>
          </cell>
          <cell r="AN218">
            <v>28205.179691156605</v>
          </cell>
        </row>
        <row r="219">
          <cell r="S219">
            <v>1656479</v>
          </cell>
          <cell r="Z219" t="str">
            <v>Jefferson 1</v>
          </cell>
          <cell r="AA219">
            <v>3518475.9749155659</v>
          </cell>
          <cell r="AB219">
            <v>473697.91329345061</v>
          </cell>
          <cell r="AC219">
            <v>0.13463156112777439</v>
          </cell>
          <cell r="AN219">
            <v>-26013.196706549381</v>
          </cell>
        </row>
        <row r="220">
          <cell r="S220">
            <v>1134280</v>
          </cell>
          <cell r="Z220" t="str">
            <v>Jefferson 2</v>
          </cell>
          <cell r="AA220">
            <v>2658570.594247493</v>
          </cell>
          <cell r="AB220">
            <v>361522.88701539277</v>
          </cell>
          <cell r="AC220">
            <v>0.13598393354595936</v>
          </cell>
          <cell r="AN220">
            <v>1282.9870153927477</v>
          </cell>
        </row>
        <row r="221">
          <cell r="S221">
            <v>8943554</v>
          </cell>
          <cell r="W221">
            <v>0</v>
          </cell>
          <cell r="AA221">
            <v>10970002.17341991</v>
          </cell>
          <cell r="AB221">
            <v>1486579.5</v>
          </cell>
          <cell r="AC221">
            <v>0.13551314543965648</v>
          </cell>
          <cell r="AD221">
            <v>1486579.5</v>
          </cell>
          <cell r="AN221">
            <v>3474.9699999999721</v>
          </cell>
        </row>
        <row r="223">
          <cell r="X223" t="str">
            <v>DWP :</v>
          </cell>
          <cell r="Z223" t="str">
            <v>Biegler Vault</v>
          </cell>
          <cell r="AA223">
            <v>4583594.87</v>
          </cell>
          <cell r="AB223">
            <v>623175.52</v>
          </cell>
          <cell r="AC223">
            <v>0.13595780990129261</v>
          </cell>
          <cell r="AD223">
            <v>28183.179691156605</v>
          </cell>
          <cell r="AE223" t="str">
            <v>1-63-96675-00946-00-0000-0-01</v>
          </cell>
          <cell r="AF223">
            <v>42305</v>
          </cell>
          <cell r="AG223">
            <v>42339</v>
          </cell>
          <cell r="AH223">
            <v>4583594.87</v>
          </cell>
          <cell r="AI223">
            <v>623175.52</v>
          </cell>
          <cell r="AK223">
            <v>623175.52</v>
          </cell>
        </row>
        <row r="224">
          <cell r="Z224" t="str">
            <v>Jefferson 6</v>
          </cell>
          <cell r="AA224">
            <v>3712155.66</v>
          </cell>
          <cell r="AB224">
            <v>499733.11</v>
          </cell>
          <cell r="AC224">
            <v>0.13462073139465278</v>
          </cell>
          <cell r="AD224">
            <v>-26035.196706549381</v>
          </cell>
          <cell r="AE224" t="str">
            <v>1-63-45784-00912-00-9006-0-01</v>
          </cell>
          <cell r="AF224">
            <v>42305</v>
          </cell>
          <cell r="AG224">
            <v>42339</v>
          </cell>
          <cell r="AH224">
            <v>3712155.66</v>
          </cell>
          <cell r="AI224">
            <v>499733.11</v>
          </cell>
          <cell r="AK224">
            <v>499733.11</v>
          </cell>
        </row>
        <row r="225">
          <cell r="Z225" t="str">
            <v>Jefferson 5</v>
          </cell>
          <cell r="AA225">
            <v>2641816.84</v>
          </cell>
          <cell r="AB225">
            <v>360239.9</v>
          </cell>
          <cell r="AC225">
            <v>0.13636066457960805</v>
          </cell>
          <cell r="AD225">
            <v>1282.9870153927477</v>
          </cell>
          <cell r="AE225" t="str">
            <v>1-63-45784-00912-00-9005-0-01</v>
          </cell>
          <cell r="AF225">
            <v>42305</v>
          </cell>
          <cell r="AG225">
            <v>42339</v>
          </cell>
          <cell r="AH225">
            <v>2641816.84</v>
          </cell>
          <cell r="AI225">
            <v>360239.9</v>
          </cell>
          <cell r="AK225">
            <v>360239.9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42705</v>
          </cell>
          <cell r="Z9">
            <v>42735</v>
          </cell>
          <cell r="AA9">
            <v>38535.174587643938</v>
          </cell>
          <cell r="AB9">
            <v>5568.3601721164541</v>
          </cell>
          <cell r="AC9">
            <v>0.14450071218574195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42705</v>
          </cell>
          <cell r="Z10">
            <v>42735</v>
          </cell>
          <cell r="AA10">
            <v>28872.886628997072</v>
          </cell>
          <cell r="AB10">
            <v>4172.1526807482633</v>
          </cell>
          <cell r="AC10">
            <v>0.14450071218574195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42705</v>
          </cell>
          <cell r="Z11">
            <v>42339</v>
          </cell>
          <cell r="AA11">
            <v>4226.7450081482075</v>
          </cell>
          <cell r="AB11">
            <v>610.76766390494561</v>
          </cell>
          <cell r="AC11">
            <v>0.14450071218574195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42705</v>
          </cell>
          <cell r="Z12">
            <v>42735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42705</v>
          </cell>
          <cell r="Z13">
            <v>42735</v>
          </cell>
          <cell r="AA13">
            <v>62651.570978231204</v>
          </cell>
          <cell r="AB13">
            <v>8931.2787966281012</v>
          </cell>
          <cell r="AC13">
            <v>0.14255474614884511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42705</v>
          </cell>
          <cell r="Z14">
            <v>42735</v>
          </cell>
          <cell r="AA14">
            <v>26468.722324379905</v>
          </cell>
          <cell r="AB14">
            <v>3773.2419918362471</v>
          </cell>
          <cell r="AC14">
            <v>0.14255474614884511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42705</v>
          </cell>
          <cell r="Z15">
            <v>42735</v>
          </cell>
          <cell r="AA15">
            <v>74329.955437202341</v>
          </cell>
          <cell r="AB15">
            <v>10596.08792860535</v>
          </cell>
          <cell r="AC15">
            <v>0.14255474614884511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42705</v>
          </cell>
          <cell r="Z16">
            <v>42735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42705</v>
          </cell>
          <cell r="Z17">
            <v>42735</v>
          </cell>
          <cell r="AA17">
            <v>162939.24471758778</v>
          </cell>
          <cell r="AB17">
            <v>23544.836904698324</v>
          </cell>
          <cell r="AC17">
            <v>0.14450071218574195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42705</v>
          </cell>
          <cell r="Z18">
            <v>42735</v>
          </cell>
          <cell r="AA18">
            <v>55864.474051746467</v>
          </cell>
          <cell r="AB18">
            <v>8072.4562863592655</v>
          </cell>
          <cell r="AC18">
            <v>0.14450071218574195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42705</v>
          </cell>
          <cell r="Z19">
            <v>42735</v>
          </cell>
          <cell r="AA19">
            <v>39754.26953984287</v>
          </cell>
          <cell r="AB19">
            <v>5744.5202609312428</v>
          </cell>
          <cell r="AC19">
            <v>0.14450071218574195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42705</v>
          </cell>
          <cell r="Z20">
            <v>42735</v>
          </cell>
          <cell r="AA20">
            <v>25275.46240258696</v>
          </cell>
          <cell r="AB20">
            <v>3562.6127796318856</v>
          </cell>
          <cell r="AC20">
            <v>0.14095143831146092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42705</v>
          </cell>
          <cell r="Z21">
            <v>42735</v>
          </cell>
          <cell r="AA21">
            <v>1813.8823929130049</v>
          </cell>
          <cell r="AB21">
            <v>258.57754406557314</v>
          </cell>
          <cell r="AC21">
            <v>0.14255474614884511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42705</v>
          </cell>
          <cell r="Z22">
            <v>42735</v>
          </cell>
          <cell r="AA22">
            <v>8851.4269777091777</v>
          </cell>
          <cell r="AB22">
            <v>1261.8129258623712</v>
          </cell>
          <cell r="AC22">
            <v>0.14255474614884511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42705</v>
          </cell>
          <cell r="Z23">
            <v>42735</v>
          </cell>
          <cell r="AA23">
            <v>82271.815293788721</v>
          </cell>
          <cell r="AB23">
            <v>11728.237744410724</v>
          </cell>
          <cell r="AC23">
            <v>0.14255474614884511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42705</v>
          </cell>
          <cell r="Z24">
            <v>42735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42705</v>
          </cell>
          <cell r="Z25">
            <v>42735</v>
          </cell>
          <cell r="AA25">
            <v>145525.08368956158</v>
          </cell>
          <cell r="AB25">
            <v>21028.478234031347</v>
          </cell>
          <cell r="AC25">
            <v>0.14450071218574195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42705</v>
          </cell>
          <cell r="Z26">
            <v>42735</v>
          </cell>
          <cell r="AA26">
            <v>118672.82546214125</v>
          </cell>
          <cell r="AB26">
            <v>17148.307796373661</v>
          </cell>
          <cell r="AC26">
            <v>0.14450071218574195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42705</v>
          </cell>
          <cell r="Z27">
            <v>42735</v>
          </cell>
          <cell r="AA27">
            <v>2766.4537547788336</v>
          </cell>
          <cell r="AB27">
            <v>389.93563575821821</v>
          </cell>
          <cell r="AC27">
            <v>0.14095143831146092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42705</v>
          </cell>
          <cell r="Z28">
            <v>42735</v>
          </cell>
          <cell r="AA28">
            <v>34904.661956653195</v>
          </cell>
          <cell r="AB28">
            <v>5043.7485113389603</v>
          </cell>
          <cell r="AC28">
            <v>0.14450071218574195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42705</v>
          </cell>
          <cell r="Z29">
            <v>42735</v>
          </cell>
          <cell r="AA29">
            <v>254372.82915734983</v>
          </cell>
          <cell r="AB29">
            <v>35854.216137083982</v>
          </cell>
          <cell r="AC29">
            <v>0.14095143831146092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42705</v>
          </cell>
          <cell r="Z30">
            <v>42735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42705</v>
          </cell>
          <cell r="Z31">
            <v>42735</v>
          </cell>
          <cell r="AA31">
            <v>48862.96823405828</v>
          </cell>
          <cell r="AB31">
            <v>6887.305652757741</v>
          </cell>
          <cell r="AC31">
            <v>0.14095143831146092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42705</v>
          </cell>
          <cell r="Z32">
            <v>42735</v>
          </cell>
          <cell r="AA32">
            <v>90810.679117098698</v>
          </cell>
          <cell r="AB32">
            <v>13122.207806491646</v>
          </cell>
          <cell r="AC32">
            <v>0.14450071218574195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42705</v>
          </cell>
          <cell r="Z33">
            <v>42735</v>
          </cell>
          <cell r="AA33">
            <v>132638.7664404253</v>
          </cell>
          <cell r="AB33">
            <v>19166.396214079745</v>
          </cell>
          <cell r="AC33">
            <v>0.14450071218574195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42705</v>
          </cell>
          <cell r="Z34">
            <v>42735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42705</v>
          </cell>
          <cell r="Z35">
            <v>42735</v>
          </cell>
          <cell r="AA35">
            <v>105223.47419232839</v>
          </cell>
          <cell r="AB35">
            <v>14831.400031537576</v>
          </cell>
          <cell r="AC35">
            <v>0.14095143831146092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42705</v>
          </cell>
          <cell r="Z36">
            <v>42735</v>
          </cell>
          <cell r="AA36">
            <v>96032.391815374038</v>
          </cell>
          <cell r="AB36">
            <v>13689.873237307078</v>
          </cell>
          <cell r="AC36">
            <v>0.14255474614884511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42705</v>
          </cell>
          <cell r="Z37">
            <v>42735</v>
          </cell>
          <cell r="AA37">
            <v>155462.17826770584</v>
          </cell>
          <cell r="AB37">
            <v>21912.617629865879</v>
          </cell>
          <cell r="AC37">
            <v>0.14095143831146092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42705</v>
          </cell>
          <cell r="Z38">
            <v>42735</v>
          </cell>
          <cell r="AA38">
            <v>46304.99142651794</v>
          </cell>
          <cell r="AB38">
            <v>6526.7551425675701</v>
          </cell>
          <cell r="AC38">
            <v>0.14095143831146092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42705</v>
          </cell>
          <cell r="Z39">
            <v>42735</v>
          </cell>
          <cell r="AA39">
            <v>19829.055158595358</v>
          </cell>
          <cell r="AB39">
            <v>2794.9338449613097</v>
          </cell>
          <cell r="AC39">
            <v>0.14095143831146092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42705</v>
          </cell>
          <cell r="Z40">
            <v>42735</v>
          </cell>
          <cell r="AA40">
            <v>51408.648435219147</v>
          </cell>
          <cell r="AB40">
            <v>7246.1229385923743</v>
          </cell>
          <cell r="AC40">
            <v>0.14095143831146092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42705</v>
          </cell>
          <cell r="Z41">
            <v>42735</v>
          </cell>
          <cell r="AA41">
            <v>27699.981836901137</v>
          </cell>
          <cell r="AB41">
            <v>3948.7638790870619</v>
          </cell>
          <cell r="AC41">
            <v>0.14255474614884511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42339</v>
          </cell>
          <cell r="Z42">
            <v>42369</v>
          </cell>
          <cell r="AA42">
            <v>15762.24</v>
          </cell>
          <cell r="AB42">
            <v>2464.9247999999998</v>
          </cell>
          <cell r="AC42">
            <v>0.15638163103721298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42705</v>
          </cell>
          <cell r="Z43">
            <v>42735</v>
          </cell>
          <cell r="AA43">
            <v>39273.008603683251</v>
          </cell>
          <cell r="AB43">
            <v>5674.9777129090007</v>
          </cell>
          <cell r="AC43">
            <v>0.14450071218574195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42705</v>
          </cell>
          <cell r="Z44">
            <v>42735</v>
          </cell>
          <cell r="AA44">
            <v>9736.1423741118178</v>
          </cell>
          <cell r="AB44">
            <v>1406.8795070009382</v>
          </cell>
          <cell r="AC44">
            <v>0.14450071218574195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42705</v>
          </cell>
          <cell r="Z45">
            <v>42735</v>
          </cell>
          <cell r="AA45">
            <v>7663.0464882199767</v>
          </cell>
          <cell r="AB45">
            <v>1092.4036468549978</v>
          </cell>
          <cell r="AC45">
            <v>0.14255474614884511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42705</v>
          </cell>
          <cell r="Z46">
            <v>42735</v>
          </cell>
          <cell r="AA46">
            <v>3424.3387230694107</v>
          </cell>
          <cell r="AB46">
            <v>488.15573739482028</v>
          </cell>
          <cell r="AC46">
            <v>0.14255474614884511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42705</v>
          </cell>
          <cell r="Z47">
            <v>42735</v>
          </cell>
          <cell r="AA47">
            <v>169205.47332072773</v>
          </cell>
          <cell r="AB47">
            <v>23849.754834728101</v>
          </cell>
          <cell r="AC47">
            <v>0.14095143831146092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42705</v>
          </cell>
          <cell r="Z48">
            <v>42735</v>
          </cell>
          <cell r="AA48">
            <v>3406.6546581799853</v>
          </cell>
          <cell r="AB48">
            <v>480.17287390090718</v>
          </cell>
          <cell r="AC48">
            <v>0.14095143831146092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42705</v>
          </cell>
          <cell r="Z49">
            <v>42735</v>
          </cell>
          <cell r="AA49">
            <v>47859.02806033969</v>
          </cell>
          <cell r="AB49">
            <v>6745.7988412934474</v>
          </cell>
          <cell r="AC49">
            <v>0.14095143831146092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42339</v>
          </cell>
          <cell r="Z50">
            <v>42369</v>
          </cell>
          <cell r="AA50">
            <v>6315</v>
          </cell>
          <cell r="AB50">
            <v>987.55</v>
          </cell>
          <cell r="AC50">
            <v>0.15638163103721298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42705</v>
          </cell>
          <cell r="Z51">
            <v>42735</v>
          </cell>
          <cell r="AA51">
            <v>58832.265180850816</v>
          </cell>
          <cell r="AB51">
            <v>8292.4923963622041</v>
          </cell>
          <cell r="AC51">
            <v>0.14095143831146092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42705</v>
          </cell>
          <cell r="Z52">
            <v>42735</v>
          </cell>
          <cell r="AA52">
            <v>58303.935127442375</v>
          </cell>
          <cell r="AB52">
            <v>8218.023515431114</v>
          </cell>
          <cell r="AC52">
            <v>0.14095143831146092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42705</v>
          </cell>
          <cell r="Z53">
            <v>42735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42705</v>
          </cell>
          <cell r="Z55">
            <v>42735</v>
          </cell>
          <cell r="AA55">
            <v>339434.89347693423</v>
          </cell>
          <cell r="AB55">
            <v>49048.58384810845</v>
          </cell>
          <cell r="AC55">
            <v>0.14450071218574195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42705</v>
          </cell>
          <cell r="Z56">
            <v>42735</v>
          </cell>
          <cell r="AA56">
            <v>4520.2452957603791</v>
          </cell>
          <cell r="AB56">
            <v>653.17866449162455</v>
          </cell>
          <cell r="AC56">
            <v>0.14450071218574195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42705</v>
          </cell>
          <cell r="Z57">
            <v>42735</v>
          </cell>
          <cell r="AA57">
            <v>55126.60511122473</v>
          </cell>
          <cell r="AB57">
            <v>7770.1742796550589</v>
          </cell>
          <cell r="AC57">
            <v>0.14095143831146092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42705</v>
          </cell>
          <cell r="Z58">
            <v>42735</v>
          </cell>
          <cell r="AA58">
            <v>295117.49305548688</v>
          </cell>
          <cell r="AB58">
            <v>41597.235117043456</v>
          </cell>
          <cell r="AC58">
            <v>0.14095143831146092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42705</v>
          </cell>
          <cell r="Z59">
            <v>42735</v>
          </cell>
          <cell r="AA59">
            <v>17327.666145298976</v>
          </cell>
          <cell r="AB59">
            <v>2503.8600985124717</v>
          </cell>
          <cell r="AC59">
            <v>0.14450071218574193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42705</v>
          </cell>
          <cell r="Z60">
            <v>42735</v>
          </cell>
          <cell r="AA60">
            <v>27931.739928846066</v>
          </cell>
          <cell r="AB60">
            <v>4036.1563123051819</v>
          </cell>
          <cell r="AC60">
            <v>0.14450071218574195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42705</v>
          </cell>
          <cell r="Z61">
            <v>42735</v>
          </cell>
          <cell r="AA61">
            <v>126531.14830919556</v>
          </cell>
          <cell r="AB61">
            <v>18283.841044358498</v>
          </cell>
          <cell r="AC61">
            <v>0.14450071218574195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42705</v>
          </cell>
          <cell r="Z62">
            <v>42735</v>
          </cell>
          <cell r="AA62">
            <v>25000</v>
          </cell>
          <cell r="AB62">
            <v>3750</v>
          </cell>
          <cell r="AC62">
            <v>0.15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42705</v>
          </cell>
          <cell r="Z63">
            <v>42735</v>
          </cell>
          <cell r="AA63">
            <v>18326.192045157375</v>
          </cell>
          <cell r="AB63">
            <v>2648.1478021779194</v>
          </cell>
          <cell r="AC63">
            <v>0.14450071218574195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42705</v>
          </cell>
          <cell r="Z64">
            <v>42735</v>
          </cell>
          <cell r="AA64">
            <v>34954.939770258185</v>
          </cell>
          <cell r="AB64">
            <v>5051.0136912120233</v>
          </cell>
          <cell r="AC64">
            <v>0.14450071218574195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42705</v>
          </cell>
          <cell r="Z65">
            <v>42735</v>
          </cell>
          <cell r="AA65">
            <v>4042.5350526519619</v>
          </cell>
          <cell r="AB65">
            <v>584.14919414403437</v>
          </cell>
          <cell r="AC65">
            <v>0.14450071218574195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42320</v>
          </cell>
          <cell r="Z66">
            <v>42352</v>
          </cell>
          <cell r="AA66">
            <v>15360</v>
          </cell>
          <cell r="AB66">
            <v>2797.33</v>
          </cell>
          <cell r="AC66">
            <v>0.18211783854166666</v>
          </cell>
          <cell r="AE66" t="str">
            <v>1-52-34746-03601-00-9002-0-02</v>
          </cell>
          <cell r="AF66">
            <v>5236180930</v>
          </cell>
          <cell r="AG66">
            <v>42320</v>
          </cell>
          <cell r="AH66">
            <v>42352</v>
          </cell>
          <cell r="AI66">
            <v>11040</v>
          </cell>
          <cell r="AJ66">
            <v>1801.05</v>
          </cell>
          <cell r="AL66">
            <v>1801.05</v>
          </cell>
          <cell r="AM66">
            <v>2797.33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42705</v>
          </cell>
          <cell r="Z67">
            <v>42735</v>
          </cell>
          <cell r="AA67">
            <v>6886.0995725144221</v>
          </cell>
          <cell r="AB67">
            <v>970.60563910184408</v>
          </cell>
          <cell r="AC67">
            <v>0.14095143831146092</v>
          </cell>
          <cell r="AE67" t="str">
            <v>1-52-34746-03601-00-9003-0-01</v>
          </cell>
          <cell r="AF67">
            <v>5236180931</v>
          </cell>
          <cell r="AG67">
            <v>42320</v>
          </cell>
          <cell r="AH67">
            <v>42352</v>
          </cell>
          <cell r="AI67">
            <v>4320</v>
          </cell>
          <cell r="AJ67">
            <v>996.28</v>
          </cell>
          <cell r="AL67">
            <v>996.28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42705</v>
          </cell>
          <cell r="Z68">
            <v>42735</v>
          </cell>
          <cell r="AA68">
            <v>14466.462714408788</v>
          </cell>
          <cell r="AB68">
            <v>2039.0687268750398</v>
          </cell>
          <cell r="AC68">
            <v>0.14095143831146092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42705</v>
          </cell>
          <cell r="Z69">
            <v>42735</v>
          </cell>
          <cell r="AA69">
            <v>44135.417772205612</v>
          </cell>
          <cell r="AB69">
            <v>6220.9506154695955</v>
          </cell>
          <cell r="AC69">
            <v>0.14095143831146092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42705</v>
          </cell>
          <cell r="Z70">
            <v>42735</v>
          </cell>
          <cell r="AA70">
            <v>37749.761169920916</v>
          </cell>
          <cell r="AB70">
            <v>5381.4076207576063</v>
          </cell>
          <cell r="AC70">
            <v>0.14255474614884511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42705</v>
          </cell>
          <cell r="Z71">
            <v>42735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42705</v>
          </cell>
          <cell r="Z72">
            <v>42735</v>
          </cell>
          <cell r="AA72">
            <v>74060.142620341736</v>
          </cell>
          <cell r="AB72">
            <v>10701.743353217002</v>
          </cell>
          <cell r="AC72">
            <v>0.14450071218574195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42705</v>
          </cell>
          <cell r="Z73">
            <v>42735</v>
          </cell>
          <cell r="AA73">
            <v>34506.416224030632</v>
          </cell>
          <cell r="AB73">
            <v>4986.2017193500669</v>
          </cell>
          <cell r="AC73">
            <v>0.14450071218574195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42705</v>
          </cell>
          <cell r="Z74">
            <v>42735</v>
          </cell>
          <cell r="AA74">
            <v>32693.290324365978</v>
          </cell>
          <cell r="AB74">
            <v>4724.2037355661105</v>
          </cell>
          <cell r="AC74">
            <v>0.14450071218574195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42705</v>
          </cell>
          <cell r="Z75">
            <v>42735</v>
          </cell>
          <cell r="AA75">
            <v>8889.6571507057924</v>
          </cell>
          <cell r="AB75">
            <v>1284.5617893640606</v>
          </cell>
          <cell r="AC75">
            <v>0.14450071218574195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42705</v>
          </cell>
          <cell r="Z76">
            <v>42735</v>
          </cell>
          <cell r="AA76">
            <v>13175.294476974515</v>
          </cell>
          <cell r="AB76">
            <v>1878.200759601383</v>
          </cell>
          <cell r="AC76">
            <v>0.14255474614884511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42705</v>
          </cell>
          <cell r="Z78">
            <v>42735</v>
          </cell>
          <cell r="AA78">
            <v>29181.867938312476</v>
          </cell>
          <cell r="AB78">
            <v>4216.8006999964218</v>
          </cell>
          <cell r="AC78">
            <v>0.14450071218574195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42705</v>
          </cell>
          <cell r="Z79">
            <v>42735</v>
          </cell>
          <cell r="AA79">
            <v>34487.668564720298</v>
          </cell>
          <cell r="AB79">
            <v>4983.4926692279078</v>
          </cell>
          <cell r="AC79">
            <v>0.14450071218574195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42705</v>
          </cell>
          <cell r="Z80">
            <v>42735</v>
          </cell>
          <cell r="AA80">
            <v>83345.275963090156</v>
          </cell>
          <cell r="AB80">
            <v>12043.451733983728</v>
          </cell>
          <cell r="AC80">
            <v>0.14450071218574195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42705</v>
          </cell>
          <cell r="Z81">
            <v>42735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42705</v>
          </cell>
          <cell r="Z82">
            <v>42735</v>
          </cell>
          <cell r="AA82">
            <v>11059.982771321142</v>
          </cell>
          <cell r="AB82">
            <v>1598.1753872179409</v>
          </cell>
          <cell r="AC82">
            <v>0.14450071218574195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42705</v>
          </cell>
          <cell r="Z83">
            <v>42735</v>
          </cell>
          <cell r="AA83">
            <v>196572.00050291629</v>
          </cell>
          <cell r="AB83">
            <v>28022.271631663883</v>
          </cell>
          <cell r="AC83">
            <v>0.14255474614884511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42705</v>
          </cell>
          <cell r="Z84">
            <v>42735</v>
          </cell>
          <cell r="AA84">
            <v>100857.82557685141</v>
          </cell>
          <cell r="AB84">
            <v>14216.055580023656</v>
          </cell>
          <cell r="AC84">
            <v>0.14095143831146092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42705</v>
          </cell>
          <cell r="Z85">
            <v>42735</v>
          </cell>
          <cell r="AA85">
            <v>2522.4576000000002</v>
          </cell>
          <cell r="AB85">
            <v>364.49799824961946</v>
          </cell>
          <cell r="AC85">
            <v>0.14450113978114812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42705</v>
          </cell>
          <cell r="Z86">
            <v>42735</v>
          </cell>
          <cell r="AA86">
            <v>10191.5424</v>
          </cell>
          <cell r="AB86">
            <v>1472.6894929278976</v>
          </cell>
          <cell r="AC86">
            <v>0.14450113978114809</v>
          </cell>
          <cell r="AM86">
            <v>12714</v>
          </cell>
          <cell r="AN86">
            <v>1837.1874911775171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42705</v>
          </cell>
          <cell r="Z87">
            <v>42735</v>
          </cell>
          <cell r="AA87">
            <v>0</v>
          </cell>
          <cell r="AB87">
            <v>0</v>
          </cell>
          <cell r="AC87">
            <v>0</v>
          </cell>
          <cell r="AE87" t="str">
            <v>1-63-86192-02715-00-9001-0-01</v>
          </cell>
          <cell r="AG87">
            <v>42705</v>
          </cell>
          <cell r="AH87">
            <v>42735</v>
          </cell>
          <cell r="AL87">
            <v>0</v>
          </cell>
          <cell r="AM87" t="str">
            <v>Meter #96116409</v>
          </cell>
          <cell r="AN87">
            <v>1837.1874911775171</v>
          </cell>
          <cell r="AO87">
            <v>1837.1874911775171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42705</v>
          </cell>
          <cell r="Z88">
            <v>42735</v>
          </cell>
          <cell r="AA88">
            <v>21753.320978175394</v>
          </cell>
          <cell r="AB88">
            <v>3143.3703737513852</v>
          </cell>
          <cell r="AC88">
            <v>0.14450071218574195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42705</v>
          </cell>
          <cell r="Z89">
            <v>42735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42705</v>
          </cell>
          <cell r="Z90">
            <v>42735</v>
          </cell>
          <cell r="AA90">
            <v>26678.132240189472</v>
          </cell>
          <cell r="AB90">
            <v>3855.0091084927822</v>
          </cell>
          <cell r="AC90">
            <v>0.14450071218574195</v>
          </cell>
          <cell r="AM90">
            <v>26678</v>
          </cell>
          <cell r="AN90">
            <v>3855.0091084927822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42705</v>
          </cell>
          <cell r="Z91">
            <v>42735</v>
          </cell>
          <cell r="AA91">
            <v>0</v>
          </cell>
          <cell r="AB91">
            <v>0</v>
          </cell>
          <cell r="AC91">
            <v>0</v>
          </cell>
          <cell r="AN91">
            <v>3855.0091084927822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42705</v>
          </cell>
          <cell r="Z92">
            <v>42735</v>
          </cell>
          <cell r="AA92">
            <v>39763.501341775984</v>
          </cell>
          <cell r="AB92">
            <v>5745.8542628853356</v>
          </cell>
          <cell r="AC92">
            <v>0.14450071218574195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42705</v>
          </cell>
          <cell r="Z93">
            <v>42735</v>
          </cell>
          <cell r="AA93">
            <v>6862.1727045504522</v>
          </cell>
          <cell r="AB93">
            <v>978.23528792672357</v>
          </cell>
          <cell r="AC93">
            <v>0.14255474614884511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42705</v>
          </cell>
          <cell r="Z94">
            <v>42735</v>
          </cell>
          <cell r="AA94">
            <v>61759.288424532162</v>
          </cell>
          <cell r="AB94">
            <v>8804.079683692491</v>
          </cell>
          <cell r="AC94">
            <v>0.14255474614884511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42705</v>
          </cell>
          <cell r="Z95">
            <v>42735</v>
          </cell>
          <cell r="AA95">
            <v>37462.865286181608</v>
          </cell>
          <cell r="AB95">
            <v>5413.410714371752</v>
          </cell>
          <cell r="AC95">
            <v>0.14450071218574195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42705</v>
          </cell>
          <cell r="Z96">
            <v>42735</v>
          </cell>
          <cell r="AA96">
            <v>6850.937735725005</v>
          </cell>
          <cell r="AB96">
            <v>976.63368979782183</v>
          </cell>
          <cell r="AC96">
            <v>0.14255474614884511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42705</v>
          </cell>
          <cell r="Z97">
            <v>42735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42705</v>
          </cell>
          <cell r="Z98">
            <v>42735</v>
          </cell>
          <cell r="AA98">
            <v>0</v>
          </cell>
          <cell r="AB98">
            <v>0</v>
          </cell>
          <cell r="AC98">
            <v>0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42705</v>
          </cell>
          <cell r="Z99">
            <v>42735</v>
          </cell>
          <cell r="AA99">
            <v>21895.450391562539</v>
          </cell>
          <cell r="AB99">
            <v>3086.19522516798</v>
          </cell>
          <cell r="AC99">
            <v>0.14095143831146092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42705</v>
          </cell>
          <cell r="Z100">
            <v>42735</v>
          </cell>
          <cell r="AA100">
            <v>9546.5325045663649</v>
          </cell>
          <cell r="AB100">
            <v>1360.9035177901567</v>
          </cell>
          <cell r="AC100">
            <v>0.14255474614884511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42705</v>
          </cell>
          <cell r="Z101">
            <v>42735</v>
          </cell>
          <cell r="AA101">
            <v>24457.596425519569</v>
          </cell>
          <cell r="AB101">
            <v>3486.5464498508436</v>
          </cell>
          <cell r="AC101">
            <v>0.14255474614884511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42705</v>
          </cell>
          <cell r="Z102">
            <v>42735</v>
          </cell>
          <cell r="AA102">
            <v>59671.19055056879</v>
          </cell>
          <cell r="AB102">
            <v>8410.7401338599266</v>
          </cell>
          <cell r="AC102">
            <v>0.14095143831146092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42705</v>
          </cell>
          <cell r="Z103">
            <v>42735</v>
          </cell>
          <cell r="AA103">
            <v>7744.7419145305375</v>
          </cell>
          <cell r="AB103">
            <v>1091.6325122041369</v>
          </cell>
          <cell r="AC103">
            <v>0.14095143831146092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42705</v>
          </cell>
          <cell r="Z104">
            <v>42735</v>
          </cell>
          <cell r="AA104">
            <v>89539.294095592064</v>
          </cell>
          <cell r="AB104">
            <v>12620.692288166603</v>
          </cell>
          <cell r="AC104">
            <v>0.14095143831146092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42705</v>
          </cell>
          <cell r="Z106">
            <v>42735</v>
          </cell>
          <cell r="AA106">
            <v>78177.597296374021</v>
          </cell>
          <cell r="AB106">
            <v>11296.71848629618</v>
          </cell>
          <cell r="AC106">
            <v>0.14450071218574195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42705</v>
          </cell>
          <cell r="Z107">
            <v>42735</v>
          </cell>
          <cell r="AA107">
            <v>3479.6791901757751</v>
          </cell>
          <cell r="AB107">
            <v>502.81612115830529</v>
          </cell>
          <cell r="AC107">
            <v>0.14450071218574195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42705</v>
          </cell>
          <cell r="Z108">
            <v>42735</v>
          </cell>
          <cell r="AA108">
            <v>17003.521157073686</v>
          </cell>
          <cell r="AB108">
            <v>2396.6707634488926</v>
          </cell>
          <cell r="AC108">
            <v>0.14095143831146092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42705</v>
          </cell>
          <cell r="Z109">
            <v>42735</v>
          </cell>
          <cell r="AA109">
            <v>65987.855010022133</v>
          </cell>
          <cell r="AB109">
            <v>9535.2920445576783</v>
          </cell>
          <cell r="AC109">
            <v>0.14450071218574195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42705</v>
          </cell>
          <cell r="Z110">
            <v>42735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42705</v>
          </cell>
          <cell r="Z111">
            <v>42735</v>
          </cell>
          <cell r="AA111">
            <v>165631.47174354407</v>
          </cell>
          <cell r="AB111">
            <v>23345.994171896637</v>
          </cell>
          <cell r="AC111">
            <v>0.14095143831146092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42705</v>
          </cell>
          <cell r="Z112">
            <v>42735</v>
          </cell>
          <cell r="AA112">
            <v>27860.32943930928</v>
          </cell>
          <cell r="AB112">
            <v>3971.6221908439306</v>
          </cell>
          <cell r="AC112">
            <v>0.14255474614884511</v>
          </cell>
          <cell r="AE112" t="str">
            <v>1-44-38866-03717-00-9001-3-01</v>
          </cell>
          <cell r="AF112">
            <v>5236180951</v>
          </cell>
          <cell r="AG112">
            <v>42341</v>
          </cell>
          <cell r="AH112">
            <v>42384</v>
          </cell>
          <cell r="AI112">
            <v>43200</v>
          </cell>
          <cell r="AJ112">
            <v>6171.5</v>
          </cell>
          <cell r="AL112">
            <v>6171.5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42341</v>
          </cell>
          <cell r="Z113">
            <v>42384</v>
          </cell>
          <cell r="AA113">
            <v>46608.225599999998</v>
          </cell>
          <cell r="AB113">
            <v>8088.6651336000004</v>
          </cell>
          <cell r="AC113">
            <v>0.17354587155963305</v>
          </cell>
          <cell r="AE113" t="str">
            <v>1-44-38866-03717-00-9001-3-01</v>
          </cell>
          <cell r="AF113">
            <v>5236180952</v>
          </cell>
          <cell r="AG113">
            <v>42341</v>
          </cell>
          <cell r="AH113">
            <v>42384</v>
          </cell>
          <cell r="AI113">
            <v>9120</v>
          </cell>
          <cell r="AJ113">
            <v>2908.42</v>
          </cell>
          <cell r="AL113">
            <v>2908.42</v>
          </cell>
          <cell r="AM113">
            <v>52320</v>
          </cell>
          <cell r="AN113">
            <v>9079.92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42341</v>
          </cell>
          <cell r="Z114">
            <v>42384</v>
          </cell>
          <cell r="AA114">
            <v>5711.7744000000002</v>
          </cell>
          <cell r="AB114">
            <v>991.25486640000008</v>
          </cell>
          <cell r="AC114">
            <v>0.17354587155963302</v>
          </cell>
          <cell r="AE114" t="str">
            <v>1-44-38866-03717-00-9001-3-02</v>
          </cell>
          <cell r="AG114">
            <v>42705</v>
          </cell>
          <cell r="AH114">
            <v>42735</v>
          </cell>
          <cell r="AL114">
            <v>0</v>
          </cell>
          <cell r="AM114">
            <v>52320</v>
          </cell>
          <cell r="AN114">
            <v>9079.92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42705</v>
          </cell>
          <cell r="Z115">
            <v>42735</v>
          </cell>
          <cell r="AA115">
            <v>38420.269427751977</v>
          </cell>
          <cell r="AB115">
            <v>5476.9917552434181</v>
          </cell>
          <cell r="AC115">
            <v>0.14255474614884511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42339</v>
          </cell>
          <cell r="Z116">
            <v>42369</v>
          </cell>
          <cell r="AA116">
            <v>5080</v>
          </cell>
          <cell r="AB116">
            <v>866.76</v>
          </cell>
          <cell r="AC116">
            <v>0.17062204724409449</v>
          </cell>
          <cell r="AE116" t="str">
            <v>1-63-00433-00909-00-9001-3-01</v>
          </cell>
          <cell r="AF116">
            <v>5236180925</v>
          </cell>
          <cell r="AG116">
            <v>42339</v>
          </cell>
          <cell r="AH116">
            <v>42369</v>
          </cell>
          <cell r="AI116">
            <v>5080</v>
          </cell>
          <cell r="AJ116">
            <v>866.76</v>
          </cell>
          <cell r="AL116">
            <v>866.76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42705</v>
          </cell>
          <cell r="Z118">
            <v>42735</v>
          </cell>
          <cell r="AA118">
            <v>44402.325254905503</v>
          </cell>
          <cell r="AB118">
            <v>6329.7622051315084</v>
          </cell>
          <cell r="AC118">
            <v>0.14255474614884511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42705</v>
          </cell>
          <cell r="Z119">
            <v>42735</v>
          </cell>
          <cell r="AA119">
            <v>31193.126434138216</v>
          </cell>
          <cell r="AB119">
            <v>4446.7282204074036</v>
          </cell>
          <cell r="AC119">
            <v>0.14255474614884511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42341</v>
          </cell>
          <cell r="Z120">
            <v>42374</v>
          </cell>
          <cell r="AA120">
            <v>10600</v>
          </cell>
          <cell r="AB120">
            <v>1824.8200000000002</v>
          </cell>
          <cell r="AC120">
            <v>0.17215283018867927</v>
          </cell>
          <cell r="AE120" t="str">
            <v>1-44-43997-03440-00-9001-2-01</v>
          </cell>
          <cell r="AF120">
            <v>5236180234</v>
          </cell>
          <cell r="AG120">
            <v>42341</v>
          </cell>
          <cell r="AH120">
            <v>42374</v>
          </cell>
          <cell r="AI120">
            <v>4040</v>
          </cell>
          <cell r="AJ120">
            <v>667.1</v>
          </cell>
          <cell r="AL120">
            <v>667.1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42705</v>
          </cell>
          <cell r="Z121">
            <v>42735</v>
          </cell>
          <cell r="AA121">
            <v>64187.083908360692</v>
          </cell>
          <cell r="AB121">
            <v>9047.2617979018687</v>
          </cell>
          <cell r="AC121">
            <v>0.14095143831146092</v>
          </cell>
          <cell r="AE121" t="str">
            <v>1-44-43997-03440-00-9001-2-01</v>
          </cell>
          <cell r="AF121">
            <v>5236180235</v>
          </cell>
          <cell r="AG121">
            <v>42341</v>
          </cell>
          <cell r="AH121">
            <v>42374</v>
          </cell>
          <cell r="AI121">
            <v>6560</v>
          </cell>
          <cell r="AJ121">
            <v>1157.72</v>
          </cell>
          <cell r="AL121">
            <v>1157.72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42705</v>
          </cell>
          <cell r="Z123">
            <v>42735</v>
          </cell>
          <cell r="AA123">
            <v>46478.785081788061</v>
          </cell>
          <cell r="AB123">
            <v>6716.2175458464135</v>
          </cell>
          <cell r="AC123">
            <v>0.14450071218574195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42339</v>
          </cell>
          <cell r="Z124">
            <v>42368</v>
          </cell>
          <cell r="AA124">
            <v>3</v>
          </cell>
          <cell r="AB124">
            <v>11</v>
          </cell>
          <cell r="AC124">
            <v>3.6666666666666665</v>
          </cell>
          <cell r="AE124" t="str">
            <v>1-63-43981-02712-00-0000-0-01</v>
          </cell>
          <cell r="AF124">
            <v>5236180909</v>
          </cell>
          <cell r="AG124">
            <v>42339</v>
          </cell>
          <cell r="AH124">
            <v>42368</v>
          </cell>
          <cell r="AI124">
            <v>3</v>
          </cell>
          <cell r="AJ124">
            <v>11</v>
          </cell>
          <cell r="AL124">
            <v>11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42705</v>
          </cell>
          <cell r="Z125">
            <v>42368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42339</v>
          </cell>
          <cell r="AH125">
            <v>42368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42705</v>
          </cell>
          <cell r="Z126">
            <v>42735</v>
          </cell>
          <cell r="AA126">
            <v>22810.842503773263</v>
          </cell>
          <cell r="AB126">
            <v>3251.7938625666839</v>
          </cell>
          <cell r="AC126">
            <v>0.14255474614884511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42705</v>
          </cell>
          <cell r="Z127">
            <v>42735</v>
          </cell>
          <cell r="AA127">
            <v>42576.147335353373</v>
          </cell>
          <cell r="AB127">
            <v>6152.2836120836419</v>
          </cell>
          <cell r="AC127">
            <v>0.14450071218574195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42705</v>
          </cell>
          <cell r="Z128">
            <v>42735</v>
          </cell>
          <cell r="AA128">
            <v>21536.870729774255</v>
          </cell>
          <cell r="AB128">
            <v>3112.0931587046398</v>
          </cell>
          <cell r="AC128">
            <v>0.14450071218574195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42705</v>
          </cell>
          <cell r="Z129">
            <v>42735</v>
          </cell>
          <cell r="AA129">
            <v>115239.3762954921</v>
          </cell>
          <cell r="AB129">
            <v>16652.171946539318</v>
          </cell>
          <cell r="AC129">
            <v>0.14450071218574195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42705</v>
          </cell>
          <cell r="Z130">
            <v>42735</v>
          </cell>
          <cell r="AA130">
            <v>718.30520425771351</v>
          </cell>
          <cell r="AB130">
            <v>103.79561358196445</v>
          </cell>
          <cell r="AC130">
            <v>0.14450071218574195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42705</v>
          </cell>
          <cell r="Z131">
            <v>42735</v>
          </cell>
          <cell r="AA131">
            <v>1353.1691218122323</v>
          </cell>
          <cell r="AB131">
            <v>195.53390180962259</v>
          </cell>
          <cell r="AC131">
            <v>0.14450071218574195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42705</v>
          </cell>
          <cell r="Z132">
            <v>42735</v>
          </cell>
          <cell r="AA132">
            <v>1821.8765084095014</v>
          </cell>
          <cell r="AB132">
            <v>3034.8858076083161</v>
          </cell>
          <cell r="AC132">
            <v>1.6658021515727057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42705</v>
          </cell>
          <cell r="Z133">
            <v>42735</v>
          </cell>
          <cell r="AA133">
            <v>21531.428440638665</v>
          </cell>
          <cell r="AB133">
            <v>1682.422952014588</v>
          </cell>
          <cell r="AC133">
            <v>7.813800912712153E-2</v>
          </cell>
          <cell r="AE133" t="str">
            <v>1-63-34103-03131-00-9002-0-01</v>
          </cell>
          <cell r="AF133">
            <v>5236180880</v>
          </cell>
          <cell r="AG133">
            <v>42339</v>
          </cell>
          <cell r="AH133">
            <v>42369</v>
          </cell>
          <cell r="AI133">
            <v>20720</v>
          </cell>
          <cell r="AJ133">
            <v>4772.41</v>
          </cell>
          <cell r="AL133">
            <v>4772.41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42705</v>
          </cell>
          <cell r="Z134">
            <v>42735</v>
          </cell>
          <cell r="AA134">
            <v>11936.18860629809</v>
          </cell>
          <cell r="AB134">
            <v>256.79611428618165</v>
          </cell>
          <cell r="AC134">
            <v>2.151407980858178E-2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42339</v>
          </cell>
          <cell r="Z136">
            <v>42369</v>
          </cell>
          <cell r="AA136">
            <v>57280</v>
          </cell>
          <cell r="AB136">
            <v>10846.77</v>
          </cell>
          <cell r="AC136">
            <v>0.18936400139664805</v>
          </cell>
          <cell r="AE136" t="str">
            <v>1-63-34103-03131-00-9001-0-01</v>
          </cell>
          <cell r="AF136">
            <v>5236180879</v>
          </cell>
          <cell r="AG136">
            <v>42339</v>
          </cell>
          <cell r="AH136">
            <v>42369</v>
          </cell>
          <cell r="AI136">
            <v>36560</v>
          </cell>
          <cell r="AJ136">
            <v>6074.36</v>
          </cell>
          <cell r="AL136">
            <v>6074.36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42307</v>
          </cell>
          <cell r="Z137">
            <v>42374</v>
          </cell>
          <cell r="AA137">
            <v>96848.400000000009</v>
          </cell>
          <cell r="AB137">
            <v>13311.899289999999</v>
          </cell>
          <cell r="AC137">
            <v>0.13745089531680438</v>
          </cell>
          <cell r="AE137" t="str">
            <v>1-44-38866-03447-00-9001-4-01</v>
          </cell>
          <cell r="AF137">
            <v>5236180950</v>
          </cell>
          <cell r="AG137">
            <v>42341</v>
          </cell>
          <cell r="AH137">
            <v>42374</v>
          </cell>
          <cell r="AI137">
            <v>48440</v>
          </cell>
          <cell r="AJ137">
            <v>6688.47</v>
          </cell>
          <cell r="AL137">
            <v>6688.47</v>
          </cell>
          <cell r="AM137">
            <v>290400</v>
          </cell>
          <cell r="AN137">
            <v>39915.74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42307</v>
          </cell>
          <cell r="Z138">
            <v>42374</v>
          </cell>
          <cell r="AA138">
            <v>193551.6</v>
          </cell>
          <cell r="AB138">
            <v>26603.840709999997</v>
          </cell>
          <cell r="AC138">
            <v>0.13745089531680438</v>
          </cell>
          <cell r="AM138">
            <v>290400</v>
          </cell>
          <cell r="AN138">
            <v>39915.74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42307</v>
          </cell>
          <cell r="Z139">
            <v>42374</v>
          </cell>
          <cell r="AA139">
            <v>48440</v>
          </cell>
          <cell r="AB139">
            <v>6688.47</v>
          </cell>
          <cell r="AC139">
            <v>0.13807741535920728</v>
          </cell>
          <cell r="AE139" t="str">
            <v>1-44-38866-03447-00-9004-0-01</v>
          </cell>
          <cell r="AF139">
            <v>5236180944</v>
          </cell>
          <cell r="AG139">
            <v>42307</v>
          </cell>
          <cell r="AH139">
            <v>42374</v>
          </cell>
          <cell r="AI139">
            <v>35520</v>
          </cell>
          <cell r="AJ139">
            <v>5913.3600000000006</v>
          </cell>
          <cell r="AL139">
            <v>5913.3600000000006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42705</v>
          </cell>
          <cell r="Z140">
            <v>42735</v>
          </cell>
          <cell r="AA140">
            <v>18514.962707913324</v>
          </cell>
          <cell r="AB140">
            <v>2639.3958087819178</v>
          </cell>
          <cell r="AC140">
            <v>0.14255474614884511</v>
          </cell>
          <cell r="AE140" t="str">
            <v>1-44-38866-03447-00-9004-0-01</v>
          </cell>
          <cell r="AF140">
            <v>5236180945</v>
          </cell>
          <cell r="AG140">
            <v>42255</v>
          </cell>
          <cell r="AH140">
            <v>42374</v>
          </cell>
          <cell r="AI140">
            <v>254880</v>
          </cell>
          <cell r="AJ140">
            <v>34002.379999999997</v>
          </cell>
          <cell r="AL140">
            <v>34002.379999999997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42705</v>
          </cell>
          <cell r="Z141">
            <v>42735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42705</v>
          </cell>
          <cell r="Z142">
            <v>42735</v>
          </cell>
          <cell r="AA142">
            <v>21458.524540180213</v>
          </cell>
          <cell r="AB142">
            <v>3059.0145185541537</v>
          </cell>
          <cell r="AC142">
            <v>0.14255474614884511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42705</v>
          </cell>
          <cell r="Z143">
            <v>42735</v>
          </cell>
          <cell r="AA143">
            <v>42039.7889</v>
          </cell>
          <cell r="AB143">
            <v>5925.5910183054057</v>
          </cell>
          <cell r="AC143">
            <v>0.14095196891688971</v>
          </cell>
          <cell r="AM143">
            <v>71777</v>
          </cell>
          <cell r="AN143">
            <v>10117.109472947594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42705</v>
          </cell>
          <cell r="Z144">
            <v>42735</v>
          </cell>
          <cell r="AA144">
            <v>29737.2111</v>
          </cell>
          <cell r="AB144">
            <v>4191.5184546421879</v>
          </cell>
          <cell r="AC144">
            <v>0.14095196891688971</v>
          </cell>
          <cell r="AN144">
            <v>10117.109472947594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42705</v>
          </cell>
          <cell r="Z145">
            <v>42735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42339</v>
          </cell>
          <cell r="Z146">
            <v>42369</v>
          </cell>
          <cell r="AA146">
            <v>31264</v>
          </cell>
          <cell r="AB146">
            <v>5028.1240415728171</v>
          </cell>
          <cell r="AC146">
            <v>0.16082791842287669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42705</v>
          </cell>
          <cell r="AH147">
            <v>42735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42705</v>
          </cell>
          <cell r="AH148">
            <v>42735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42705</v>
          </cell>
          <cell r="Z149">
            <v>42735</v>
          </cell>
          <cell r="AA149">
            <v>109296.36829411596</v>
          </cell>
          <cell r="AB149">
            <v>15793.403057814903</v>
          </cell>
          <cell r="AC149">
            <v>0.14450071218574195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42705</v>
          </cell>
          <cell r="Z151">
            <v>42735</v>
          </cell>
          <cell r="AA151">
            <v>106447.22117597226</v>
          </cell>
          <cell r="AB151">
            <v>15381.699270121182</v>
          </cell>
          <cell r="AC151">
            <v>0.14450071218574195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42705</v>
          </cell>
          <cell r="Z152">
            <v>42735</v>
          </cell>
          <cell r="AA152">
            <v>91823.84808656777</v>
          </cell>
          <cell r="AB152">
            <v>12942.703459094817</v>
          </cell>
          <cell r="AC152">
            <v>0.14095143831146092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42705</v>
          </cell>
          <cell r="Z153">
            <v>42735</v>
          </cell>
          <cell r="AA153">
            <v>5338.0484999999999</v>
          </cell>
          <cell r="AB153">
            <v>771.3515457031524</v>
          </cell>
          <cell r="AC153">
            <v>0.14450066268658901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42705</v>
          </cell>
          <cell r="Z154">
            <v>42735</v>
          </cell>
          <cell r="AA154">
            <v>54304.951499999996</v>
          </cell>
          <cell r="AB154">
            <v>7847.1014789130759</v>
          </cell>
          <cell r="AC154">
            <v>0.14450066268658901</v>
          </cell>
          <cell r="AM154">
            <v>59643</v>
          </cell>
          <cell r="AN154">
            <v>8618.4530246162285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42705</v>
          </cell>
          <cell r="Z155">
            <v>42735</v>
          </cell>
          <cell r="AA155">
            <v>2633.1229529087254</v>
          </cell>
          <cell r="AB155">
            <v>380.48814196793472</v>
          </cell>
          <cell r="AC155">
            <v>0.14450071218574195</v>
          </cell>
          <cell r="AN155">
            <v>8618.4530246162285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42705</v>
          </cell>
          <cell r="Z156">
            <v>42735</v>
          </cell>
          <cell r="AA156">
            <v>716.24580228801767</v>
          </cell>
          <cell r="AB156">
            <v>103.49802853066667</v>
          </cell>
          <cell r="AC156">
            <v>0.14450071218574195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42705</v>
          </cell>
          <cell r="Z157">
            <v>42735</v>
          </cell>
          <cell r="AA157">
            <v>78156.08009648374</v>
          </cell>
          <cell r="AB157">
            <v>11293.609235587792</v>
          </cell>
          <cell r="AC157">
            <v>0.14450071218574195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42705</v>
          </cell>
          <cell r="Z158">
            <v>42735</v>
          </cell>
          <cell r="AA158">
            <v>162614.00807203067</v>
          </cell>
          <cell r="AB158">
            <v>23181.398640954583</v>
          </cell>
          <cell r="AC158">
            <v>0.14255474614884511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42341</v>
          </cell>
          <cell r="Z159">
            <v>42374</v>
          </cell>
          <cell r="AA159">
            <v>13520</v>
          </cell>
          <cell r="AB159">
            <v>2091.96</v>
          </cell>
          <cell r="AC159">
            <v>0.15473076923076923</v>
          </cell>
          <cell r="AE159" t="str">
            <v>1-44-43997-03500-00-9001-1-01</v>
          </cell>
          <cell r="AF159">
            <v>5236180240</v>
          </cell>
          <cell r="AG159">
            <v>42341</v>
          </cell>
          <cell r="AH159">
            <v>42374</v>
          </cell>
          <cell r="AI159">
            <v>13280</v>
          </cell>
          <cell r="AJ159">
            <v>2018.89</v>
          </cell>
          <cell r="AL159">
            <v>2018.89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42705</v>
          </cell>
          <cell r="Z160">
            <v>42735</v>
          </cell>
          <cell r="AA160">
            <v>13744.235704167144</v>
          </cell>
          <cell r="AB160">
            <v>1986.0518477008548</v>
          </cell>
          <cell r="AC160">
            <v>0.14450071218574195</v>
          </cell>
          <cell r="AE160" t="str">
            <v>1-44-43997-03500-00-9001-1-01</v>
          </cell>
          <cell r="AF160">
            <v>5236180241</v>
          </cell>
          <cell r="AG160">
            <v>42341</v>
          </cell>
          <cell r="AH160">
            <v>42374</v>
          </cell>
          <cell r="AI160">
            <v>240</v>
          </cell>
          <cell r="AJ160">
            <v>73.069999999999993</v>
          </cell>
          <cell r="AL160">
            <v>73.069999999999993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42339</v>
          </cell>
          <cell r="Z161">
            <v>42369</v>
          </cell>
          <cell r="AA161">
            <v>28442.76</v>
          </cell>
          <cell r="AB161">
            <v>4447.9251999999997</v>
          </cell>
          <cell r="AC161">
            <v>0.15638163103721298</v>
          </cell>
          <cell r="AE161" t="str">
            <v>1-63-00433-00746-00-0000-4-01</v>
          </cell>
          <cell r="AF161">
            <v>5236180919</v>
          </cell>
          <cell r="AG161">
            <v>42339</v>
          </cell>
          <cell r="AH161">
            <v>42369</v>
          </cell>
          <cell r="AI161">
            <v>50520</v>
          </cell>
          <cell r="AJ161">
            <v>7900.4</v>
          </cell>
          <cell r="AL161">
            <v>7900.4</v>
          </cell>
          <cell r="AM161">
            <v>50520</v>
          </cell>
          <cell r="AN161">
            <v>7900.4</v>
          </cell>
          <cell r="AO161" t="str">
            <v>#42</v>
          </cell>
          <cell r="AP161">
            <v>0.312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42705</v>
          </cell>
          <cell r="Z162">
            <v>42735</v>
          </cell>
          <cell r="AA162">
            <v>32825.944216758806</v>
          </cell>
          <cell r="AB162">
            <v>4743.3723174910847</v>
          </cell>
          <cell r="AC162">
            <v>0.14450071218574195</v>
          </cell>
          <cell r="AL162" t="str">
            <v>METER #APMYV00125-000015</v>
          </cell>
          <cell r="AM162">
            <v>50520</v>
          </cell>
          <cell r="AN162">
            <v>7900.4</v>
          </cell>
          <cell r="AO162" t="str">
            <v>#52</v>
          </cell>
          <cell r="AP162">
            <v>0.125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42705</v>
          </cell>
          <cell r="Z163">
            <v>42735</v>
          </cell>
          <cell r="AC163">
            <v>0</v>
          </cell>
          <cell r="AO163" t="str">
            <v>#261</v>
          </cell>
          <cell r="AP163">
            <v>0.56299999999999994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42705</v>
          </cell>
          <cell r="Z164">
            <v>42735</v>
          </cell>
          <cell r="AA164">
            <v>79623.088294307934</v>
          </cell>
          <cell r="AB164">
            <v>11350.649139382149</v>
          </cell>
          <cell r="AC164">
            <v>0.14255474614884511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42705</v>
          </cell>
          <cell r="Z165">
            <v>42735</v>
          </cell>
          <cell r="AA165">
            <v>5258.4972431525994</v>
          </cell>
          <cell r="AB165">
            <v>749.62373962202059</v>
          </cell>
          <cell r="AC165">
            <v>0.14255474614884511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42339</v>
          </cell>
          <cell r="Z166">
            <v>42369</v>
          </cell>
          <cell r="AA166">
            <v>3840</v>
          </cell>
          <cell r="AB166">
            <v>703.54</v>
          </cell>
          <cell r="AC166">
            <v>0.18321354166666665</v>
          </cell>
          <cell r="AE166" t="str">
            <v>1-63-96497-01102-00-0000-1-01</v>
          </cell>
          <cell r="AF166">
            <v>5236180896</v>
          </cell>
          <cell r="AG166">
            <v>42339</v>
          </cell>
          <cell r="AH166">
            <v>42369</v>
          </cell>
          <cell r="AI166">
            <v>3840</v>
          </cell>
          <cell r="AJ166">
            <v>703.54</v>
          </cell>
          <cell r="AL166">
            <v>703.54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42339</v>
          </cell>
          <cell r="Z167">
            <v>42369</v>
          </cell>
          <cell r="AA167">
            <v>3440</v>
          </cell>
          <cell r="AB167">
            <v>660.21</v>
          </cell>
          <cell r="AC167">
            <v>0.19192151162790699</v>
          </cell>
          <cell r="AE167" t="str">
            <v>1-63-43981-02653-00-0000-0-01</v>
          </cell>
          <cell r="AF167">
            <v>5236180908</v>
          </cell>
          <cell r="AG167">
            <v>42339</v>
          </cell>
          <cell r="AH167">
            <v>42369</v>
          </cell>
          <cell r="AI167">
            <v>3440</v>
          </cell>
          <cell r="AJ167">
            <v>660.21</v>
          </cell>
          <cell r="AL167">
            <v>660.21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42339</v>
          </cell>
          <cell r="Z168">
            <v>42368</v>
          </cell>
          <cell r="AA168">
            <v>41920</v>
          </cell>
          <cell r="AB168">
            <v>7312.27</v>
          </cell>
          <cell r="AC168">
            <v>0.1744339217557252</v>
          </cell>
          <cell r="AE168" t="str">
            <v>1-63-34103-03500-00-9001-6-01</v>
          </cell>
          <cell r="AF168">
            <v>5236180888</v>
          </cell>
          <cell r="AG168">
            <v>42339</v>
          </cell>
          <cell r="AH168">
            <v>42368</v>
          </cell>
          <cell r="AI168">
            <v>41920</v>
          </cell>
          <cell r="AJ168">
            <v>7312.27</v>
          </cell>
          <cell r="AL168">
            <v>7312.27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42705</v>
          </cell>
          <cell r="Z169">
            <v>42735</v>
          </cell>
          <cell r="AA169">
            <v>15088.097778835825</v>
          </cell>
          <cell r="AB169">
            <v>2150.8799487308947</v>
          </cell>
          <cell r="AC169">
            <v>0.14255474614884511</v>
          </cell>
          <cell r="AE169" t="str">
            <v>1-63-34103-03500-00-0000-4-01</v>
          </cell>
          <cell r="AG169">
            <v>42339</v>
          </cell>
          <cell r="AH169">
            <v>42368</v>
          </cell>
          <cell r="AL169">
            <v>0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42705</v>
          </cell>
          <cell r="Z170">
            <v>42735</v>
          </cell>
          <cell r="AA170">
            <v>123391.3567672669</v>
          </cell>
          <cell r="AB170">
            <v>17392.189211548888</v>
          </cell>
          <cell r="AC170">
            <v>0.14095143831146092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42705</v>
          </cell>
          <cell r="Z171">
            <v>42735</v>
          </cell>
          <cell r="AA171">
            <v>50643.644044081331</v>
          </cell>
          <cell r="AB171">
            <v>7138.2944693469153</v>
          </cell>
          <cell r="AC171">
            <v>0.14095143831146092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42341</v>
          </cell>
          <cell r="Z172">
            <v>42374</v>
          </cell>
          <cell r="AA172">
            <v>1637098.09</v>
          </cell>
          <cell r="AB172">
            <v>212765.83127420378</v>
          </cell>
          <cell r="AC172">
            <v>0.1299652309008581</v>
          </cell>
          <cell r="AE172" t="str">
            <v>1-44-38866-03430-00-0000-1-01</v>
          </cell>
          <cell r="AF172">
            <v>5236180933</v>
          </cell>
          <cell r="AG172">
            <v>42341</v>
          </cell>
          <cell r="AH172">
            <v>42374</v>
          </cell>
          <cell r="AI172">
            <v>183360</v>
          </cell>
          <cell r="AJ172">
            <v>26672.080000000002</v>
          </cell>
          <cell r="AL172">
            <v>26672.080000000002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42341</v>
          </cell>
          <cell r="Z173">
            <v>42374</v>
          </cell>
          <cell r="AA173">
            <v>14864</v>
          </cell>
          <cell r="AB173">
            <v>1931.8031921103548</v>
          </cell>
          <cell r="AC173">
            <v>0.1299652309008581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42705</v>
          </cell>
          <cell r="Z174">
            <v>42735</v>
          </cell>
          <cell r="AA174">
            <v>18132</v>
          </cell>
          <cell r="AB174">
            <v>1339.3624968020297</v>
          </cell>
          <cell r="AC174">
            <v>7.3867333818775083E-2</v>
          </cell>
          <cell r="AE174" t="str">
            <v>1-44-38866-03434-00-9003-0-01</v>
          </cell>
          <cell r="AF174">
            <v>5236180939</v>
          </cell>
          <cell r="AG174">
            <v>42341</v>
          </cell>
          <cell r="AH174">
            <v>42374</v>
          </cell>
          <cell r="AI174">
            <v>1049674.0900000001</v>
          </cell>
          <cell r="AJ174">
            <v>131751.13</v>
          </cell>
          <cell r="AL174">
            <v>131751.13</v>
          </cell>
          <cell r="AM174">
            <v>0.1299652309008581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42339</v>
          </cell>
          <cell r="Z175">
            <v>42369</v>
          </cell>
          <cell r="AA175">
            <v>432514.06</v>
          </cell>
          <cell r="AB175">
            <v>69560.335958427197</v>
          </cell>
          <cell r="AC175">
            <v>0.16082791842287669</v>
          </cell>
          <cell r="AE175" t="str">
            <v>1-63-34103-03400-00-9001-0-01</v>
          </cell>
          <cell r="AF175">
            <v>5236180883</v>
          </cell>
          <cell r="AG175">
            <v>42339</v>
          </cell>
          <cell r="AH175">
            <v>42369</v>
          </cell>
          <cell r="AI175">
            <v>463778.06</v>
          </cell>
          <cell r="AJ175">
            <v>74588.460000000006</v>
          </cell>
          <cell r="AL175">
            <v>74588.460000000006</v>
          </cell>
          <cell r="AM175">
            <v>463778.06</v>
          </cell>
          <cell r="AN175">
            <v>0.16082791842287669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42705</v>
          </cell>
          <cell r="Z176">
            <v>42735</v>
          </cell>
          <cell r="AA176">
            <v>280685.33929336583</v>
          </cell>
          <cell r="AB176">
            <v>40559.231427987987</v>
          </cell>
          <cell r="AC176">
            <v>0.14450071218574195</v>
          </cell>
          <cell r="AE176" t="str">
            <v>1-44-38866-03434-00-9003-3-01</v>
          </cell>
          <cell r="AF176">
            <v>5236180938</v>
          </cell>
          <cell r="AG176">
            <v>42341</v>
          </cell>
          <cell r="AH176">
            <v>42374</v>
          </cell>
          <cell r="AI176">
            <v>466800</v>
          </cell>
          <cell r="AJ176">
            <v>62496.12</v>
          </cell>
          <cell r="AL176">
            <v>62496.12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42705</v>
          </cell>
          <cell r="Z177">
            <v>42735</v>
          </cell>
          <cell r="AA177">
            <v>430517.42395965371</v>
          </cell>
          <cell r="AB177">
            <v>61372.302085223164</v>
          </cell>
          <cell r="AC177">
            <v>0.14255474614884511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42705</v>
          </cell>
          <cell r="Z178">
            <v>42735</v>
          </cell>
          <cell r="AA178">
            <v>12826.345652330927</v>
          </cell>
          <cell r="AB178">
            <v>1828.4564484853784</v>
          </cell>
          <cell r="AC178">
            <v>0.14255474614884511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42705</v>
          </cell>
          <cell r="Z179">
            <v>42735</v>
          </cell>
          <cell r="AA179">
            <v>12790.646372690306</v>
          </cell>
          <cell r="AB179">
            <v>1823.3673467385131</v>
          </cell>
          <cell r="AC179">
            <v>0.14255474614884511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42705</v>
          </cell>
          <cell r="Z180">
            <v>42735</v>
          </cell>
          <cell r="AA180">
            <v>102140.29258919366</v>
          </cell>
          <cell r="AB180">
            <v>14560.583481621268</v>
          </cell>
          <cell r="AC180">
            <v>0.14255474614884511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42705</v>
          </cell>
          <cell r="Z181">
            <v>42735</v>
          </cell>
          <cell r="AA181">
            <v>4130.8823718409849</v>
          </cell>
          <cell r="AB181">
            <v>582.25381180644592</v>
          </cell>
          <cell r="AC181">
            <v>0.14095143831146092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42705</v>
          </cell>
          <cell r="Z182">
            <v>42735</v>
          </cell>
          <cell r="AA182">
            <v>245565.98553432879</v>
          </cell>
          <cell r="AB182">
            <v>34612.878861435049</v>
          </cell>
          <cell r="AC182">
            <v>0.14095143831146092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42705</v>
          </cell>
          <cell r="Z183">
            <v>42735</v>
          </cell>
          <cell r="AA183">
            <v>202220.34890142776</v>
          </cell>
          <cell r="AB183">
            <v>29220.98443470553</v>
          </cell>
          <cell r="AC183">
            <v>0.14450071218574195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42705</v>
          </cell>
          <cell r="Z184">
            <v>42735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42705</v>
          </cell>
          <cell r="Z185">
            <v>42735</v>
          </cell>
          <cell r="AA185">
            <v>30863.523029188153</v>
          </cell>
          <cell r="AB185">
            <v>4399.7416906849521</v>
          </cell>
          <cell r="AC185">
            <v>0.14255474614884511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42705</v>
          </cell>
          <cell r="Z186">
            <v>42735</v>
          </cell>
          <cell r="AA186">
            <v>6022.6080814938887</v>
          </cell>
          <cell r="AB186">
            <v>858.55136621134432</v>
          </cell>
          <cell r="AC186">
            <v>0.14255474614884511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42705</v>
          </cell>
          <cell r="Z187">
            <v>42735</v>
          </cell>
          <cell r="AA187">
            <v>7356.9102075029386</v>
          </cell>
          <cell r="AB187">
            <v>1048.7624670704288</v>
          </cell>
          <cell r="AC187">
            <v>0.14255474614884511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42705</v>
          </cell>
          <cell r="Z188">
            <v>42735</v>
          </cell>
          <cell r="AA188">
            <v>3450.5979697324356</v>
          </cell>
          <cell r="AB188">
            <v>491.89911763692766</v>
          </cell>
          <cell r="AC188">
            <v>0.14255474614884511</v>
          </cell>
        </row>
        <row r="189">
          <cell r="R189">
            <v>3160</v>
          </cell>
          <cell r="S189" t="str">
            <v>Campus Develpmt &amp; Facilities</v>
          </cell>
          <cell r="Y189">
            <v>42341</v>
          </cell>
          <cell r="Z189">
            <v>42374</v>
          </cell>
          <cell r="AA189">
            <v>47872</v>
          </cell>
          <cell r="AB189">
            <v>6221.6955336858791</v>
          </cell>
          <cell r="AC189">
            <v>0.1299652309008581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42705</v>
          </cell>
          <cell r="Z190">
            <v>42735</v>
          </cell>
          <cell r="AA190">
            <v>150298.68730349388</v>
          </cell>
          <cell r="AB190">
            <v>21425.791215054218</v>
          </cell>
          <cell r="AC190">
            <v>0.14255474614884511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42705</v>
          </cell>
          <cell r="Z191">
            <v>42735</v>
          </cell>
          <cell r="AA191">
            <v>97700.141862780292</v>
          </cell>
          <cell r="AB191">
            <v>13770.975518792657</v>
          </cell>
          <cell r="AC191">
            <v>0.14095143831146092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42705</v>
          </cell>
          <cell r="Z192">
            <v>42735</v>
          </cell>
          <cell r="AA192">
            <v>98245.00873166458</v>
          </cell>
          <cell r="AB192">
            <v>13847.77528765016</v>
          </cell>
          <cell r="AC192">
            <v>0.14095143831146092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42705</v>
          </cell>
          <cell r="Z193">
            <v>42735</v>
          </cell>
          <cell r="AA193">
            <v>60804.781428107577</v>
          </cell>
          <cell r="AB193">
            <v>8668.0101811198874</v>
          </cell>
          <cell r="AC193">
            <v>0.14255474614884511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42705</v>
          </cell>
          <cell r="Z194">
            <v>42735</v>
          </cell>
          <cell r="AA194">
            <v>80040.09499728441</v>
          </cell>
          <cell r="AB194">
            <v>11281.766512453205</v>
          </cell>
          <cell r="AC194">
            <v>0.14095143831146092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42705</v>
          </cell>
          <cell r="Z195">
            <v>42735</v>
          </cell>
          <cell r="AA195">
            <v>2337.8392852868392</v>
          </cell>
          <cell r="AB195">
            <v>329.52180980221783</v>
          </cell>
          <cell r="AC195">
            <v>0.14095143831146092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42705</v>
          </cell>
          <cell r="Z196">
            <v>42735</v>
          </cell>
          <cell r="AA196">
            <v>12164.453195986325</v>
          </cell>
          <cell r="AB196">
            <v>1714.5971742467202</v>
          </cell>
          <cell r="AC196">
            <v>0.14095143831146092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42705</v>
          </cell>
          <cell r="Z197">
            <v>42735</v>
          </cell>
          <cell r="AA197">
            <v>80834.367865003733</v>
          </cell>
          <cell r="AB197">
            <v>11680.623725577292</v>
          </cell>
          <cell r="AC197">
            <v>0.14450071218574195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42705</v>
          </cell>
          <cell r="Z198">
            <v>42735</v>
          </cell>
          <cell r="AA198">
            <v>35362.630346396902</v>
          </cell>
          <cell r="AB198">
            <v>5109.9252698154896</v>
          </cell>
          <cell r="AC198">
            <v>0.14450071218574215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42705</v>
          </cell>
          <cell r="Z199">
            <v>42735</v>
          </cell>
          <cell r="AA199">
            <v>42817.168379668808</v>
          </cell>
          <cell r="AB199">
            <v>6187.1113246389741</v>
          </cell>
          <cell r="AC199">
            <v>0.14450071218574195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42705</v>
          </cell>
          <cell r="Z200">
            <v>42735</v>
          </cell>
          <cell r="AA200">
            <v>50722.857472026124</v>
          </cell>
          <cell r="AB200">
            <v>7329.4890288036577</v>
          </cell>
          <cell r="AC200">
            <v>0.14450071218574195</v>
          </cell>
        </row>
        <row r="201">
          <cell r="R201" t="str">
            <v>5010</v>
          </cell>
          <cell r="S201" t="str">
            <v>Brian Kennedy Field</v>
          </cell>
          <cell r="Y201">
            <v>42705</v>
          </cell>
          <cell r="Z201">
            <v>42735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42705</v>
          </cell>
          <cell r="Z202">
            <v>42735</v>
          </cell>
          <cell r="AA202">
            <v>725.14642563188102</v>
          </cell>
          <cell r="AB202">
            <v>102.21043167922846</v>
          </cell>
          <cell r="AC202">
            <v>0.14095143831146092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42705</v>
          </cell>
          <cell r="Z203">
            <v>42735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42705</v>
          </cell>
          <cell r="Z205">
            <v>42735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42705</v>
          </cell>
          <cell r="AH205">
            <v>42735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42705</v>
          </cell>
          <cell r="Z206">
            <v>42735</v>
          </cell>
          <cell r="AC206">
            <v>0</v>
          </cell>
          <cell r="AE206" t="str">
            <v>1-63-43981-03000-00-0000-3-01</v>
          </cell>
          <cell r="AG206">
            <v>42705</v>
          </cell>
          <cell r="AH206">
            <v>42735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42339</v>
          </cell>
          <cell r="AH209">
            <v>42381</v>
          </cell>
          <cell r="AI209">
            <v>0</v>
          </cell>
          <cell r="AJ209">
            <v>154</v>
          </cell>
          <cell r="AL209">
            <v>154</v>
          </cell>
        </row>
        <row r="212">
          <cell r="AA212">
            <v>11128246.883671442</v>
          </cell>
          <cell r="AB212">
            <v>1580551.5260108334</v>
          </cell>
          <cell r="AC212">
            <v>0.14203059498347292</v>
          </cell>
        </row>
        <row r="216">
          <cell r="Z216" t="str">
            <v>ALLOCATED DWP PAYMENT:</v>
          </cell>
          <cell r="AA216">
            <v>11128246.883671442</v>
          </cell>
          <cell r="AB216">
            <v>1580551.5260108334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3570638.9578952799</v>
          </cell>
          <cell r="AB218">
            <v>515327.09219735477</v>
          </cell>
          <cell r="AC218">
            <v>0.14432349455491164</v>
          </cell>
          <cell r="AO218">
            <v>14815.792197354778</v>
          </cell>
        </row>
        <row r="219">
          <cell r="S219">
            <v>1656479</v>
          </cell>
          <cell r="Z219" t="str">
            <v>Jefferson 1</v>
          </cell>
          <cell r="AA219">
            <v>2740521.8650605949</v>
          </cell>
          <cell r="AB219">
            <v>387937.83524325804</v>
          </cell>
          <cell r="AC219">
            <v>0.14155619051580909</v>
          </cell>
          <cell r="AO219">
            <v>-21251.964756741945</v>
          </cell>
        </row>
        <row r="220">
          <cell r="S220">
            <v>1134280</v>
          </cell>
          <cell r="Z220" t="str">
            <v>Jefferson 2</v>
          </cell>
          <cell r="AA220">
            <v>2060750.9107155658</v>
          </cell>
          <cell r="AB220">
            <v>291079.6185702206</v>
          </cell>
          <cell r="AC220">
            <v>0.1412492975529718</v>
          </cell>
          <cell r="AO220">
            <v>-32.581429779413156</v>
          </cell>
        </row>
        <row r="221">
          <cell r="S221">
            <v>8943554</v>
          </cell>
          <cell r="W221">
            <v>0</v>
          </cell>
          <cell r="AA221">
            <v>8371911.7336714407</v>
          </cell>
          <cell r="AB221">
            <v>1194344.5460108335</v>
          </cell>
          <cell r="AC221">
            <v>0.14266090995766656</v>
          </cell>
          <cell r="AD221">
            <v>1194344.5460108335</v>
          </cell>
          <cell r="AO221">
            <v>-6468.7539891665801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Y235"/>
  <sheetViews>
    <sheetView topLeftCell="A52" zoomScale="70" zoomScaleNormal="70" workbookViewId="0">
      <pane xSplit="3" topLeftCell="D1" activePane="topRight" state="frozen"/>
      <selection pane="topRight" activeCell="C229" sqref="C229"/>
    </sheetView>
  </sheetViews>
  <sheetFormatPr defaultColWidth="9.109375" defaultRowHeight="13.2" x14ac:dyDescent="0.25"/>
  <cols>
    <col min="1" max="1" width="7.44140625" style="33" customWidth="1"/>
    <col min="2" max="2" width="34.5546875" style="33" customWidth="1"/>
    <col min="3" max="3" width="7.44140625" style="33" customWidth="1"/>
    <col min="4" max="26" width="12" style="33" customWidth="1"/>
    <col min="27" max="27" width="14.88671875" style="33" customWidth="1"/>
    <col min="28" max="30" width="11.6640625" style="33" bestFit="1" customWidth="1"/>
    <col min="31" max="31" width="10.5546875" style="33" bestFit="1" customWidth="1"/>
    <col min="32" max="40" width="11.5546875" style="33" bestFit="1" customWidth="1"/>
    <col min="41" max="41" width="10.44140625" style="33" bestFit="1" customWidth="1"/>
    <col min="42" max="51" width="11.5546875" style="33" bestFit="1" customWidth="1"/>
    <col min="52" max="16384" width="9.109375" style="33"/>
  </cols>
  <sheetData>
    <row r="1" spans="1:51" ht="22.8" x14ac:dyDescent="0.4">
      <c r="A1" s="270" t="s">
        <v>0</v>
      </c>
      <c r="B1" s="1"/>
      <c r="C1" s="1"/>
    </row>
    <row r="2" spans="1:51" ht="13.8" x14ac:dyDescent="0.25">
      <c r="A2" s="187"/>
      <c r="B2" s="1"/>
      <c r="C2" s="1"/>
    </row>
    <row r="3" spans="1:51" ht="13.8" x14ac:dyDescent="0.25">
      <c r="A3" s="1"/>
      <c r="B3" s="1"/>
      <c r="C3" s="1"/>
    </row>
    <row r="4" spans="1:51" ht="13.8" x14ac:dyDescent="0.25">
      <c r="A4" s="1"/>
      <c r="B4" s="1"/>
      <c r="C4" s="1"/>
    </row>
    <row r="5" spans="1:51" s="203" customFormat="1" ht="14.4" thickBot="1" x14ac:dyDescent="0.3">
      <c r="A5" s="7"/>
      <c r="B5" s="7"/>
      <c r="C5" s="7"/>
      <c r="D5" s="349">
        <v>2018</v>
      </c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>
        <v>2019</v>
      </c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>
        <v>2020</v>
      </c>
      <c r="AC5" s="349"/>
      <c r="AD5" s="349"/>
      <c r="AE5" s="349"/>
      <c r="AF5" s="349"/>
      <c r="AG5" s="349"/>
      <c r="AH5" s="349"/>
      <c r="AI5" s="349"/>
      <c r="AJ5" s="349"/>
      <c r="AK5" s="349"/>
      <c r="AL5" s="349"/>
      <c r="AM5" s="349"/>
      <c r="AN5" s="349">
        <v>2021</v>
      </c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</row>
    <row r="6" spans="1:51" s="203" customFormat="1" ht="14.4" x14ac:dyDescent="0.3">
      <c r="A6" s="20" t="s">
        <v>1</v>
      </c>
      <c r="B6" s="20" t="s">
        <v>2</v>
      </c>
      <c r="C6" s="20" t="s">
        <v>3</v>
      </c>
      <c r="D6" s="267">
        <v>43101</v>
      </c>
      <c r="E6" s="267">
        <v>43132</v>
      </c>
      <c r="F6" s="267">
        <v>43160</v>
      </c>
      <c r="G6" s="267">
        <v>43191</v>
      </c>
      <c r="H6" s="267">
        <v>43221</v>
      </c>
      <c r="I6" s="267">
        <v>43252</v>
      </c>
      <c r="J6" s="267">
        <v>43282</v>
      </c>
      <c r="K6" s="267">
        <v>43313</v>
      </c>
      <c r="L6" s="267">
        <v>43344</v>
      </c>
      <c r="M6" s="267">
        <v>43374</v>
      </c>
      <c r="N6" s="267">
        <v>43405</v>
      </c>
      <c r="O6" s="267">
        <v>43435</v>
      </c>
      <c r="P6" s="267">
        <v>43466</v>
      </c>
      <c r="Q6" s="267">
        <v>43497</v>
      </c>
      <c r="R6" s="267">
        <v>43525</v>
      </c>
      <c r="S6" s="267">
        <v>43556</v>
      </c>
      <c r="T6" s="267">
        <v>43586</v>
      </c>
      <c r="U6" s="267">
        <v>43617</v>
      </c>
      <c r="V6" s="267">
        <v>43647</v>
      </c>
      <c r="W6" s="267">
        <v>43678</v>
      </c>
      <c r="X6" s="267">
        <v>43709</v>
      </c>
      <c r="Y6" s="267">
        <v>43739</v>
      </c>
      <c r="Z6" s="267">
        <v>43770</v>
      </c>
      <c r="AA6" s="267">
        <v>43800</v>
      </c>
      <c r="AB6" s="267">
        <v>43831</v>
      </c>
      <c r="AC6" s="267">
        <v>43862</v>
      </c>
      <c r="AD6" s="267">
        <v>43891</v>
      </c>
      <c r="AE6" s="267">
        <v>43922</v>
      </c>
      <c r="AF6" s="267">
        <v>43952</v>
      </c>
      <c r="AG6" s="267">
        <v>43983</v>
      </c>
      <c r="AH6" s="267">
        <v>44013</v>
      </c>
      <c r="AI6" s="267">
        <v>44044</v>
      </c>
      <c r="AJ6" s="267">
        <v>44075</v>
      </c>
      <c r="AK6" s="267">
        <v>44105</v>
      </c>
      <c r="AL6" s="267">
        <v>44136</v>
      </c>
      <c r="AM6" s="267">
        <v>44166</v>
      </c>
      <c r="AN6" s="267">
        <v>44197</v>
      </c>
      <c r="AO6" s="267">
        <v>44228</v>
      </c>
      <c r="AP6" s="267">
        <v>44256</v>
      </c>
      <c r="AQ6" s="267">
        <v>44287</v>
      </c>
      <c r="AR6" s="267">
        <v>44317</v>
      </c>
      <c r="AS6" s="267">
        <v>44348</v>
      </c>
      <c r="AT6" s="267">
        <v>44378</v>
      </c>
      <c r="AU6" s="267">
        <v>44409</v>
      </c>
      <c r="AV6" s="267">
        <v>44440</v>
      </c>
      <c r="AW6" s="267">
        <v>44470</v>
      </c>
      <c r="AX6" s="267">
        <v>44501</v>
      </c>
      <c r="AY6" s="267">
        <v>44531</v>
      </c>
    </row>
    <row r="7" spans="1:51" ht="13.8" x14ac:dyDescent="0.25">
      <c r="A7" s="1"/>
      <c r="B7" s="1"/>
      <c r="C7" s="1"/>
    </row>
    <row r="8" spans="1:51" ht="15" customHeight="1" x14ac:dyDescent="0.25">
      <c r="A8" s="38" t="s">
        <v>4</v>
      </c>
      <c r="B8" s="1" t="s">
        <v>5</v>
      </c>
      <c r="C8" s="40" t="s">
        <v>6</v>
      </c>
      <c r="D8" s="204">
        <v>32748.707941740598</v>
      </c>
      <c r="E8" s="204">
        <v>31867.328909298754</v>
      </c>
      <c r="F8" s="204">
        <v>34117.990017581797</v>
      </c>
      <c r="G8" s="204">
        <v>32974.992782174915</v>
      </c>
      <c r="H8" s="204">
        <v>36819.883132391005</v>
      </c>
      <c r="I8" s="204">
        <v>34095.116960087566</v>
      </c>
      <c r="J8" s="204">
        <v>34245</v>
      </c>
      <c r="K8" s="204">
        <v>35830.305548907068</v>
      </c>
      <c r="L8" s="204">
        <v>36187.845437587406</v>
      </c>
      <c r="M8" s="204">
        <v>35567.785522904676</v>
      </c>
      <c r="N8" s="204">
        <v>34129.487083640233</v>
      </c>
      <c r="O8" s="204">
        <v>32911.115535835721</v>
      </c>
      <c r="P8" s="204">
        <v>36536.032957645024</v>
      </c>
      <c r="Q8" s="204">
        <v>36505.087817206651</v>
      </c>
      <c r="R8" s="204">
        <v>36573.032948227141</v>
      </c>
      <c r="S8" s="204">
        <v>37500.085556522332</v>
      </c>
      <c r="T8" s="204">
        <v>34697.940814009307</v>
      </c>
      <c r="U8" s="204">
        <v>32465.943653644947</v>
      </c>
      <c r="V8" s="204">
        <v>34738.986985128504</v>
      </c>
      <c r="W8" s="204">
        <v>31807.943759340986</v>
      </c>
      <c r="X8" s="204">
        <v>34754.896156569899</v>
      </c>
      <c r="Y8" s="204">
        <v>39317.850987914513</v>
      </c>
      <c r="Z8" s="204">
        <v>38197.940412435302</v>
      </c>
      <c r="AA8" s="204">
        <v>40253.909284879715</v>
      </c>
      <c r="AB8" s="204">
        <v>35332.979119935349</v>
      </c>
      <c r="AC8" s="204">
        <v>37244</v>
      </c>
      <c r="AD8" s="204">
        <v>32334</v>
      </c>
      <c r="AE8" s="204">
        <v>27928</v>
      </c>
      <c r="AF8" s="206">
        <v>34819</v>
      </c>
      <c r="AG8" s="204">
        <v>30400</v>
      </c>
      <c r="AH8" s="204">
        <v>21022</v>
      </c>
      <c r="AI8" s="204">
        <v>16316.999999999998</v>
      </c>
      <c r="AJ8" s="204">
        <v>17074</v>
      </c>
      <c r="AK8" s="204">
        <v>16682.269335886253</v>
      </c>
      <c r="AL8" s="204">
        <v>17753</v>
      </c>
      <c r="AM8" s="204">
        <v>15490</v>
      </c>
      <c r="AN8" s="204">
        <v>17001</v>
      </c>
      <c r="AO8" s="204">
        <v>14306</v>
      </c>
      <c r="AP8" s="204">
        <v>16124</v>
      </c>
      <c r="AQ8" s="204">
        <v>14864</v>
      </c>
      <c r="AR8" s="204">
        <v>14969</v>
      </c>
      <c r="AS8" s="204">
        <v>15771</v>
      </c>
      <c r="AT8" s="204">
        <v>15239</v>
      </c>
      <c r="AU8" s="204">
        <v>16290</v>
      </c>
      <c r="AV8" s="204">
        <v>21750.01</v>
      </c>
      <c r="AW8" s="204">
        <v>20885</v>
      </c>
      <c r="AX8" s="204">
        <v>21422</v>
      </c>
      <c r="AY8" s="204">
        <v>20276</v>
      </c>
    </row>
    <row r="9" spans="1:51" ht="15" customHeight="1" x14ac:dyDescent="0.25">
      <c r="A9" s="38" t="s">
        <v>269</v>
      </c>
      <c r="B9" s="1" t="s">
        <v>270</v>
      </c>
      <c r="C9" s="40" t="s">
        <v>271</v>
      </c>
      <c r="D9" s="204">
        <v>0</v>
      </c>
      <c r="E9" s="204">
        <v>0</v>
      </c>
      <c r="F9" s="204">
        <v>0</v>
      </c>
      <c r="G9" s="204">
        <v>0</v>
      </c>
      <c r="H9" s="204">
        <v>0</v>
      </c>
      <c r="I9" s="204">
        <v>0</v>
      </c>
      <c r="J9" s="204">
        <v>0</v>
      </c>
      <c r="K9" s="204">
        <v>0</v>
      </c>
      <c r="L9" s="204">
        <v>0</v>
      </c>
      <c r="M9" s="204">
        <v>0</v>
      </c>
      <c r="N9" s="204">
        <v>0</v>
      </c>
      <c r="O9" s="204">
        <v>0</v>
      </c>
      <c r="P9" s="204">
        <v>0</v>
      </c>
      <c r="Q9" s="204">
        <v>0</v>
      </c>
      <c r="R9" s="204">
        <v>0</v>
      </c>
      <c r="S9" s="204">
        <v>0</v>
      </c>
      <c r="T9" s="204">
        <v>0</v>
      </c>
      <c r="U9" s="204">
        <v>0</v>
      </c>
      <c r="V9" s="204">
        <v>0</v>
      </c>
      <c r="W9" s="204">
        <v>0</v>
      </c>
      <c r="X9" s="204">
        <v>0</v>
      </c>
      <c r="Y9" s="204">
        <v>0</v>
      </c>
      <c r="Z9" s="204">
        <v>0</v>
      </c>
      <c r="AA9" s="204">
        <v>0</v>
      </c>
      <c r="AB9" s="204">
        <v>0</v>
      </c>
      <c r="AC9" s="204">
        <v>30</v>
      </c>
      <c r="AD9" s="204">
        <v>0</v>
      </c>
      <c r="AE9" s="204">
        <v>0</v>
      </c>
      <c r="AF9" s="206">
        <v>0</v>
      </c>
      <c r="AG9" s="204">
        <v>0</v>
      </c>
      <c r="AH9" s="204">
        <v>0</v>
      </c>
      <c r="AI9" s="204">
        <v>0</v>
      </c>
      <c r="AJ9" s="204">
        <v>9784</v>
      </c>
      <c r="AK9" s="204">
        <v>0</v>
      </c>
      <c r="AL9" s="204">
        <v>0</v>
      </c>
      <c r="AM9" s="204">
        <v>0</v>
      </c>
      <c r="AN9" s="204">
        <v>0</v>
      </c>
      <c r="AO9" s="204">
        <v>0</v>
      </c>
      <c r="AP9" s="204">
        <v>0</v>
      </c>
      <c r="AQ9" s="204">
        <v>0</v>
      </c>
      <c r="AR9" s="204">
        <v>0</v>
      </c>
      <c r="AS9" s="204">
        <v>0</v>
      </c>
      <c r="AT9" s="204">
        <v>0</v>
      </c>
      <c r="AU9" s="204">
        <v>0</v>
      </c>
      <c r="AV9" s="204">
        <v>0</v>
      </c>
      <c r="AW9" s="204">
        <v>0</v>
      </c>
      <c r="AX9" s="204">
        <v>0</v>
      </c>
      <c r="AY9" s="204">
        <v>0</v>
      </c>
    </row>
    <row r="10" spans="1:51" ht="15" customHeight="1" x14ac:dyDescent="0.25">
      <c r="A10" s="38" t="s">
        <v>335</v>
      </c>
      <c r="B10" s="1" t="s">
        <v>336</v>
      </c>
      <c r="C10" s="40" t="s">
        <v>337</v>
      </c>
      <c r="D10" s="204">
        <v>104510.7837337634</v>
      </c>
      <c r="E10" s="204">
        <v>101188.35922094993</v>
      </c>
      <c r="F10" s="204">
        <v>102188.48082072637</v>
      </c>
      <c r="G10" s="204">
        <v>98926.89125955959</v>
      </c>
      <c r="H10" s="204">
        <v>104341.93791860255</v>
      </c>
      <c r="I10" s="204">
        <v>155910.20927199983</v>
      </c>
      <c r="J10" s="204">
        <v>160560</v>
      </c>
      <c r="K10" s="204">
        <v>175118</v>
      </c>
      <c r="L10" s="204">
        <v>154177.79067041114</v>
      </c>
      <c r="M10" s="204">
        <v>169467.25735067445</v>
      </c>
      <c r="N10" s="204">
        <v>156643.92977418128</v>
      </c>
      <c r="O10" s="204">
        <v>138524.70680242003</v>
      </c>
      <c r="P10" s="204">
        <v>117069.3425115502</v>
      </c>
      <c r="Q10" s="204">
        <v>114922.72108642118</v>
      </c>
      <c r="R10" s="204">
        <v>120840.59258762657</v>
      </c>
      <c r="S10" s="204">
        <v>129624.59380879684</v>
      </c>
      <c r="T10" s="204">
        <v>126422.87345788123</v>
      </c>
      <c r="U10" s="204">
        <v>140362.7881576228</v>
      </c>
      <c r="V10" s="204">
        <v>148561.27898480979</v>
      </c>
      <c r="W10" s="204">
        <v>133576.73108056092</v>
      </c>
      <c r="X10" s="204">
        <v>141277.35478303442</v>
      </c>
      <c r="Y10" s="204">
        <v>164106.02130922186</v>
      </c>
      <c r="Z10" s="204">
        <v>138389.15926144677</v>
      </c>
      <c r="AA10" s="204">
        <v>141928.64317688171</v>
      </c>
      <c r="AB10" s="204">
        <v>115627.03467253421</v>
      </c>
      <c r="AC10" s="204">
        <v>167459</v>
      </c>
      <c r="AD10" s="204">
        <v>139513</v>
      </c>
      <c r="AE10" s="204">
        <v>124852.99999999999</v>
      </c>
      <c r="AF10" s="206">
        <v>127680</v>
      </c>
      <c r="AG10" s="204">
        <v>135195</v>
      </c>
      <c r="AH10" s="204">
        <v>139771</v>
      </c>
      <c r="AI10" s="204">
        <v>138026</v>
      </c>
      <c r="AJ10" s="204">
        <v>156244</v>
      </c>
      <c r="AK10" s="204">
        <v>155888.00013489585</v>
      </c>
      <c r="AL10" s="204">
        <v>170116</v>
      </c>
      <c r="AM10" s="204">
        <v>143001</v>
      </c>
      <c r="AN10" s="204">
        <v>145315</v>
      </c>
      <c r="AO10" s="204">
        <v>136228</v>
      </c>
      <c r="AP10" s="204">
        <v>146788</v>
      </c>
      <c r="AQ10" s="204">
        <v>143522</v>
      </c>
      <c r="AR10" s="204">
        <v>141088</v>
      </c>
      <c r="AS10" s="204">
        <v>156335</v>
      </c>
      <c r="AT10" s="204">
        <v>148688</v>
      </c>
      <c r="AU10" s="204">
        <v>150000</v>
      </c>
      <c r="AV10" s="204">
        <v>145358</v>
      </c>
      <c r="AW10" s="204">
        <v>115000</v>
      </c>
      <c r="AX10" s="204">
        <v>126105</v>
      </c>
      <c r="AY10" s="204">
        <v>133939</v>
      </c>
    </row>
    <row r="11" spans="1:51" ht="15" customHeight="1" x14ac:dyDescent="0.25">
      <c r="A11" s="38" t="s">
        <v>115</v>
      </c>
      <c r="B11" s="1" t="s">
        <v>116</v>
      </c>
      <c r="C11" s="40" t="s">
        <v>117</v>
      </c>
      <c r="D11" s="204">
        <v>39903.964618830752</v>
      </c>
      <c r="E11" s="204">
        <v>38361.987874454775</v>
      </c>
      <c r="F11" s="204">
        <v>38250.016339820802</v>
      </c>
      <c r="G11" s="204">
        <v>38153.973955197151</v>
      </c>
      <c r="H11" s="204">
        <v>37611.984434519007</v>
      </c>
      <c r="I11" s="204">
        <v>35669.981867660717</v>
      </c>
      <c r="J11" s="204">
        <v>37047.021468242085</v>
      </c>
      <c r="K11" s="204">
        <v>40104.972348090603</v>
      </c>
      <c r="L11" s="204">
        <v>41544.826318954649</v>
      </c>
      <c r="M11" s="204">
        <v>40806.74323693772</v>
      </c>
      <c r="N11" s="204">
        <v>43436.454806762384</v>
      </c>
      <c r="O11" s="204">
        <v>39494.186844207732</v>
      </c>
      <c r="P11" s="204">
        <v>38831.042552096937</v>
      </c>
      <c r="Q11" s="204">
        <v>38603.073207870395</v>
      </c>
      <c r="R11" s="204">
        <v>37109.022907145045</v>
      </c>
      <c r="S11" s="204">
        <v>38962.017065644097</v>
      </c>
      <c r="T11" s="204">
        <v>37331.997364108713</v>
      </c>
      <c r="U11" s="204">
        <v>35360.907445522833</v>
      </c>
      <c r="V11" s="204">
        <v>37901.998056515229</v>
      </c>
      <c r="W11" s="204">
        <v>35266.91910494239</v>
      </c>
      <c r="X11" s="204">
        <v>40379.967652917752</v>
      </c>
      <c r="Y11" s="204">
        <v>43032.028134565691</v>
      </c>
      <c r="Z11" s="204">
        <v>40686.942544030448</v>
      </c>
      <c r="AA11" s="204">
        <v>40723.891793305564</v>
      </c>
      <c r="AB11" s="204">
        <v>37343.044059634594</v>
      </c>
      <c r="AC11" s="204">
        <v>41967</v>
      </c>
      <c r="AD11" s="204">
        <v>34279</v>
      </c>
      <c r="AE11" s="204">
        <v>28465</v>
      </c>
      <c r="AF11" s="206">
        <v>29661</v>
      </c>
      <c r="AG11" s="204">
        <v>30740</v>
      </c>
      <c r="AH11" s="204">
        <v>30714</v>
      </c>
      <c r="AI11" s="204">
        <v>29754.999999999996</v>
      </c>
      <c r="AJ11" s="204">
        <v>32874</v>
      </c>
      <c r="AK11" s="204">
        <v>30087.623332506584</v>
      </c>
      <c r="AL11" s="204">
        <v>33705</v>
      </c>
      <c r="AM11" s="204">
        <v>28295</v>
      </c>
      <c r="AN11" s="204">
        <v>30441</v>
      </c>
      <c r="AO11" s="204">
        <v>27484</v>
      </c>
      <c r="AP11" s="204">
        <v>26997</v>
      </c>
      <c r="AQ11" s="204">
        <v>26720</v>
      </c>
      <c r="AR11" s="204">
        <v>27609</v>
      </c>
      <c r="AS11" s="204">
        <v>29917</v>
      </c>
      <c r="AT11" s="204">
        <v>29183</v>
      </c>
      <c r="AU11" s="204">
        <v>31932</v>
      </c>
      <c r="AV11" s="204">
        <v>37980</v>
      </c>
      <c r="AW11" s="204">
        <v>35573</v>
      </c>
      <c r="AX11" s="204">
        <v>38181</v>
      </c>
      <c r="AY11" s="204">
        <v>33491</v>
      </c>
    </row>
    <row r="12" spans="1:51" ht="15" customHeight="1" x14ac:dyDescent="0.25">
      <c r="A12" s="38" t="s">
        <v>7</v>
      </c>
      <c r="B12" s="1" t="s">
        <v>8</v>
      </c>
      <c r="C12" s="205" t="s">
        <v>9</v>
      </c>
      <c r="D12" s="204">
        <v>27775.986979425517</v>
      </c>
      <c r="E12" s="204">
        <v>28861.014619890553</v>
      </c>
      <c r="F12" s="204">
        <v>29833.979754949527</v>
      </c>
      <c r="G12" s="204">
        <v>29826.00811423151</v>
      </c>
      <c r="H12" s="204">
        <v>29521.849422425454</v>
      </c>
      <c r="I12" s="204">
        <v>26150.148306109695</v>
      </c>
      <c r="J12" s="204">
        <v>25925.999999999996</v>
      </c>
      <c r="K12" s="204">
        <v>28580.870272235068</v>
      </c>
      <c r="L12" s="204">
        <v>29784.892927035857</v>
      </c>
      <c r="M12" s="204">
        <v>31736.827984514042</v>
      </c>
      <c r="N12" s="204">
        <v>32067.983299430212</v>
      </c>
      <c r="O12" s="204">
        <v>29701.703934020923</v>
      </c>
      <c r="P12" s="204">
        <v>29387.016954533436</v>
      </c>
      <c r="Q12" s="204">
        <v>30100.06043806599</v>
      </c>
      <c r="R12" s="204">
        <v>31129.005099600283</v>
      </c>
      <c r="S12" s="204">
        <v>33450.992334160677</v>
      </c>
      <c r="T12" s="204">
        <v>28216.976439479989</v>
      </c>
      <c r="U12" s="204">
        <v>26611.94087129561</v>
      </c>
      <c r="V12" s="204">
        <v>27791.000032674972</v>
      </c>
      <c r="W12" s="204">
        <v>26091.966155705893</v>
      </c>
      <c r="X12" s="204">
        <v>29790.953731839985</v>
      </c>
      <c r="Y12" s="204">
        <v>30761.016103689453</v>
      </c>
      <c r="Z12" s="204">
        <v>30544.943289679271</v>
      </c>
      <c r="AA12" s="204">
        <v>30617.937286362878</v>
      </c>
      <c r="AB12" s="204">
        <v>26295.015459370356</v>
      </c>
      <c r="AC12" s="204">
        <v>31288.999999999996</v>
      </c>
      <c r="AD12" s="204">
        <v>24836.999999999996</v>
      </c>
      <c r="AE12" s="204">
        <v>20977</v>
      </c>
      <c r="AF12" s="206">
        <v>21710</v>
      </c>
      <c r="AG12" s="204">
        <v>23485</v>
      </c>
      <c r="AH12" s="204">
        <v>23254.000000000004</v>
      </c>
      <c r="AI12" s="204">
        <v>22185</v>
      </c>
      <c r="AJ12" s="204">
        <v>24040</v>
      </c>
      <c r="AK12" s="204">
        <v>23108.718720932669</v>
      </c>
      <c r="AL12" s="204">
        <v>24853</v>
      </c>
      <c r="AM12" s="204">
        <v>21719</v>
      </c>
      <c r="AN12" s="204">
        <v>23864</v>
      </c>
      <c r="AO12" s="204">
        <v>21389</v>
      </c>
      <c r="AP12" s="204">
        <v>22044</v>
      </c>
      <c r="AQ12" s="204">
        <v>20755</v>
      </c>
      <c r="AR12" s="204">
        <v>20476</v>
      </c>
      <c r="AS12" s="204">
        <v>21490</v>
      </c>
      <c r="AT12" s="204">
        <v>20619</v>
      </c>
      <c r="AU12" s="204">
        <v>21432</v>
      </c>
      <c r="AV12" s="204">
        <v>25475</v>
      </c>
      <c r="AW12" s="204">
        <v>24925</v>
      </c>
      <c r="AX12" s="204">
        <v>25939</v>
      </c>
      <c r="AY12" s="204">
        <v>24963</v>
      </c>
    </row>
    <row r="13" spans="1:51" ht="15" customHeight="1" x14ac:dyDescent="0.25">
      <c r="A13" s="62" t="s">
        <v>10</v>
      </c>
      <c r="B13" s="63" t="s">
        <v>11</v>
      </c>
      <c r="C13" s="219" t="s">
        <v>12</v>
      </c>
      <c r="D13" s="204">
        <v>4498.3407782290051</v>
      </c>
      <c r="E13" s="204">
        <v>4121.6678204218706</v>
      </c>
      <c r="F13" s="204">
        <v>4011.0057333779696</v>
      </c>
      <c r="G13" s="204">
        <v>4128.9898044488873</v>
      </c>
      <c r="H13" s="204">
        <v>4591.1489539258828</v>
      </c>
      <c r="I13" s="204">
        <v>4134.8672495081619</v>
      </c>
      <c r="J13" s="204">
        <v>4358</v>
      </c>
      <c r="K13" s="204">
        <v>4559.5436729818121</v>
      </c>
      <c r="L13" s="204">
        <v>4405.9611726149997</v>
      </c>
      <c r="M13" s="204">
        <v>4404.9529632340991</v>
      </c>
      <c r="N13" s="204">
        <v>4861.8728323732139</v>
      </c>
      <c r="O13" s="204">
        <v>5403.3446040030358</v>
      </c>
      <c r="P13" s="204">
        <v>4366.9740194135575</v>
      </c>
      <c r="Q13" s="204">
        <v>4206.0305070682443</v>
      </c>
      <c r="R13" s="204">
        <v>4282.9744549593015</v>
      </c>
      <c r="S13" s="204">
        <v>4682.9118837136302</v>
      </c>
      <c r="T13" s="204">
        <v>4491.0436693023094</v>
      </c>
      <c r="U13" s="204">
        <v>4357.9957790417748</v>
      </c>
      <c r="V13" s="204">
        <v>4840.0190917503942</v>
      </c>
      <c r="W13" s="204">
        <v>4435.0099784655131</v>
      </c>
      <c r="X13" s="204">
        <v>4636.0321374520317</v>
      </c>
      <c r="Y13" s="204">
        <v>4898.1980384133021</v>
      </c>
      <c r="Z13" s="204">
        <v>4606.0228072491154</v>
      </c>
      <c r="AA13" s="204">
        <v>4972.9980784468808</v>
      </c>
      <c r="AB13" s="204">
        <v>5703.0973402424343</v>
      </c>
      <c r="AC13" s="204">
        <v>6883</v>
      </c>
      <c r="AD13" s="204">
        <v>6192</v>
      </c>
      <c r="AE13" s="204">
        <v>2500</v>
      </c>
      <c r="AF13" s="206">
        <v>4560</v>
      </c>
      <c r="AG13" s="204">
        <v>4669</v>
      </c>
      <c r="AH13" s="204">
        <v>3703</v>
      </c>
      <c r="AI13" s="204">
        <v>5999</v>
      </c>
      <c r="AJ13" s="204">
        <v>6681</v>
      </c>
      <c r="AK13" s="204">
        <v>6315.6852452750127</v>
      </c>
      <c r="AL13" s="204">
        <v>7297</v>
      </c>
      <c r="AM13" s="204">
        <v>6595</v>
      </c>
      <c r="AN13" s="204">
        <v>6654</v>
      </c>
      <c r="AO13" s="204">
        <v>7308</v>
      </c>
      <c r="AP13" s="204">
        <v>7298</v>
      </c>
      <c r="AQ13" s="204">
        <v>7308</v>
      </c>
      <c r="AR13" s="204">
        <v>7308</v>
      </c>
      <c r="AS13" s="204">
        <v>8064</v>
      </c>
      <c r="AT13" s="204">
        <v>7560</v>
      </c>
      <c r="AU13" s="204">
        <v>5996</v>
      </c>
      <c r="AV13" s="204">
        <v>6517</v>
      </c>
      <c r="AW13" s="204">
        <v>5714</v>
      </c>
      <c r="AX13" s="204">
        <v>6293</v>
      </c>
      <c r="AY13" s="204">
        <v>5714</v>
      </c>
    </row>
    <row r="14" spans="1:51" ht="15" customHeight="1" x14ac:dyDescent="0.25">
      <c r="A14" s="38">
        <v>2230</v>
      </c>
      <c r="B14" t="s">
        <v>427</v>
      </c>
      <c r="C14" s="40" t="s">
        <v>428</v>
      </c>
      <c r="D14" s="204">
        <v>0</v>
      </c>
      <c r="E14" s="204">
        <v>0</v>
      </c>
      <c r="F14" s="204">
        <v>0</v>
      </c>
      <c r="G14" s="204">
        <v>0</v>
      </c>
      <c r="H14" s="204">
        <v>0</v>
      </c>
      <c r="I14" s="204">
        <v>0</v>
      </c>
      <c r="J14" s="204">
        <v>0</v>
      </c>
      <c r="K14" s="204">
        <v>0</v>
      </c>
      <c r="L14" s="204">
        <v>0</v>
      </c>
      <c r="M14" s="204">
        <v>0</v>
      </c>
      <c r="N14" s="204">
        <v>0</v>
      </c>
      <c r="O14" s="204">
        <v>0</v>
      </c>
      <c r="P14" s="204">
        <v>0</v>
      </c>
      <c r="Q14" s="204">
        <v>0</v>
      </c>
      <c r="R14" s="204">
        <v>0</v>
      </c>
      <c r="S14" s="204">
        <v>0</v>
      </c>
      <c r="T14" s="204">
        <v>0</v>
      </c>
      <c r="U14" s="204">
        <v>0</v>
      </c>
      <c r="V14" s="204">
        <v>0</v>
      </c>
      <c r="W14" s="204">
        <v>0</v>
      </c>
      <c r="X14" s="204">
        <v>0</v>
      </c>
      <c r="Y14" s="204">
        <v>0</v>
      </c>
      <c r="Z14" s="204">
        <v>0</v>
      </c>
      <c r="AA14" s="204">
        <v>0</v>
      </c>
      <c r="AB14" s="204">
        <v>0</v>
      </c>
      <c r="AC14" s="204">
        <v>0</v>
      </c>
      <c r="AD14" s="204">
        <v>0</v>
      </c>
      <c r="AE14" s="204">
        <v>0</v>
      </c>
      <c r="AF14" s="206">
        <v>0</v>
      </c>
      <c r="AG14" s="204">
        <v>0</v>
      </c>
      <c r="AH14" s="204">
        <v>0</v>
      </c>
      <c r="AI14" s="204">
        <v>0</v>
      </c>
      <c r="AJ14" s="204">
        <v>0</v>
      </c>
      <c r="AK14" s="204">
        <v>0</v>
      </c>
      <c r="AL14" s="204">
        <v>0</v>
      </c>
      <c r="AM14" s="204">
        <v>0</v>
      </c>
      <c r="AN14" s="204">
        <v>0</v>
      </c>
      <c r="AO14" s="204">
        <v>0</v>
      </c>
      <c r="AP14" s="204">
        <v>0</v>
      </c>
      <c r="AQ14" s="204">
        <v>0</v>
      </c>
      <c r="AR14" s="204">
        <v>0</v>
      </c>
      <c r="AS14" s="204">
        <v>0</v>
      </c>
      <c r="AT14" s="204">
        <v>0</v>
      </c>
      <c r="AU14" s="204">
        <v>0</v>
      </c>
      <c r="AV14" s="204">
        <v>0</v>
      </c>
      <c r="AW14" s="204">
        <v>0</v>
      </c>
      <c r="AX14" s="204">
        <v>0</v>
      </c>
      <c r="AY14" s="204">
        <v>0</v>
      </c>
    </row>
    <row r="15" spans="1:51" ht="15" customHeight="1" x14ac:dyDescent="0.25">
      <c r="A15" s="38" t="s">
        <v>97</v>
      </c>
      <c r="B15" s="1" t="s">
        <v>98</v>
      </c>
      <c r="C15" s="40" t="s">
        <v>99</v>
      </c>
      <c r="D15" s="204">
        <v>166497.97301885969</v>
      </c>
      <c r="E15" s="204">
        <v>156489.04192476039</v>
      </c>
      <c r="F15" s="204">
        <v>155431.08373139048</v>
      </c>
      <c r="G15" s="204">
        <v>156436.97258914626</v>
      </c>
      <c r="H15" s="204">
        <v>166440.29443913695</v>
      </c>
      <c r="I15" s="204">
        <v>129211.78378922935</v>
      </c>
      <c r="J15" s="204">
        <v>129212</v>
      </c>
      <c r="K15" s="204">
        <v>165803.18436566848</v>
      </c>
      <c r="L15" s="204">
        <v>167378.38837720404</v>
      </c>
      <c r="M15" s="204">
        <v>140596.16589093299</v>
      </c>
      <c r="N15" s="204">
        <v>155237.66477622659</v>
      </c>
      <c r="O15" s="204">
        <v>169051.95285197769</v>
      </c>
      <c r="P15" s="204">
        <v>157108</v>
      </c>
      <c r="Q15" s="204">
        <v>157108</v>
      </c>
      <c r="R15" s="204">
        <v>152039.0094593633</v>
      </c>
      <c r="S15" s="204">
        <v>158445.98777567607</v>
      </c>
      <c r="T15" s="204">
        <v>149713.02438462491</v>
      </c>
      <c r="U15" s="204">
        <v>149477.62301297591</v>
      </c>
      <c r="V15" s="204">
        <v>170834.93378080757</v>
      </c>
      <c r="W15" s="204">
        <v>162852.73477382006</v>
      </c>
      <c r="X15" s="204">
        <v>174371.85259287697</v>
      </c>
      <c r="Y15" s="204">
        <v>179276.07317369193</v>
      </c>
      <c r="Z15" s="204">
        <v>164700.76019409799</v>
      </c>
      <c r="AA15" s="204">
        <v>180622.48127703473</v>
      </c>
      <c r="AB15" s="204">
        <v>158384.22110233596</v>
      </c>
      <c r="AC15" s="204">
        <v>168010</v>
      </c>
      <c r="AD15" s="204">
        <v>142674</v>
      </c>
      <c r="AE15" s="204">
        <v>127793</v>
      </c>
      <c r="AF15" s="206">
        <v>132369</v>
      </c>
      <c r="AG15" s="204">
        <v>139783</v>
      </c>
      <c r="AH15" s="204">
        <v>141271</v>
      </c>
      <c r="AI15" s="204">
        <v>140548</v>
      </c>
      <c r="AJ15" s="204">
        <v>157914</v>
      </c>
      <c r="AK15" s="204">
        <v>151641.03300975202</v>
      </c>
      <c r="AL15" s="204">
        <v>158618</v>
      </c>
      <c r="AM15" s="204">
        <v>136555</v>
      </c>
      <c r="AN15" s="204">
        <v>144245</v>
      </c>
      <c r="AO15" s="204">
        <v>124844</v>
      </c>
      <c r="AP15" s="204">
        <v>127135</v>
      </c>
      <c r="AQ15" s="204">
        <v>134460</v>
      </c>
      <c r="AR15" s="204">
        <v>140093</v>
      </c>
      <c r="AS15" s="204">
        <v>163773</v>
      </c>
      <c r="AT15" s="204">
        <v>159752</v>
      </c>
      <c r="AU15" s="204">
        <v>159112</v>
      </c>
      <c r="AV15" s="204">
        <v>170718</v>
      </c>
      <c r="AW15" s="204">
        <v>153241</v>
      </c>
      <c r="AX15" s="204">
        <v>155502</v>
      </c>
      <c r="AY15" s="204">
        <v>149318</v>
      </c>
    </row>
    <row r="16" spans="1:51" ht="15" customHeight="1" x14ac:dyDescent="0.25">
      <c r="A16" s="38" t="s">
        <v>49</v>
      </c>
      <c r="B16" s="1" t="s">
        <v>50</v>
      </c>
      <c r="C16" s="40" t="s">
        <v>51</v>
      </c>
      <c r="D16" s="204">
        <v>2082.0167415723631</v>
      </c>
      <c r="E16" s="204">
        <v>1998.998625664002</v>
      </c>
      <c r="F16" s="204">
        <v>1923.4170453929307</v>
      </c>
      <c r="G16" s="204">
        <v>1323.999670184965</v>
      </c>
      <c r="H16" s="204">
        <v>1095.0282407562379</v>
      </c>
      <c r="I16" s="204">
        <v>1432.9607719826752</v>
      </c>
      <c r="J16" s="204">
        <v>2533</v>
      </c>
      <c r="K16" s="204">
        <v>2707.9953625139306</v>
      </c>
      <c r="L16" s="204">
        <v>1794.0030984288132</v>
      </c>
      <c r="M16" s="204">
        <v>1211.3800000000001</v>
      </c>
      <c r="N16" s="204">
        <v>1043.9823731128533</v>
      </c>
      <c r="O16" s="204">
        <v>1365.6039398354928</v>
      </c>
      <c r="P16" s="204">
        <v>1635.9612577856594</v>
      </c>
      <c r="Q16" s="204">
        <v>2073.9603986005209</v>
      </c>
      <c r="R16" s="204">
        <v>1408.969602989185</v>
      </c>
      <c r="S16" s="204">
        <v>1357.0281016493159</v>
      </c>
      <c r="T16" s="204">
        <v>1066.0351988488583</v>
      </c>
      <c r="U16" s="204">
        <v>1262.9762036032594</v>
      </c>
      <c r="V16" s="204">
        <v>2244.9495331111702</v>
      </c>
      <c r="W16" s="204">
        <v>2106.56</v>
      </c>
      <c r="X16" s="204">
        <v>2390.9802549086749</v>
      </c>
      <c r="Y16" s="204">
        <v>1593.2867756083319</v>
      </c>
      <c r="Z16" s="204">
        <v>1499.9834750925963</v>
      </c>
      <c r="AA16" s="204">
        <v>2290.1523339554301</v>
      </c>
      <c r="AB16" s="204">
        <v>1789.528802138844</v>
      </c>
      <c r="AC16" s="204">
        <v>1725.0000000000002</v>
      </c>
      <c r="AD16" s="204">
        <v>1353</v>
      </c>
      <c r="AE16" s="204">
        <v>1429</v>
      </c>
      <c r="AF16" s="206">
        <v>1050</v>
      </c>
      <c r="AG16" s="204">
        <v>480.00000000000006</v>
      </c>
      <c r="AH16" s="204">
        <v>457</v>
      </c>
      <c r="AI16" s="204">
        <v>438</v>
      </c>
      <c r="AJ16" s="204">
        <v>486</v>
      </c>
      <c r="AK16" s="204">
        <v>445.11090027391725</v>
      </c>
      <c r="AL16" s="204">
        <v>497</v>
      </c>
      <c r="AM16" s="204">
        <v>424</v>
      </c>
      <c r="AN16" s="204">
        <v>451</v>
      </c>
      <c r="AO16" s="204">
        <v>594</v>
      </c>
      <c r="AP16" s="204">
        <v>407</v>
      </c>
      <c r="AQ16" s="204">
        <v>440</v>
      </c>
      <c r="AR16" s="204">
        <v>447</v>
      </c>
      <c r="AS16" s="204">
        <v>479</v>
      </c>
      <c r="AT16" s="204">
        <v>463</v>
      </c>
      <c r="AU16" s="204">
        <v>460</v>
      </c>
      <c r="AV16" s="204">
        <v>708</v>
      </c>
      <c r="AW16" s="204">
        <v>1383</v>
      </c>
      <c r="AX16" s="204">
        <v>889</v>
      </c>
      <c r="AY16" s="204">
        <v>1192</v>
      </c>
    </row>
    <row r="17" spans="1:51" ht="15" customHeight="1" x14ac:dyDescent="0.25">
      <c r="A17" s="38" t="s">
        <v>121</v>
      </c>
      <c r="B17" s="1" t="s">
        <v>122</v>
      </c>
      <c r="C17" s="40" t="s">
        <v>123</v>
      </c>
      <c r="D17" s="204">
        <v>6524.9953779578027</v>
      </c>
      <c r="E17" s="204">
        <v>6005.0109486901092</v>
      </c>
      <c r="F17" s="204">
        <v>5940.0225338352375</v>
      </c>
      <c r="G17" s="204">
        <v>5757.0107221369663</v>
      </c>
      <c r="H17" s="204">
        <v>6314.0209289001732</v>
      </c>
      <c r="I17" s="204">
        <v>6041.0265778023177</v>
      </c>
      <c r="J17" s="204">
        <v>6082</v>
      </c>
      <c r="K17" s="204">
        <v>6280.2484288741189</v>
      </c>
      <c r="L17" s="204">
        <v>5692.7337529835286</v>
      </c>
      <c r="M17" s="204">
        <v>5477.9457827409597</v>
      </c>
      <c r="N17" s="204">
        <v>6166.9126130471905</v>
      </c>
      <c r="O17" s="204">
        <v>5741.4739557431367</v>
      </c>
      <c r="P17" s="204">
        <v>5325.017995627958</v>
      </c>
      <c r="Q17" s="204">
        <v>5699.0121567113383</v>
      </c>
      <c r="R17" s="204">
        <v>5804.0157690116912</v>
      </c>
      <c r="S17" s="204">
        <v>5639.9994590841161</v>
      </c>
      <c r="T17" s="204">
        <v>5571.019687396345</v>
      </c>
      <c r="U17" s="204">
        <v>5499.9900672282702</v>
      </c>
      <c r="V17" s="204">
        <v>5780.9945361552509</v>
      </c>
      <c r="W17" s="204">
        <v>5025.0055070792705</v>
      </c>
      <c r="X17" s="204">
        <v>5489.9813054844717</v>
      </c>
      <c r="Y17" s="204">
        <v>5878.6687022307569</v>
      </c>
      <c r="Z17" s="204">
        <v>5578.9645953144973</v>
      </c>
      <c r="AA17" s="204">
        <v>5374.83</v>
      </c>
      <c r="AB17" s="204">
        <v>5407.0118714931323</v>
      </c>
      <c r="AC17" s="204">
        <v>5948</v>
      </c>
      <c r="AD17" s="204">
        <v>5463</v>
      </c>
      <c r="AE17" s="204">
        <v>4360</v>
      </c>
      <c r="AF17" s="206">
        <v>4423</v>
      </c>
      <c r="AG17" s="204">
        <v>2512</v>
      </c>
      <c r="AH17" s="204">
        <v>2548</v>
      </c>
      <c r="AI17" s="204">
        <v>2732</v>
      </c>
      <c r="AJ17" s="204">
        <v>5377</v>
      </c>
      <c r="AK17" s="204">
        <v>2678.9822660275818</v>
      </c>
      <c r="AL17" s="204">
        <v>3190</v>
      </c>
      <c r="AM17" s="204">
        <v>2646</v>
      </c>
      <c r="AN17" s="204">
        <v>3011</v>
      </c>
      <c r="AO17" s="204">
        <v>3455</v>
      </c>
      <c r="AP17" s="204">
        <v>3639</v>
      </c>
      <c r="AQ17" s="204">
        <v>3643</v>
      </c>
      <c r="AR17" s="204">
        <v>3091</v>
      </c>
      <c r="AS17" s="204">
        <v>2766</v>
      </c>
      <c r="AT17" s="204">
        <v>3212</v>
      </c>
      <c r="AU17" s="204">
        <v>4307</v>
      </c>
      <c r="AV17" s="204">
        <v>7078</v>
      </c>
      <c r="AW17" s="204">
        <v>6899</v>
      </c>
      <c r="AX17" s="204">
        <v>7720</v>
      </c>
      <c r="AY17" s="204">
        <v>6858</v>
      </c>
    </row>
    <row r="18" spans="1:51" ht="15" customHeight="1" x14ac:dyDescent="0.25">
      <c r="A18" s="62">
        <v>3270</v>
      </c>
      <c r="B18" s="207" t="s">
        <v>557</v>
      </c>
      <c r="C18" s="40" t="s">
        <v>558</v>
      </c>
      <c r="D18" s="204">
        <v>101951.51864894922</v>
      </c>
      <c r="E18" s="204">
        <v>105766.62116711579</v>
      </c>
      <c r="F18" s="204">
        <v>106346.06837784729</v>
      </c>
      <c r="G18" s="204">
        <v>115576.95227734947</v>
      </c>
      <c r="H18" s="204">
        <v>115221.98605574826</v>
      </c>
      <c r="I18" s="204">
        <v>104119.01838234592</v>
      </c>
      <c r="J18" s="204">
        <v>109217.06159863004</v>
      </c>
      <c r="K18" s="204">
        <v>113620.94626074017</v>
      </c>
      <c r="L18" s="204">
        <v>122066.51567261248</v>
      </c>
      <c r="M18" s="204">
        <v>108535.35610883975</v>
      </c>
      <c r="N18" s="204">
        <v>114539.32243799453</v>
      </c>
      <c r="O18" s="204">
        <v>103597.65934581739</v>
      </c>
      <c r="P18" s="204">
        <v>100263.04623166572</v>
      </c>
      <c r="Q18" s="204">
        <v>100231.20174033161</v>
      </c>
      <c r="R18" s="204">
        <v>98739.050206501823</v>
      </c>
      <c r="S18" s="204">
        <v>110568.96413562371</v>
      </c>
      <c r="T18" s="204">
        <v>97914.014761067039</v>
      </c>
      <c r="U18" s="204">
        <v>92345.760720019403</v>
      </c>
      <c r="V18" s="204">
        <v>102986.96923513076</v>
      </c>
      <c r="W18" s="204">
        <v>97265.827963254531</v>
      </c>
      <c r="X18" s="204">
        <v>107518.90776250961</v>
      </c>
      <c r="Y18" s="204">
        <v>109694.02548548713</v>
      </c>
      <c r="Z18" s="204">
        <v>103832.86254812368</v>
      </c>
      <c r="AA18" s="204">
        <v>100884.71898123596</v>
      </c>
      <c r="AB18" s="204">
        <v>96575.134493214166</v>
      </c>
      <c r="AC18" s="204">
        <v>110755</v>
      </c>
      <c r="AD18" s="204">
        <v>94196</v>
      </c>
      <c r="AE18" s="204">
        <v>71291</v>
      </c>
      <c r="AF18" s="206">
        <v>75258</v>
      </c>
      <c r="AG18" s="204">
        <v>79050</v>
      </c>
      <c r="AH18" s="204">
        <v>75305</v>
      </c>
      <c r="AI18" s="204">
        <v>76600</v>
      </c>
      <c r="AJ18" s="204">
        <v>88805</v>
      </c>
      <c r="AK18" s="204">
        <v>83655.663201332878</v>
      </c>
      <c r="AL18" s="204">
        <v>93093</v>
      </c>
      <c r="AM18" s="204">
        <v>73188</v>
      </c>
      <c r="AN18" s="204">
        <v>75060</v>
      </c>
      <c r="AO18" s="204">
        <v>70502</v>
      </c>
      <c r="AP18" s="204">
        <v>73588</v>
      </c>
      <c r="AQ18" s="204">
        <v>74819</v>
      </c>
      <c r="AR18" s="204">
        <v>74051</v>
      </c>
      <c r="AS18" s="204">
        <v>81212</v>
      </c>
      <c r="AT18" s="204">
        <v>86631</v>
      </c>
      <c r="AU18" s="204">
        <v>95285</v>
      </c>
      <c r="AV18" s="204">
        <v>110878</v>
      </c>
      <c r="AW18" s="204">
        <v>96268</v>
      </c>
      <c r="AX18" s="204">
        <v>98494</v>
      </c>
      <c r="AY18" s="204">
        <v>73652</v>
      </c>
    </row>
    <row r="19" spans="1:51" ht="15" customHeight="1" x14ac:dyDescent="0.25">
      <c r="A19" s="38" t="s">
        <v>91</v>
      </c>
      <c r="B19" s="1" t="s">
        <v>92</v>
      </c>
      <c r="C19" s="40" t="s">
        <v>93</v>
      </c>
      <c r="D19" s="204">
        <v>99945.474774316404</v>
      </c>
      <c r="E19" s="204">
        <v>103769.47726878688</v>
      </c>
      <c r="F19" s="204">
        <v>105341.01116300571</v>
      </c>
      <c r="G19" s="204">
        <v>100062.96371470086</v>
      </c>
      <c r="H19" s="204">
        <v>104430.03061830922</v>
      </c>
      <c r="I19" s="204">
        <v>97648.337616227989</v>
      </c>
      <c r="J19" s="204">
        <v>96144.082761458689</v>
      </c>
      <c r="K19" s="204">
        <v>101957.94778775534</v>
      </c>
      <c r="L19" s="204">
        <v>101312.61873782116</v>
      </c>
      <c r="M19" s="204">
        <v>104934.3602203389</v>
      </c>
      <c r="N19" s="204">
        <v>110228.38547188589</v>
      </c>
      <c r="O19" s="204">
        <v>102822.2216871681</v>
      </c>
      <c r="P19" s="204">
        <v>97971.062788755196</v>
      </c>
      <c r="Q19" s="204">
        <v>101644.17898290703</v>
      </c>
      <c r="R19" s="204">
        <v>98153.7272455848</v>
      </c>
      <c r="S19" s="204">
        <v>101273.98731533931</v>
      </c>
      <c r="T19" s="204">
        <v>94721.858802859424</v>
      </c>
      <c r="U19" s="204">
        <v>88478.97136874999</v>
      </c>
      <c r="V19" s="204">
        <v>95212.966630093841</v>
      </c>
      <c r="W19" s="204">
        <v>92673.857625290882</v>
      </c>
      <c r="X19" s="204">
        <v>99815.891447388</v>
      </c>
      <c r="Y19" s="204">
        <v>105603.06387434262</v>
      </c>
      <c r="Z19" s="204">
        <v>102357.8681185367</v>
      </c>
      <c r="AA19" s="204">
        <v>103506.35823952423</v>
      </c>
      <c r="AB19" s="204">
        <v>97253.776874949937</v>
      </c>
      <c r="AC19" s="204">
        <v>108956</v>
      </c>
      <c r="AD19" s="204">
        <v>89005</v>
      </c>
      <c r="AE19" s="204">
        <v>56533.000000000007</v>
      </c>
      <c r="AF19" s="206">
        <v>51929</v>
      </c>
      <c r="AG19" s="204">
        <v>67515</v>
      </c>
      <c r="AH19" s="204">
        <v>76063</v>
      </c>
      <c r="AI19" s="204">
        <v>77109</v>
      </c>
      <c r="AJ19" s="204">
        <v>85715</v>
      </c>
      <c r="AK19" s="204">
        <v>72481.034116966883</v>
      </c>
      <c r="AL19" s="204">
        <v>81394</v>
      </c>
      <c r="AM19" s="204">
        <v>63493</v>
      </c>
      <c r="AN19" s="204">
        <v>79873</v>
      </c>
      <c r="AO19" s="204">
        <v>78853</v>
      </c>
      <c r="AP19" s="204">
        <v>77489</v>
      </c>
      <c r="AQ19" s="204">
        <v>75911</v>
      </c>
      <c r="AR19" s="204">
        <v>74542</v>
      </c>
      <c r="AS19" s="204">
        <v>87105</v>
      </c>
      <c r="AT19" s="204">
        <v>80824</v>
      </c>
      <c r="AU19" s="204">
        <v>89811</v>
      </c>
      <c r="AV19" s="204">
        <v>92908</v>
      </c>
      <c r="AW19" s="204">
        <v>90528</v>
      </c>
      <c r="AX19" s="204">
        <v>91878</v>
      </c>
      <c r="AY19" s="204">
        <v>88019</v>
      </c>
    </row>
    <row r="20" spans="1:51" ht="15" customHeight="1" x14ac:dyDescent="0.25">
      <c r="A20" s="38" t="s">
        <v>257</v>
      </c>
      <c r="B20" s="1" t="s">
        <v>258</v>
      </c>
      <c r="C20" s="258" t="s">
        <v>259</v>
      </c>
      <c r="D20" s="204">
        <v>0</v>
      </c>
      <c r="E20" s="204">
        <v>0</v>
      </c>
      <c r="F20" s="204">
        <v>0</v>
      </c>
      <c r="G20" s="204">
        <v>0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4">
        <v>0</v>
      </c>
      <c r="W20" s="204">
        <v>0</v>
      </c>
      <c r="X20" s="204">
        <v>0</v>
      </c>
      <c r="Y20" s="204">
        <v>0</v>
      </c>
      <c r="Z20" s="204">
        <v>0</v>
      </c>
      <c r="AA20" s="204">
        <v>0</v>
      </c>
      <c r="AB20" s="204">
        <v>0</v>
      </c>
      <c r="AC20" s="204">
        <v>0</v>
      </c>
      <c r="AD20" s="204">
        <v>0</v>
      </c>
      <c r="AE20" s="204">
        <v>0</v>
      </c>
      <c r="AF20" s="206">
        <v>0</v>
      </c>
      <c r="AG20" s="204">
        <v>0</v>
      </c>
      <c r="AH20" s="204">
        <v>0</v>
      </c>
      <c r="AI20" s="204">
        <v>0</v>
      </c>
      <c r="AJ20" s="204">
        <v>0</v>
      </c>
      <c r="AK20" s="204">
        <v>0</v>
      </c>
      <c r="AL20" s="204">
        <v>0</v>
      </c>
      <c r="AM20" s="204">
        <v>0</v>
      </c>
      <c r="AN20" s="204">
        <v>0</v>
      </c>
      <c r="AO20" s="204">
        <v>0</v>
      </c>
      <c r="AP20" s="204">
        <v>0</v>
      </c>
      <c r="AQ20" s="204">
        <v>0</v>
      </c>
      <c r="AR20" s="204">
        <v>0</v>
      </c>
      <c r="AS20" s="204">
        <v>0</v>
      </c>
      <c r="AT20" s="204">
        <v>0</v>
      </c>
      <c r="AU20" s="204">
        <v>0</v>
      </c>
      <c r="AV20" s="204">
        <v>0</v>
      </c>
      <c r="AW20" s="204">
        <v>0</v>
      </c>
      <c r="AX20" s="204">
        <v>0</v>
      </c>
      <c r="AY20" s="204">
        <v>0</v>
      </c>
    </row>
    <row r="21" spans="1:51" ht="15" customHeight="1" x14ac:dyDescent="0.25">
      <c r="A21" s="62">
        <v>2921</v>
      </c>
      <c r="B21" s="139" t="s">
        <v>531</v>
      </c>
      <c r="C21" s="341" t="s">
        <v>532</v>
      </c>
      <c r="D21" s="204">
        <v>12349.025998525205</v>
      </c>
      <c r="E21" s="204">
        <v>12146.211875985997</v>
      </c>
      <c r="F21" s="204">
        <v>12063.848792723438</v>
      </c>
      <c r="G21" s="204">
        <v>11934.268649273356</v>
      </c>
      <c r="H21" s="204">
        <v>12796.764033032794</v>
      </c>
      <c r="I21" s="204">
        <v>10932.962245139544</v>
      </c>
      <c r="J21" s="204">
        <v>11167</v>
      </c>
      <c r="K21" s="204">
        <v>11525.010291181145</v>
      </c>
      <c r="L21" s="204">
        <v>11198.984815206992</v>
      </c>
      <c r="M21" s="204">
        <v>11944.799355998519</v>
      </c>
      <c r="N21" s="204">
        <v>13346.946952295832</v>
      </c>
      <c r="O21" s="204">
        <v>12800.567897446448</v>
      </c>
      <c r="P21" s="204">
        <v>11920.010921450197</v>
      </c>
      <c r="Q21" s="204">
        <v>11404.000974009832</v>
      </c>
      <c r="R21" s="204">
        <v>11077.940090214062</v>
      </c>
      <c r="S21" s="204">
        <v>12101.038958295407</v>
      </c>
      <c r="T21" s="204">
        <v>11196.986034746489</v>
      </c>
      <c r="U21" s="204">
        <v>10590.990678373526</v>
      </c>
      <c r="V21" s="204">
        <v>10827.015776683696</v>
      </c>
      <c r="W21" s="204">
        <v>10198.958219739567</v>
      </c>
      <c r="X21" s="204">
        <v>11257.995144600176</v>
      </c>
      <c r="Y21" s="204">
        <v>11634.025061080425</v>
      </c>
      <c r="Z21" s="204">
        <v>11467.991403277741</v>
      </c>
      <c r="AA21" s="204">
        <v>12524.941287754882</v>
      </c>
      <c r="AB21" s="204">
        <v>10532.991549215425</v>
      </c>
      <c r="AC21" s="204">
        <v>12310.999999999998</v>
      </c>
      <c r="AD21" s="204">
        <v>10073</v>
      </c>
      <c r="AE21" s="204">
        <v>9137</v>
      </c>
      <c r="AF21" s="206">
        <v>9200</v>
      </c>
      <c r="AG21" s="204">
        <v>9697</v>
      </c>
      <c r="AH21" s="204">
        <v>9634</v>
      </c>
      <c r="AI21" s="204">
        <v>9508</v>
      </c>
      <c r="AJ21" s="204">
        <v>9875</v>
      </c>
      <c r="AK21" s="204">
        <v>9353.0263947172098</v>
      </c>
      <c r="AL21" s="204">
        <v>10175</v>
      </c>
      <c r="AM21" s="204">
        <v>9387</v>
      </c>
      <c r="AN21" s="204">
        <v>10901</v>
      </c>
      <c r="AO21" s="204">
        <v>10191</v>
      </c>
      <c r="AP21" s="204">
        <v>10438</v>
      </c>
      <c r="AQ21" s="204">
        <v>10386</v>
      </c>
      <c r="AR21" s="204">
        <v>10349</v>
      </c>
      <c r="AS21" s="204">
        <v>10280</v>
      </c>
      <c r="AT21" s="204">
        <v>11437</v>
      </c>
      <c r="AU21" s="204">
        <v>11527</v>
      </c>
      <c r="AV21" s="204">
        <v>10979</v>
      </c>
      <c r="AW21" s="204">
        <v>10352</v>
      </c>
      <c r="AX21" s="204">
        <v>11000</v>
      </c>
      <c r="AY21" s="204">
        <v>10666</v>
      </c>
    </row>
    <row r="22" spans="1:51" ht="15" customHeight="1" x14ac:dyDescent="0.25">
      <c r="A22" s="38" t="s">
        <v>172</v>
      </c>
      <c r="B22" s="1" t="s">
        <v>173</v>
      </c>
      <c r="C22" s="258" t="s">
        <v>174</v>
      </c>
      <c r="D22" s="204">
        <v>44476.010417224992</v>
      </c>
      <c r="E22" s="204">
        <v>48442.497180975202</v>
      </c>
      <c r="F22" s="204">
        <v>46623.494786203097</v>
      </c>
      <c r="G22" s="204">
        <v>35029.857156706705</v>
      </c>
      <c r="H22" s="204">
        <v>44028.158244395228</v>
      </c>
      <c r="I22" s="204">
        <v>28122.024523585726</v>
      </c>
      <c r="J22" s="204">
        <v>26817.999999999996</v>
      </c>
      <c r="K22" s="204">
        <v>28495.982413135131</v>
      </c>
      <c r="L22" s="204">
        <v>31284.857177047052</v>
      </c>
      <c r="M22" s="204">
        <v>39520.145365399403</v>
      </c>
      <c r="N22" s="204">
        <v>39416.085601695333</v>
      </c>
      <c r="O22" s="204">
        <v>25099.24302481316</v>
      </c>
      <c r="P22" s="204">
        <v>30636.046169157067</v>
      </c>
      <c r="Q22" s="204">
        <v>48703.097026448784</v>
      </c>
      <c r="R22" s="204">
        <v>42527.013893605697</v>
      </c>
      <c r="S22" s="204">
        <v>44721.006112127565</v>
      </c>
      <c r="T22" s="204">
        <v>33208.023048404342</v>
      </c>
      <c r="U22" s="204">
        <v>22822.957118318369</v>
      </c>
      <c r="V22" s="204">
        <v>28195.979629081947</v>
      </c>
      <c r="W22" s="204">
        <v>26410.976310298192</v>
      </c>
      <c r="X22" s="204">
        <v>27944.979175314249</v>
      </c>
      <c r="Y22" s="204">
        <v>31417.023724457667</v>
      </c>
      <c r="Z22" s="204">
        <v>40500.95181605986</v>
      </c>
      <c r="AA22" s="204">
        <v>30326.888295731358</v>
      </c>
      <c r="AB22" s="204">
        <v>32836.059576327418</v>
      </c>
      <c r="AC22" s="204">
        <v>46365</v>
      </c>
      <c r="AD22" s="204">
        <v>32522.000000000004</v>
      </c>
      <c r="AE22" s="204">
        <v>21102</v>
      </c>
      <c r="AF22" s="206">
        <v>22463</v>
      </c>
      <c r="AG22" s="204">
        <v>23439</v>
      </c>
      <c r="AH22" s="204">
        <v>23578</v>
      </c>
      <c r="AI22" s="204">
        <v>23896</v>
      </c>
      <c r="AJ22" s="204">
        <v>25853</v>
      </c>
      <c r="AK22" s="204">
        <v>23726.489670724801</v>
      </c>
      <c r="AL22" s="204">
        <v>28194.79</v>
      </c>
      <c r="AM22" s="204">
        <v>24981</v>
      </c>
      <c r="AN22" s="204">
        <v>24800</v>
      </c>
      <c r="AO22" s="204">
        <v>24000</v>
      </c>
      <c r="AP22" s="204">
        <v>44276</v>
      </c>
      <c r="AQ22" s="204">
        <v>32246</v>
      </c>
      <c r="AR22" s="204">
        <v>26653</v>
      </c>
      <c r="AS22" s="204">
        <v>20884</v>
      </c>
      <c r="AT22" s="204">
        <v>21148</v>
      </c>
      <c r="AU22" s="204">
        <v>21347</v>
      </c>
      <c r="AV22" s="204">
        <v>27144</v>
      </c>
      <c r="AW22" s="204">
        <v>22919</v>
      </c>
      <c r="AX22" s="204">
        <v>26755</v>
      </c>
      <c r="AY22" s="204">
        <v>19487</v>
      </c>
    </row>
    <row r="23" spans="1:51" ht="15" customHeight="1" x14ac:dyDescent="0.25">
      <c r="A23" s="38" t="s">
        <v>592</v>
      </c>
      <c r="B23" s="1" t="s">
        <v>593</v>
      </c>
      <c r="C23" s="258" t="s">
        <v>594</v>
      </c>
      <c r="D23" s="204">
        <v>1072.9583297537336</v>
      </c>
      <c r="E23" s="204">
        <v>1335.9998436283802</v>
      </c>
      <c r="F23" s="204">
        <v>1672.0209827398476</v>
      </c>
      <c r="G23" s="204">
        <v>1456.1885571444443</v>
      </c>
      <c r="H23" s="204">
        <v>1737.4652436851545</v>
      </c>
      <c r="I23" s="204">
        <v>1117.3102967651384</v>
      </c>
      <c r="J23" s="204">
        <v>1192.0771491574244</v>
      </c>
      <c r="K23" s="204">
        <v>1377.3388151250283</v>
      </c>
      <c r="L23" s="204">
        <v>717.66125954878953</v>
      </c>
      <c r="M23" s="204">
        <v>864.5976467932428</v>
      </c>
      <c r="N23" s="204">
        <v>1585.0179100036084</v>
      </c>
      <c r="O23" s="204">
        <v>1514.0997364875243</v>
      </c>
      <c r="P23" s="204">
        <v>867.97146563014144</v>
      </c>
      <c r="Q23" s="204">
        <v>2143.0174570679601</v>
      </c>
      <c r="R23" s="204">
        <v>1231.9546888112052</v>
      </c>
      <c r="S23" s="204">
        <v>1579.3163418459017</v>
      </c>
      <c r="T23" s="204">
        <v>1304.312381344896</v>
      </c>
      <c r="U23" s="204">
        <v>734.98995013219712</v>
      </c>
      <c r="V23" s="204">
        <v>775.00294185756024</v>
      </c>
      <c r="W23" s="204">
        <v>684.96223111798133</v>
      </c>
      <c r="X23" s="204">
        <v>685.01730839771187</v>
      </c>
      <c r="Y23" s="204">
        <v>756.0269823430956</v>
      </c>
      <c r="Z23" s="204">
        <v>1025.0168619162137</v>
      </c>
      <c r="AA23" s="204">
        <v>1031.6590439140928</v>
      </c>
      <c r="AB23" s="204">
        <v>798</v>
      </c>
      <c r="AC23" s="204">
        <v>1402</v>
      </c>
      <c r="AD23" s="204">
        <v>991</v>
      </c>
      <c r="AE23" s="204">
        <v>702</v>
      </c>
      <c r="AF23" s="206">
        <v>722</v>
      </c>
      <c r="AG23" s="204">
        <v>742.00000000000011</v>
      </c>
      <c r="AH23" s="204">
        <v>716</v>
      </c>
      <c r="AI23" s="204">
        <v>686</v>
      </c>
      <c r="AJ23" s="204">
        <v>761</v>
      </c>
      <c r="AK23" s="204">
        <v>809.50764973898754</v>
      </c>
      <c r="AL23" s="204">
        <v>1475</v>
      </c>
      <c r="AM23" s="204">
        <v>924</v>
      </c>
      <c r="AN23" s="204">
        <v>768</v>
      </c>
      <c r="AO23" s="204">
        <v>928</v>
      </c>
      <c r="AP23" s="204">
        <v>1033</v>
      </c>
      <c r="AQ23" s="204">
        <v>1025</v>
      </c>
      <c r="AR23" s="204">
        <v>1006</v>
      </c>
      <c r="AS23" s="204">
        <v>697</v>
      </c>
      <c r="AT23" s="204">
        <v>654</v>
      </c>
      <c r="AU23" s="204">
        <v>732</v>
      </c>
      <c r="AV23" s="204">
        <v>662</v>
      </c>
      <c r="AW23" s="204">
        <v>804</v>
      </c>
      <c r="AX23" s="204">
        <v>864</v>
      </c>
      <c r="AY23" s="204">
        <v>724</v>
      </c>
    </row>
    <row r="24" spans="1:51" ht="15" customHeight="1" x14ac:dyDescent="0.25">
      <c r="A24" s="38" t="s">
        <v>70</v>
      </c>
      <c r="B24" s="1" t="s">
        <v>71</v>
      </c>
      <c r="C24" s="40" t="s">
        <v>72</v>
      </c>
      <c r="D24" s="204">
        <v>41560.760090219104</v>
      </c>
      <c r="E24" s="204">
        <v>39772.309292011021</v>
      </c>
      <c r="F24" s="204">
        <v>39875.987572090387</v>
      </c>
      <c r="G24" s="204">
        <v>39661.019614061035</v>
      </c>
      <c r="H24" s="204">
        <v>41719.156627499688</v>
      </c>
      <c r="I24" s="204">
        <v>42286.878092933082</v>
      </c>
      <c r="J24" s="204">
        <v>44363.99976314076</v>
      </c>
      <c r="K24" s="204">
        <v>48688.999771895804</v>
      </c>
      <c r="L24" s="204">
        <v>48659.918232746677</v>
      </c>
      <c r="M24" s="204">
        <v>46848.567585846809</v>
      </c>
      <c r="N24" s="204">
        <v>49162.267582693014</v>
      </c>
      <c r="O24" s="204">
        <v>45491.635806419588</v>
      </c>
      <c r="P24" s="204">
        <v>41870.010735287622</v>
      </c>
      <c r="Q24" s="204">
        <v>42725.075417574655</v>
      </c>
      <c r="R24" s="204">
        <v>42745.020480942367</v>
      </c>
      <c r="S24" s="204">
        <v>44555.003156280218</v>
      </c>
      <c r="T24" s="204">
        <v>44196.013454048429</v>
      </c>
      <c r="U24" s="204">
        <v>46101.884819399362</v>
      </c>
      <c r="V24" s="204">
        <v>52045.007285166692</v>
      </c>
      <c r="W24" s="204">
        <v>45380.169063527908</v>
      </c>
      <c r="X24" s="204">
        <v>45979.713194531498</v>
      </c>
      <c r="Y24" s="204">
        <v>44327.012577846821</v>
      </c>
      <c r="Z24" s="204">
        <v>39953.930542532828</v>
      </c>
      <c r="AA24" s="204">
        <v>44678.883692435658</v>
      </c>
      <c r="AB24" s="204">
        <v>42176.050787870052</v>
      </c>
      <c r="AC24" s="204">
        <v>48453</v>
      </c>
      <c r="AD24" s="204">
        <v>40451</v>
      </c>
      <c r="AE24" s="204">
        <v>33410</v>
      </c>
      <c r="AF24" s="206">
        <v>35632</v>
      </c>
      <c r="AG24" s="204">
        <v>38243</v>
      </c>
      <c r="AH24" s="204">
        <v>41809</v>
      </c>
      <c r="AI24" s="204">
        <v>44991</v>
      </c>
      <c r="AJ24" s="204">
        <v>48792</v>
      </c>
      <c r="AK24" s="204">
        <v>44971.462903043677</v>
      </c>
      <c r="AL24" s="204">
        <v>50099</v>
      </c>
      <c r="AM24" s="204">
        <v>42190</v>
      </c>
      <c r="AN24" s="204">
        <v>44571</v>
      </c>
      <c r="AO24" s="204">
        <v>41093</v>
      </c>
      <c r="AP24" s="204">
        <v>42074</v>
      </c>
      <c r="AQ24" s="204">
        <v>42486</v>
      </c>
      <c r="AR24" s="204">
        <v>42218</v>
      </c>
      <c r="AS24" s="204">
        <v>46252</v>
      </c>
      <c r="AT24" s="204">
        <v>44509</v>
      </c>
      <c r="AU24" s="204">
        <v>46860</v>
      </c>
      <c r="AV24" s="204">
        <v>52224</v>
      </c>
      <c r="AW24" s="204">
        <v>46713</v>
      </c>
      <c r="AX24" s="204">
        <v>50734</v>
      </c>
      <c r="AY24" s="204">
        <v>41873</v>
      </c>
    </row>
    <row r="25" spans="1:51" ht="15" customHeight="1" x14ac:dyDescent="0.25">
      <c r="A25" s="38" t="s">
        <v>196</v>
      </c>
      <c r="B25" s="1" t="s">
        <v>197</v>
      </c>
      <c r="C25" s="40" t="s">
        <v>198</v>
      </c>
      <c r="D25" s="204">
        <v>17948.006177429728</v>
      </c>
      <c r="E25" s="204">
        <v>17512.004296686922</v>
      </c>
      <c r="F25" s="204">
        <v>19326.006436984444</v>
      </c>
      <c r="G25" s="204">
        <v>23112.013174525619</v>
      </c>
      <c r="H25" s="204">
        <v>19976.985418428452</v>
      </c>
      <c r="I25" s="204">
        <v>17167.012937933425</v>
      </c>
      <c r="J25" s="204">
        <v>19337.03459052687</v>
      </c>
      <c r="K25" s="204">
        <v>19841.961861569933</v>
      </c>
      <c r="L25" s="204">
        <v>22761.931985344476</v>
      </c>
      <c r="M25" s="204">
        <v>23955.873223319333</v>
      </c>
      <c r="N25" s="204">
        <v>25060.668018659242</v>
      </c>
      <c r="O25" s="204">
        <v>16704.535114446433</v>
      </c>
      <c r="P25" s="204">
        <v>18675.033861136566</v>
      </c>
      <c r="Q25" s="204">
        <v>20333.013541506687</v>
      </c>
      <c r="R25" s="204">
        <v>19279.015444284149</v>
      </c>
      <c r="S25" s="204">
        <v>22115.005308434906</v>
      </c>
      <c r="T25" s="204">
        <v>18589.003362373875</v>
      </c>
      <c r="U25" s="204">
        <v>16077.967194080211</v>
      </c>
      <c r="V25" s="204">
        <v>19623.000895726149</v>
      </c>
      <c r="W25" s="204">
        <v>17070.995704714562</v>
      </c>
      <c r="X25" s="204">
        <v>17859.000647721619</v>
      </c>
      <c r="Y25" s="204">
        <v>23001.000182508309</v>
      </c>
      <c r="Z25" s="204">
        <v>23619.948709415072</v>
      </c>
      <c r="AA25" s="204">
        <v>20321.941846360256</v>
      </c>
      <c r="AB25" s="204">
        <v>17399.039268433044</v>
      </c>
      <c r="AC25" s="204">
        <v>21717</v>
      </c>
      <c r="AD25" s="204">
        <v>15885</v>
      </c>
      <c r="AE25" s="204">
        <v>11683.999999999998</v>
      </c>
      <c r="AF25" s="206">
        <v>16838</v>
      </c>
      <c r="AG25" s="204">
        <v>14400.000000000002</v>
      </c>
      <c r="AH25" s="204">
        <v>17496</v>
      </c>
      <c r="AI25" s="204">
        <v>17073</v>
      </c>
      <c r="AJ25" s="204">
        <v>15332</v>
      </c>
      <c r="AK25" s="204">
        <v>14101.585040789623</v>
      </c>
      <c r="AL25" s="204">
        <v>16426</v>
      </c>
      <c r="AM25" s="204">
        <v>12289</v>
      </c>
      <c r="AN25" s="204">
        <v>15391</v>
      </c>
      <c r="AO25" s="204">
        <v>12158</v>
      </c>
      <c r="AP25" s="204">
        <v>11971</v>
      </c>
      <c r="AQ25" s="204">
        <v>13102</v>
      </c>
      <c r="AR25" s="204">
        <v>13972</v>
      </c>
      <c r="AS25" s="204">
        <v>18253</v>
      </c>
      <c r="AT25" s="204">
        <v>17489</v>
      </c>
      <c r="AU25" s="204">
        <v>17003</v>
      </c>
      <c r="AV25" s="204">
        <v>20161</v>
      </c>
      <c r="AW25" s="204">
        <v>20117</v>
      </c>
      <c r="AX25" s="204">
        <v>20219</v>
      </c>
      <c r="AY25" s="204">
        <v>14538</v>
      </c>
    </row>
    <row r="26" spans="1:51" ht="15" customHeight="1" x14ac:dyDescent="0.25">
      <c r="A26" s="62" t="s">
        <v>589</v>
      </c>
      <c r="B26" s="134" t="s">
        <v>590</v>
      </c>
      <c r="C26" s="132" t="s">
        <v>591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  <c r="R26" s="204">
        <v>0</v>
      </c>
      <c r="S26" s="204">
        <v>0</v>
      </c>
      <c r="T26" s="204">
        <v>0</v>
      </c>
      <c r="U26" s="204">
        <v>0</v>
      </c>
      <c r="V26" s="204">
        <v>0</v>
      </c>
      <c r="W26" s="204">
        <v>0</v>
      </c>
      <c r="X26" s="204">
        <v>0</v>
      </c>
      <c r="Y26" s="204">
        <v>0</v>
      </c>
      <c r="Z26" s="204">
        <v>0</v>
      </c>
      <c r="AA26" s="204">
        <v>0</v>
      </c>
      <c r="AB26" s="204">
        <v>0</v>
      </c>
      <c r="AC26" s="204">
        <v>0</v>
      </c>
      <c r="AD26" s="204">
        <v>0</v>
      </c>
      <c r="AE26" s="204">
        <v>0</v>
      </c>
      <c r="AF26" s="206">
        <v>0</v>
      </c>
      <c r="AG26" s="204">
        <v>0</v>
      </c>
      <c r="AH26" s="204">
        <v>0</v>
      </c>
      <c r="AI26" s="204">
        <v>0</v>
      </c>
      <c r="AJ26" s="204">
        <v>0</v>
      </c>
      <c r="AK26" s="204">
        <v>0</v>
      </c>
      <c r="AL26" s="204">
        <v>0</v>
      </c>
      <c r="AM26" s="204">
        <v>0</v>
      </c>
      <c r="AN26" s="204">
        <v>0</v>
      </c>
      <c r="AO26" s="204">
        <v>0</v>
      </c>
      <c r="AP26" s="204">
        <v>0</v>
      </c>
      <c r="AQ26" s="204">
        <v>0</v>
      </c>
      <c r="AR26" s="204">
        <v>0</v>
      </c>
      <c r="AS26" s="204">
        <v>0</v>
      </c>
      <c r="AT26" s="204">
        <v>0</v>
      </c>
      <c r="AU26" s="204">
        <v>0</v>
      </c>
      <c r="AV26" s="204">
        <v>0</v>
      </c>
      <c r="AW26" s="204">
        <v>0</v>
      </c>
      <c r="AX26" s="204">
        <v>0</v>
      </c>
      <c r="AY26" s="204">
        <v>0</v>
      </c>
    </row>
    <row r="27" spans="1:51" ht="15" customHeight="1" x14ac:dyDescent="0.25">
      <c r="A27" s="38" t="s">
        <v>460</v>
      </c>
      <c r="B27" s="63" t="s">
        <v>461</v>
      </c>
      <c r="C27" s="40" t="s">
        <v>462</v>
      </c>
      <c r="D27" s="204">
        <v>5814.2779999999993</v>
      </c>
      <c r="E27" s="204">
        <v>5365.0774999999994</v>
      </c>
      <c r="F27" s="204">
        <v>5472.1194999999998</v>
      </c>
      <c r="G27" s="204">
        <v>5493.5994999999994</v>
      </c>
      <c r="H27" s="204">
        <v>5874.9589999999998</v>
      </c>
      <c r="I27" s="204">
        <v>5420.2094999999999</v>
      </c>
      <c r="J27" s="204">
        <v>5338.7645000000002</v>
      </c>
      <c r="K27" s="204">
        <v>5555.9809999999998</v>
      </c>
      <c r="L27" s="204">
        <v>5338.4960000000001</v>
      </c>
      <c r="M27" s="204">
        <v>5977.2574999999997</v>
      </c>
      <c r="N27" s="204">
        <v>5390.4059999999999</v>
      </c>
      <c r="O27" s="204">
        <v>5390.4059999999999</v>
      </c>
      <c r="P27" s="204">
        <v>5271.8184999999994</v>
      </c>
      <c r="Q27" s="204">
        <v>5223.9359999999997</v>
      </c>
      <c r="R27" s="204">
        <v>5097.4724999999999</v>
      </c>
      <c r="S27" s="204">
        <v>5421.3729999999996</v>
      </c>
      <c r="T27" s="204">
        <v>5100.6944999999996</v>
      </c>
      <c r="U27" s="204">
        <v>5059.4349999999995</v>
      </c>
      <c r="V27" s="204">
        <v>5314.4205000000002</v>
      </c>
      <c r="W27" s="204">
        <v>5134.8834999999999</v>
      </c>
      <c r="X27" s="204">
        <v>5811.5929999999998</v>
      </c>
      <c r="Y27" s="204">
        <v>5876.1224999999995</v>
      </c>
      <c r="Z27" s="204">
        <v>5430.3229999999994</v>
      </c>
      <c r="AA27" s="204">
        <v>5499.5064999999995</v>
      </c>
      <c r="AB27" s="204">
        <v>5042.6089999999995</v>
      </c>
      <c r="AC27" s="204">
        <v>5623.2849999999999</v>
      </c>
      <c r="AD27" s="204">
        <v>4449.9399999999996</v>
      </c>
      <c r="AE27" s="204">
        <v>3550.0174999999999</v>
      </c>
      <c r="AF27" s="206">
        <v>3823.6189999999997</v>
      </c>
      <c r="AG27" s="204">
        <v>4071.8919999999998</v>
      </c>
      <c r="AH27" s="204">
        <v>4135.7950000000001</v>
      </c>
      <c r="AI27" s="204">
        <v>4097.1309999999994</v>
      </c>
      <c r="AJ27" s="204">
        <v>4287.1395000000002</v>
      </c>
      <c r="AK27" s="204">
        <v>4214.3540122326322</v>
      </c>
      <c r="AL27" s="204">
        <v>4355.7860000000001</v>
      </c>
      <c r="AM27" s="204">
        <v>3661.1765</v>
      </c>
      <c r="AN27" s="204">
        <v>3987.6724999999997</v>
      </c>
      <c r="AO27" s="204">
        <v>3827.4674999999997</v>
      </c>
      <c r="AP27" s="204">
        <v>3829.0784999999996</v>
      </c>
      <c r="AQ27" s="204">
        <v>3890.9229999999998</v>
      </c>
      <c r="AR27" s="204">
        <v>4050.3224999999998</v>
      </c>
      <c r="AS27" s="204">
        <v>4279.2635</v>
      </c>
      <c r="AT27" s="204">
        <v>4168.8204999999998</v>
      </c>
      <c r="AU27" s="204">
        <v>4916.8615</v>
      </c>
      <c r="AV27" s="204">
        <v>5639.9319999999998</v>
      </c>
      <c r="AW27" s="204">
        <v>5007.7039999999997</v>
      </c>
      <c r="AX27" s="204">
        <v>5433.5450000000001</v>
      </c>
      <c r="AY27" s="204">
        <v>4664.5609999999997</v>
      </c>
    </row>
    <row r="28" spans="1:51" ht="15" customHeight="1" x14ac:dyDescent="0.25">
      <c r="A28" s="38" t="s">
        <v>463</v>
      </c>
      <c r="B28" s="63" t="s">
        <v>464</v>
      </c>
      <c r="C28" s="64" t="s">
        <v>465</v>
      </c>
      <c r="D28" s="204">
        <v>59149.722000000002</v>
      </c>
      <c r="E28" s="204">
        <v>54579.922500000001</v>
      </c>
      <c r="F28" s="204">
        <v>55668.880499999999</v>
      </c>
      <c r="G28" s="204">
        <v>55887.400499999996</v>
      </c>
      <c r="H28" s="204">
        <v>59767.040999999997</v>
      </c>
      <c r="I28" s="204">
        <v>55140.790499999996</v>
      </c>
      <c r="J28" s="204">
        <v>54312.235499999995</v>
      </c>
      <c r="K28" s="204">
        <v>56522.019</v>
      </c>
      <c r="L28" s="204">
        <v>54309.504000000001</v>
      </c>
      <c r="M28" s="204">
        <v>60807.7425</v>
      </c>
      <c r="N28" s="204">
        <v>54837.593999999997</v>
      </c>
      <c r="O28" s="204">
        <v>54837.593999999997</v>
      </c>
      <c r="P28" s="204">
        <v>53631.181499999999</v>
      </c>
      <c r="Q28" s="204">
        <v>53144.063999999998</v>
      </c>
      <c r="R28" s="204">
        <v>51857.527499999997</v>
      </c>
      <c r="S28" s="204">
        <v>55152.627</v>
      </c>
      <c r="T28" s="204">
        <v>51890.305500000002</v>
      </c>
      <c r="U28" s="204">
        <v>51470.564999999995</v>
      </c>
      <c r="V28" s="204">
        <v>54064.5795</v>
      </c>
      <c r="W28" s="204">
        <v>52238.116499999996</v>
      </c>
      <c r="X28" s="204">
        <v>59122.406999999999</v>
      </c>
      <c r="Y28" s="204">
        <v>59778.877499999995</v>
      </c>
      <c r="Z28" s="204">
        <v>55243.676999999996</v>
      </c>
      <c r="AA28" s="204">
        <v>55947.493499999997</v>
      </c>
      <c r="AB28" s="204">
        <v>51299.390999999996</v>
      </c>
      <c r="AC28" s="204">
        <v>57206.714999999997</v>
      </c>
      <c r="AD28" s="204">
        <v>45270.06</v>
      </c>
      <c r="AE28" s="204">
        <v>36114.982499999998</v>
      </c>
      <c r="AF28" s="206">
        <v>38898.381000000001</v>
      </c>
      <c r="AG28" s="204">
        <v>41424.108</v>
      </c>
      <c r="AH28" s="204">
        <v>42074.205000000002</v>
      </c>
      <c r="AI28" s="204">
        <v>41680.868999999999</v>
      </c>
      <c r="AJ28" s="204">
        <v>43613.860499999995</v>
      </c>
      <c r="AK28" s="204">
        <v>42873.400314388949</v>
      </c>
      <c r="AL28" s="204">
        <v>44312.214</v>
      </c>
      <c r="AM28" s="204">
        <v>37245.823499999999</v>
      </c>
      <c r="AN28" s="204">
        <v>40567.327499999999</v>
      </c>
      <c r="AO28" s="204">
        <v>38937.532500000001</v>
      </c>
      <c r="AP28" s="204">
        <v>38953.921499999997</v>
      </c>
      <c r="AQ28" s="204">
        <v>39583.076999999997</v>
      </c>
      <c r="AR28" s="204">
        <v>41204.677499999998</v>
      </c>
      <c r="AS28" s="204">
        <v>43533.736499999999</v>
      </c>
      <c r="AT28" s="204">
        <v>42410.179499999998</v>
      </c>
      <c r="AU28" s="204">
        <v>50020.138500000001</v>
      </c>
      <c r="AV28" s="204">
        <v>57376.067999999999</v>
      </c>
      <c r="AW28" s="204">
        <v>50944.296000000002</v>
      </c>
      <c r="AX28" s="204">
        <v>55276.455000000002</v>
      </c>
      <c r="AY28" s="204">
        <v>47453.438999999998</v>
      </c>
    </row>
    <row r="29" spans="1:51" ht="15" customHeight="1" x14ac:dyDescent="0.25">
      <c r="A29" s="38">
        <v>2547</v>
      </c>
      <c r="B29" s="124" t="s">
        <v>466</v>
      </c>
      <c r="C29" s="40" t="s">
        <v>467</v>
      </c>
      <c r="D29" s="204">
        <v>0</v>
      </c>
      <c r="E29" s="204">
        <v>0</v>
      </c>
      <c r="F29" s="204">
        <v>0</v>
      </c>
      <c r="G29" s="204">
        <v>0</v>
      </c>
      <c r="H29" s="204">
        <v>0</v>
      </c>
      <c r="I29" s="204">
        <v>0</v>
      </c>
      <c r="J29" s="204">
        <v>0</v>
      </c>
      <c r="K29" s="204">
        <v>0</v>
      </c>
      <c r="L29" s="204">
        <v>0</v>
      </c>
      <c r="M29" s="204">
        <v>0</v>
      </c>
      <c r="N29" s="204">
        <v>0</v>
      </c>
      <c r="O29" s="204">
        <v>0</v>
      </c>
      <c r="P29" s="204">
        <v>0</v>
      </c>
      <c r="Q29" s="204">
        <v>0</v>
      </c>
      <c r="R29" s="204">
        <v>0</v>
      </c>
      <c r="S29" s="204">
        <v>0</v>
      </c>
      <c r="T29" s="204">
        <v>0</v>
      </c>
      <c r="U29" s="204">
        <v>0</v>
      </c>
      <c r="V29" s="204">
        <v>0</v>
      </c>
      <c r="W29" s="204">
        <v>0</v>
      </c>
      <c r="X29" s="204">
        <v>0</v>
      </c>
      <c r="Y29" s="204">
        <v>0</v>
      </c>
      <c r="Z29" s="204">
        <v>0</v>
      </c>
      <c r="AA29" s="204">
        <v>0</v>
      </c>
      <c r="AB29" s="204">
        <v>0</v>
      </c>
      <c r="AC29" s="204">
        <v>0</v>
      </c>
      <c r="AD29" s="204">
        <v>0</v>
      </c>
      <c r="AE29" s="204">
        <v>0</v>
      </c>
      <c r="AF29" s="206">
        <v>0</v>
      </c>
      <c r="AG29" s="204">
        <v>0</v>
      </c>
      <c r="AH29" s="204">
        <v>0</v>
      </c>
      <c r="AI29" s="204">
        <v>0</v>
      </c>
      <c r="AJ29" s="204">
        <v>0</v>
      </c>
      <c r="AK29" s="204">
        <v>0</v>
      </c>
      <c r="AL29" s="204">
        <v>0</v>
      </c>
      <c r="AM29" s="204">
        <v>0</v>
      </c>
      <c r="AN29" s="204">
        <v>0</v>
      </c>
      <c r="AO29" s="204">
        <v>0</v>
      </c>
      <c r="AP29" s="204">
        <v>0</v>
      </c>
      <c r="AQ29" s="204">
        <v>0</v>
      </c>
      <c r="AR29" s="204">
        <v>0</v>
      </c>
      <c r="AS29" s="204">
        <v>0</v>
      </c>
      <c r="AT29" s="204">
        <v>0</v>
      </c>
      <c r="AU29" s="204">
        <v>0</v>
      </c>
      <c r="AV29" s="204">
        <v>0</v>
      </c>
      <c r="AW29" s="204">
        <v>0</v>
      </c>
      <c r="AX29" s="204">
        <v>0</v>
      </c>
      <c r="AY29" s="204">
        <v>0</v>
      </c>
    </row>
    <row r="30" spans="1:51" ht="15" customHeight="1" x14ac:dyDescent="0.25">
      <c r="A30" s="38">
        <v>2548</v>
      </c>
      <c r="B30" s="124" t="s">
        <v>468</v>
      </c>
      <c r="C30" s="40" t="s">
        <v>469</v>
      </c>
      <c r="D30" s="204">
        <v>3637.9597328794212</v>
      </c>
      <c r="E30" s="204">
        <v>3353.6782231672996</v>
      </c>
      <c r="F30" s="204">
        <v>3308.0058946538988</v>
      </c>
      <c r="G30" s="204">
        <v>3345.025272755568</v>
      </c>
      <c r="H30" s="204">
        <v>3624.6614224995774</v>
      </c>
      <c r="I30" s="204">
        <v>3305.6765474879285</v>
      </c>
      <c r="J30" s="204">
        <v>3456</v>
      </c>
      <c r="K30" s="204">
        <v>3083.6332211843933</v>
      </c>
      <c r="L30" s="204">
        <v>3455.9618068762484</v>
      </c>
      <c r="M30" s="204">
        <v>2969.9946911214629</v>
      </c>
      <c r="N30" s="204">
        <v>3271.1028673260294</v>
      </c>
      <c r="O30" s="204">
        <v>3654.8989917708932</v>
      </c>
      <c r="P30" s="204">
        <v>3346.9829410582029</v>
      </c>
      <c r="Q30" s="204">
        <v>3263.1383308727213</v>
      </c>
      <c r="R30" s="204">
        <v>3247.9942886228191</v>
      </c>
      <c r="S30" s="204">
        <v>3532.0056047920575</v>
      </c>
      <c r="T30" s="204">
        <v>3356.0043316792003</v>
      </c>
      <c r="U30" s="204">
        <v>3253.9944442382093</v>
      </c>
      <c r="V30" s="204">
        <v>3606.013256553269</v>
      </c>
      <c r="W30" s="204">
        <v>3272.0198018459382</v>
      </c>
      <c r="X30" s="204">
        <v>3471.0382196829819</v>
      </c>
      <c r="Y30" s="204">
        <v>3679.7058745811883</v>
      </c>
      <c r="Z30" s="204">
        <v>3449.9445178559749</v>
      </c>
      <c r="AA30" s="204">
        <v>3800.876512319845</v>
      </c>
      <c r="AB30" s="204">
        <v>3373.0654203618888</v>
      </c>
      <c r="AC30" s="204">
        <v>3527.0000000000005</v>
      </c>
      <c r="AD30" s="204">
        <v>2820</v>
      </c>
      <c r="AE30" s="204">
        <v>2736</v>
      </c>
      <c r="AF30" s="206">
        <v>2874</v>
      </c>
      <c r="AG30" s="204">
        <v>3060.0000000000005</v>
      </c>
      <c r="AH30" s="204">
        <v>2943</v>
      </c>
      <c r="AI30" s="204">
        <v>2865</v>
      </c>
      <c r="AJ30" s="204">
        <v>3174</v>
      </c>
      <c r="AK30" s="204">
        <v>4059.1468054678148</v>
      </c>
      <c r="AL30" s="204">
        <v>3360.95</v>
      </c>
      <c r="AM30" s="204">
        <v>2899</v>
      </c>
      <c r="AN30" s="204">
        <v>4757</v>
      </c>
      <c r="AO30" s="204">
        <v>2959</v>
      </c>
      <c r="AP30" s="204">
        <v>2969</v>
      </c>
      <c r="AQ30" s="204">
        <v>2992</v>
      </c>
      <c r="AR30" s="204">
        <v>2852</v>
      </c>
      <c r="AS30" s="204">
        <v>3249</v>
      </c>
      <c r="AT30" s="204">
        <v>3548</v>
      </c>
      <c r="AU30" s="204">
        <v>2906</v>
      </c>
      <c r="AV30" s="204">
        <v>5055</v>
      </c>
      <c r="AW30" s="204">
        <v>5262</v>
      </c>
      <c r="AX30" s="204">
        <v>5704</v>
      </c>
      <c r="AY30" s="204">
        <v>7418</v>
      </c>
    </row>
    <row r="31" spans="1:51" ht="15" customHeight="1" x14ac:dyDescent="0.25">
      <c r="A31" s="62">
        <v>2549</v>
      </c>
      <c r="B31" s="124" t="s">
        <v>470</v>
      </c>
      <c r="C31" s="208" t="s">
        <v>471</v>
      </c>
      <c r="D31" s="204">
        <v>2047.9990399576423</v>
      </c>
      <c r="E31" s="204">
        <v>1855.9859000755409</v>
      </c>
      <c r="F31" s="204">
        <v>1853.3212878816937</v>
      </c>
      <c r="G31" s="204">
        <v>1855.9873814265823</v>
      </c>
      <c r="H31" s="204">
        <v>2047.9886783546649</v>
      </c>
      <c r="I31" s="204">
        <v>1856.0247942791163</v>
      </c>
      <c r="J31" s="204">
        <v>1920</v>
      </c>
      <c r="K31" s="204">
        <v>1984.0266526295468</v>
      </c>
      <c r="L31" s="204">
        <v>1919.9854505065009</v>
      </c>
      <c r="M31" s="204">
        <v>1919.9616886083411</v>
      </c>
      <c r="N31" s="204">
        <v>2114.6142661654931</v>
      </c>
      <c r="O31" s="204">
        <v>2109.718739705037</v>
      </c>
      <c r="P31" s="204">
        <v>1920.0041485411618</v>
      </c>
      <c r="Q31" s="204">
        <v>1856.0193991698623</v>
      </c>
      <c r="R31" s="204">
        <v>1853.3241065029426</v>
      </c>
      <c r="S31" s="204">
        <v>1984.0116967920383</v>
      </c>
      <c r="T31" s="204">
        <v>1919.9832898505701</v>
      </c>
      <c r="U31" s="204">
        <v>1855.9750725147792</v>
      </c>
      <c r="V31" s="204">
        <v>2047.9791429534291</v>
      </c>
      <c r="W31" s="204">
        <v>1856.0197045865466</v>
      </c>
      <c r="X31" s="204">
        <v>1920.0170311741488</v>
      </c>
      <c r="Y31" s="204">
        <v>2048.0266465485588</v>
      </c>
      <c r="Z31" s="204">
        <v>1922.6420163248547</v>
      </c>
      <c r="AA31" s="204">
        <v>2176.01207187712</v>
      </c>
      <c r="AB31" s="204">
        <v>1920.0282461250613</v>
      </c>
      <c r="AC31" s="204">
        <v>2006</v>
      </c>
      <c r="AD31" s="204">
        <v>1589.0000000000002</v>
      </c>
      <c r="AE31" s="204">
        <v>0</v>
      </c>
      <c r="AF31" s="206">
        <v>0</v>
      </c>
      <c r="AG31" s="204">
        <v>0</v>
      </c>
      <c r="AH31" s="204">
        <v>0</v>
      </c>
      <c r="AI31" s="204">
        <v>0</v>
      </c>
      <c r="AJ31" s="204">
        <v>0</v>
      </c>
      <c r="AK31" s="204">
        <v>0</v>
      </c>
      <c r="AL31" s="204">
        <v>0</v>
      </c>
      <c r="AM31" s="204">
        <v>0</v>
      </c>
      <c r="AN31" s="204">
        <v>0</v>
      </c>
      <c r="AO31" s="204">
        <v>0</v>
      </c>
      <c r="AP31" s="204">
        <v>0</v>
      </c>
      <c r="AQ31" s="204">
        <v>0</v>
      </c>
      <c r="AR31" s="204">
        <v>0</v>
      </c>
      <c r="AS31" s="204">
        <v>0</v>
      </c>
      <c r="AT31" s="204">
        <v>0</v>
      </c>
      <c r="AU31" s="204">
        <v>0</v>
      </c>
      <c r="AV31" s="204">
        <v>0</v>
      </c>
      <c r="AW31" s="204">
        <v>0</v>
      </c>
      <c r="AX31" s="204">
        <v>0</v>
      </c>
      <c r="AY31" s="204">
        <v>0</v>
      </c>
    </row>
    <row r="32" spans="1:51" ht="15" customHeight="1" x14ac:dyDescent="0.25">
      <c r="A32" s="38" t="s">
        <v>327</v>
      </c>
      <c r="B32" s="1" t="s">
        <v>328</v>
      </c>
      <c r="C32" s="40" t="s">
        <v>329</v>
      </c>
      <c r="D32" s="204">
        <v>20873.99542592575</v>
      </c>
      <c r="E32" s="204">
        <v>17734.969018470507</v>
      </c>
      <c r="F32" s="204">
        <v>17065.879413546463</v>
      </c>
      <c r="G32" s="204">
        <v>14751.132036856992</v>
      </c>
      <c r="H32" s="204">
        <v>15552.026474387929</v>
      </c>
      <c r="I32" s="204">
        <v>12279.019052140378</v>
      </c>
      <c r="J32" s="204">
        <v>13051.994730034348</v>
      </c>
      <c r="K32" s="204">
        <v>14770.971864895439</v>
      </c>
      <c r="L32" s="204">
        <v>15702.958937294534</v>
      </c>
      <c r="M32" s="204">
        <v>17834.870824777485</v>
      </c>
      <c r="N32" s="204">
        <v>15479.788484457875</v>
      </c>
      <c r="O32" s="204">
        <v>14604.873617599102</v>
      </c>
      <c r="P32" s="204">
        <v>15116.991684144097</v>
      </c>
      <c r="Q32" s="204">
        <v>15257.053457292066</v>
      </c>
      <c r="R32" s="204">
        <v>12421.013195363852</v>
      </c>
      <c r="S32" s="204">
        <v>12785.021062087468</v>
      </c>
      <c r="T32" s="204">
        <v>10924.002628606597</v>
      </c>
      <c r="U32" s="204">
        <v>10036.977321859295</v>
      </c>
      <c r="V32" s="204">
        <v>13026.973771482584</v>
      </c>
      <c r="W32" s="204">
        <v>13966.981420468743</v>
      </c>
      <c r="X32" s="204">
        <v>15727.970858326156</v>
      </c>
      <c r="Y32" s="204">
        <v>14414.02488212698</v>
      </c>
      <c r="Z32" s="204">
        <v>14812.970280105528</v>
      </c>
      <c r="AA32" s="204">
        <v>19530.943466534238</v>
      </c>
      <c r="AB32" s="204">
        <v>13149.99774509515</v>
      </c>
      <c r="AC32" s="204">
        <v>13900</v>
      </c>
      <c r="AD32" s="204">
        <v>10293</v>
      </c>
      <c r="AE32" s="204">
        <v>4795</v>
      </c>
      <c r="AF32" s="206">
        <v>9110</v>
      </c>
      <c r="AG32" s="204">
        <v>9798</v>
      </c>
      <c r="AH32" s="204">
        <v>9170</v>
      </c>
      <c r="AI32" s="204">
        <v>8978</v>
      </c>
      <c r="AJ32" s="204">
        <v>9883</v>
      </c>
      <c r="AK32" s="204">
        <v>10289.723114918967</v>
      </c>
      <c r="AL32" s="204">
        <v>10793</v>
      </c>
      <c r="AM32" s="204">
        <v>9858</v>
      </c>
      <c r="AN32" s="204">
        <v>10910</v>
      </c>
      <c r="AO32" s="204">
        <v>9382</v>
      </c>
      <c r="AP32" s="204">
        <v>9584</v>
      </c>
      <c r="AQ32" s="204">
        <v>8634</v>
      </c>
      <c r="AR32" s="204">
        <v>8251</v>
      </c>
      <c r="AS32" s="204">
        <v>9521</v>
      </c>
      <c r="AT32" s="204">
        <v>8640</v>
      </c>
      <c r="AU32" s="204">
        <v>9000</v>
      </c>
      <c r="AV32" s="204">
        <v>12157</v>
      </c>
      <c r="AW32" s="204">
        <v>10558</v>
      </c>
      <c r="AX32" s="204">
        <v>11614</v>
      </c>
      <c r="AY32" s="204">
        <v>12014</v>
      </c>
    </row>
    <row r="33" spans="1:51" ht="15" customHeight="1" x14ac:dyDescent="0.25">
      <c r="A33" s="38" t="s">
        <v>37</v>
      </c>
      <c r="B33" s="1" t="s">
        <v>38</v>
      </c>
      <c r="C33" s="40" t="s">
        <v>39</v>
      </c>
      <c r="D33" s="204">
        <v>49890.961500531441</v>
      </c>
      <c r="E33" s="204">
        <v>43051.997142560293</v>
      </c>
      <c r="F33" s="204">
        <v>39683.026600520447</v>
      </c>
      <c r="G33" s="204">
        <v>40902.038436044895</v>
      </c>
      <c r="H33" s="204">
        <v>39933.913421870748</v>
      </c>
      <c r="I33" s="204">
        <v>37758.01746001681</v>
      </c>
      <c r="J33" s="204">
        <v>37755.984516513803</v>
      </c>
      <c r="K33" s="204">
        <v>37578.075121502421</v>
      </c>
      <c r="L33" s="204">
        <v>39158.844212168413</v>
      </c>
      <c r="M33" s="204">
        <v>40883.740406856035</v>
      </c>
      <c r="N33" s="204">
        <v>42690.456806372466</v>
      </c>
      <c r="O33" s="204">
        <v>37786.757818810933</v>
      </c>
      <c r="P33" s="204">
        <v>37262.012646049785</v>
      </c>
      <c r="Q33" s="204">
        <v>37664.086572256572</v>
      </c>
      <c r="R33" s="204">
        <v>39209.012023643561</v>
      </c>
      <c r="S33" s="204">
        <v>40127.009524492569</v>
      </c>
      <c r="T33" s="204">
        <v>36108.005100339593</v>
      </c>
      <c r="U33" s="204">
        <v>34241.02516648954</v>
      </c>
      <c r="V33" s="204">
        <v>35184.888253308978</v>
      </c>
      <c r="W33" s="204">
        <v>35424.962323077976</v>
      </c>
      <c r="X33" s="204">
        <v>46518.968021097091</v>
      </c>
      <c r="Y33" s="204">
        <v>49668.011370897679</v>
      </c>
      <c r="Z33" s="204">
        <v>47779.928749558399</v>
      </c>
      <c r="AA33" s="204">
        <v>47447.869756356704</v>
      </c>
      <c r="AB33" s="204">
        <v>43313.082370077813</v>
      </c>
      <c r="AC33" s="204">
        <v>38216</v>
      </c>
      <c r="AD33" s="204">
        <v>29072.999999999996</v>
      </c>
      <c r="AE33" s="204">
        <v>17278</v>
      </c>
      <c r="AF33" s="206">
        <v>14857</v>
      </c>
      <c r="AG33" s="204">
        <v>16594</v>
      </c>
      <c r="AH33" s="204">
        <v>17351</v>
      </c>
      <c r="AI33" s="204">
        <v>20170</v>
      </c>
      <c r="AJ33" s="204">
        <v>29068</v>
      </c>
      <c r="AK33" s="204">
        <v>21735.20386995254</v>
      </c>
      <c r="AL33" s="204">
        <v>20131</v>
      </c>
      <c r="AM33" s="204">
        <v>15333</v>
      </c>
      <c r="AN33" s="204">
        <v>16699</v>
      </c>
      <c r="AO33" s="204">
        <v>14891</v>
      </c>
      <c r="AP33" s="204">
        <v>16282</v>
      </c>
      <c r="AQ33" s="204">
        <v>17290</v>
      </c>
      <c r="AR33" s="204">
        <v>20376</v>
      </c>
      <c r="AS33" s="204">
        <v>29042</v>
      </c>
      <c r="AT33" s="204">
        <v>26797</v>
      </c>
      <c r="AU33" s="204">
        <v>30874</v>
      </c>
      <c r="AV33" s="204">
        <v>36759</v>
      </c>
      <c r="AW33" s="204">
        <v>39944</v>
      </c>
      <c r="AX33" s="204">
        <v>41538</v>
      </c>
      <c r="AY33" s="204">
        <v>33855</v>
      </c>
    </row>
    <row r="34" spans="1:51" ht="15" customHeight="1" x14ac:dyDescent="0.25">
      <c r="A34" s="38" t="s">
        <v>208</v>
      </c>
      <c r="B34" s="1" t="s">
        <v>209</v>
      </c>
      <c r="C34" s="40" t="s">
        <v>210</v>
      </c>
      <c r="D34" s="204">
        <v>68307.81164786288</v>
      </c>
      <c r="E34" s="204">
        <v>61903.975698593669</v>
      </c>
      <c r="F34" s="204">
        <v>61815.103239980112</v>
      </c>
      <c r="G34" s="204">
        <v>61903.97660810205</v>
      </c>
      <c r="H34" s="204">
        <v>68295.031576375986</v>
      </c>
      <c r="I34" s="204">
        <v>54651.200000000012</v>
      </c>
      <c r="J34" s="204">
        <v>48700</v>
      </c>
      <c r="K34" s="204">
        <v>56246.441139324845</v>
      </c>
      <c r="L34" s="204">
        <v>71709.166806655179</v>
      </c>
      <c r="M34" s="204">
        <v>67709.77249436891</v>
      </c>
      <c r="N34" s="204">
        <v>66722.352791129772</v>
      </c>
      <c r="O34" s="204">
        <v>47977.652952083736</v>
      </c>
      <c r="P34" s="204">
        <v>51323.055451170505</v>
      </c>
      <c r="Q34" s="204">
        <v>52914.039046672806</v>
      </c>
      <c r="R34" s="204">
        <v>51067.104684118967</v>
      </c>
      <c r="S34" s="204">
        <v>63590.008760108911</v>
      </c>
      <c r="T34" s="204">
        <v>41982.223023871658</v>
      </c>
      <c r="U34" s="204">
        <v>34844.556189386749</v>
      </c>
      <c r="V34" s="204">
        <v>45599.843980840153</v>
      </c>
      <c r="W34" s="204">
        <v>47060.44081125658</v>
      </c>
      <c r="X34" s="204">
        <v>74349.482728508272</v>
      </c>
      <c r="Y34" s="204">
        <v>70106.139778844401</v>
      </c>
      <c r="Z34" s="204">
        <v>60519.332498408985</v>
      </c>
      <c r="AA34" s="204">
        <v>52572.090665555086</v>
      </c>
      <c r="AB34" s="204">
        <v>46422.036383204802</v>
      </c>
      <c r="AC34" s="204">
        <v>58222.000000000007</v>
      </c>
      <c r="AD34" s="204">
        <v>44349</v>
      </c>
      <c r="AE34" s="204">
        <v>10353.92</v>
      </c>
      <c r="AF34" s="206">
        <v>10895</v>
      </c>
      <c r="AG34" s="204">
        <v>11084</v>
      </c>
      <c r="AH34" s="204">
        <v>12488</v>
      </c>
      <c r="AI34" s="204">
        <v>13681</v>
      </c>
      <c r="AJ34" s="204">
        <v>13589</v>
      </c>
      <c r="AK34" s="204">
        <v>12971.509689110613</v>
      </c>
      <c r="AL34" s="204">
        <v>13948</v>
      </c>
      <c r="AM34" s="204">
        <v>12718</v>
      </c>
      <c r="AN34" s="204">
        <v>13321</v>
      </c>
      <c r="AO34" s="204">
        <v>13020</v>
      </c>
      <c r="AP34" s="204">
        <v>13000</v>
      </c>
      <c r="AQ34" s="204">
        <v>13114</v>
      </c>
      <c r="AR34" s="204">
        <v>10632</v>
      </c>
      <c r="AS34" s="204">
        <v>11732</v>
      </c>
      <c r="AT34" s="204">
        <v>12433</v>
      </c>
      <c r="AU34" s="204">
        <v>13386</v>
      </c>
      <c r="AV34" s="204">
        <v>14600</v>
      </c>
      <c r="AW34" s="204">
        <v>13396</v>
      </c>
      <c r="AX34" s="204">
        <v>14846</v>
      </c>
      <c r="AY34" s="204">
        <v>10724</v>
      </c>
    </row>
    <row r="35" spans="1:51" ht="15" customHeight="1" x14ac:dyDescent="0.25">
      <c r="A35" s="115" t="s">
        <v>516</v>
      </c>
      <c r="B35" s="143" t="s">
        <v>517</v>
      </c>
      <c r="C35" s="205" t="s">
        <v>518</v>
      </c>
      <c r="D35" s="204">
        <v>1480733</v>
      </c>
      <c r="E35" s="204">
        <v>1463664</v>
      </c>
      <c r="F35" s="204">
        <v>1508271</v>
      </c>
      <c r="G35" s="204">
        <v>1445666</v>
      </c>
      <c r="H35" s="204">
        <v>1489141</v>
      </c>
      <c r="I35" s="204">
        <v>1487504</v>
      </c>
      <c r="J35" s="204">
        <v>1662953</v>
      </c>
      <c r="K35" s="204">
        <v>1577855</v>
      </c>
      <c r="L35" s="204">
        <v>1480509</v>
      </c>
      <c r="M35" s="204">
        <v>1585298</v>
      </c>
      <c r="N35" s="204">
        <v>1601323</v>
      </c>
      <c r="O35" s="204">
        <v>1644730</v>
      </c>
      <c r="P35" s="204">
        <v>1397699</v>
      </c>
      <c r="Q35" s="204">
        <v>1552363.927734375</v>
      </c>
      <c r="R35" s="204">
        <v>1429781</v>
      </c>
      <c r="S35" s="204">
        <v>1417913</v>
      </c>
      <c r="T35" s="204">
        <v>1513217</v>
      </c>
      <c r="U35" s="204">
        <v>1582560.03</v>
      </c>
      <c r="V35" s="204">
        <v>1403956.03</v>
      </c>
      <c r="W35" s="204">
        <v>1693852</v>
      </c>
      <c r="X35" s="204">
        <v>1655851</v>
      </c>
      <c r="Y35" s="204">
        <v>1516025</v>
      </c>
      <c r="Z35" s="204">
        <v>1759271</v>
      </c>
      <c r="AA35" s="204">
        <v>1515954</v>
      </c>
      <c r="AB35" s="204">
        <v>1550859.99</v>
      </c>
      <c r="AC35" s="204">
        <v>1540012</v>
      </c>
      <c r="AD35" s="204">
        <v>1443959</v>
      </c>
      <c r="AE35" s="204">
        <v>1492988.71</v>
      </c>
      <c r="AF35" s="206">
        <v>1607565.25</v>
      </c>
      <c r="AG35" s="204">
        <v>1397272.99</v>
      </c>
      <c r="AH35" s="204">
        <v>1509025</v>
      </c>
      <c r="AI35" s="204">
        <v>1571825</v>
      </c>
      <c r="AJ35" s="204">
        <v>1507314</v>
      </c>
      <c r="AK35" s="204">
        <v>1557949.7556643905</v>
      </c>
      <c r="AL35" s="204">
        <v>1669826</v>
      </c>
      <c r="AM35" s="204">
        <v>1550991</v>
      </c>
      <c r="AN35" s="204">
        <v>1300387</v>
      </c>
      <c r="AO35" s="204">
        <v>1307525</v>
      </c>
      <c r="AP35" s="204">
        <v>1308225</v>
      </c>
      <c r="AQ35" s="204">
        <v>1416776</v>
      </c>
      <c r="AR35" s="204">
        <v>1460665</v>
      </c>
      <c r="AS35" s="204">
        <v>1419388</v>
      </c>
      <c r="AT35" s="204">
        <v>1251725</v>
      </c>
      <c r="AU35" s="204">
        <v>1346438</v>
      </c>
      <c r="AV35" s="204">
        <v>1258924</v>
      </c>
      <c r="AW35" s="204">
        <v>1368798</v>
      </c>
      <c r="AX35" s="204">
        <v>1440676</v>
      </c>
      <c r="AY35" s="204">
        <v>1340800</v>
      </c>
    </row>
    <row r="36" spans="1:51" ht="15" customHeight="1" x14ac:dyDescent="0.25">
      <c r="A36" s="115" t="s">
        <v>519</v>
      </c>
      <c r="B36" s="143" t="s">
        <v>520</v>
      </c>
      <c r="C36" s="205" t="s">
        <v>521</v>
      </c>
      <c r="D36" s="204">
        <v>17360</v>
      </c>
      <c r="E36" s="204">
        <v>17360</v>
      </c>
      <c r="F36" s="204">
        <v>17360</v>
      </c>
      <c r="G36" s="204">
        <v>17360</v>
      </c>
      <c r="H36" s="204">
        <v>17472</v>
      </c>
      <c r="I36" s="204">
        <v>17693</v>
      </c>
      <c r="J36" s="204">
        <v>17968</v>
      </c>
      <c r="K36" s="204">
        <v>17560</v>
      </c>
      <c r="L36" s="204">
        <v>16927</v>
      </c>
      <c r="M36" s="204">
        <v>17468</v>
      </c>
      <c r="N36" s="204">
        <v>15274</v>
      </c>
      <c r="O36" s="204">
        <v>13841</v>
      </c>
      <c r="P36" s="204">
        <v>17360</v>
      </c>
      <c r="Q36" s="204">
        <v>13826.615234375</v>
      </c>
      <c r="R36" s="204">
        <v>17360</v>
      </c>
      <c r="S36" s="204">
        <v>17360</v>
      </c>
      <c r="T36" s="204">
        <v>16688</v>
      </c>
      <c r="U36" s="204">
        <v>16548</v>
      </c>
      <c r="V36" s="204">
        <v>16548</v>
      </c>
      <c r="W36" s="204">
        <v>17643</v>
      </c>
      <c r="X36" s="204">
        <v>16993</v>
      </c>
      <c r="Y36" s="204">
        <v>17057</v>
      </c>
      <c r="Z36" s="204">
        <v>15316</v>
      </c>
      <c r="AA36" s="204">
        <v>14617</v>
      </c>
      <c r="AB36" s="204">
        <v>15605</v>
      </c>
      <c r="AC36" s="204">
        <v>14967</v>
      </c>
      <c r="AD36" s="204">
        <v>14210</v>
      </c>
      <c r="AE36" s="204">
        <v>12019.03</v>
      </c>
      <c r="AF36" s="206">
        <v>12924</v>
      </c>
      <c r="AG36" s="204">
        <v>12312</v>
      </c>
      <c r="AH36" s="204">
        <v>12698</v>
      </c>
      <c r="AI36" s="204">
        <v>12512</v>
      </c>
      <c r="AJ36" s="204">
        <v>12325</v>
      </c>
      <c r="AK36" s="204">
        <v>12487.997795113337</v>
      </c>
      <c r="AL36" s="204">
        <v>9834</v>
      </c>
      <c r="AM36" s="204">
        <v>7448</v>
      </c>
      <c r="AN36" s="204">
        <v>7771</v>
      </c>
      <c r="AO36" s="204">
        <v>7894</v>
      </c>
      <c r="AP36" s="204">
        <v>8261</v>
      </c>
      <c r="AQ36" s="204">
        <v>8488</v>
      </c>
      <c r="AR36" s="204">
        <v>9023</v>
      </c>
      <c r="AS36" s="204">
        <v>3908</v>
      </c>
      <c r="AT36" s="204">
        <v>9281</v>
      </c>
      <c r="AU36" s="204">
        <v>10389</v>
      </c>
      <c r="AV36" s="204">
        <v>9801</v>
      </c>
      <c r="AW36" s="204">
        <v>7380</v>
      </c>
      <c r="AX36" s="204">
        <v>7761</v>
      </c>
      <c r="AY36" s="204">
        <v>8103</v>
      </c>
    </row>
    <row r="37" spans="1:51" ht="15" customHeight="1" x14ac:dyDescent="0.25">
      <c r="A37" s="38" t="s">
        <v>52</v>
      </c>
      <c r="B37" s="1" t="s">
        <v>53</v>
      </c>
      <c r="C37" s="40" t="s">
        <v>54</v>
      </c>
      <c r="D37" s="204">
        <v>7167.9966398517481</v>
      </c>
      <c r="E37" s="204">
        <v>6495.9837703953772</v>
      </c>
      <c r="F37" s="204">
        <v>6486.6903870572733</v>
      </c>
      <c r="G37" s="204">
        <v>6538.5346406479002</v>
      </c>
      <c r="H37" s="204">
        <v>6955.3251210159178</v>
      </c>
      <c r="I37" s="204">
        <v>6903.0449292451749</v>
      </c>
      <c r="J37" s="204">
        <v>6720.0104241467534</v>
      </c>
      <c r="K37" s="204">
        <v>6943.9721888266658</v>
      </c>
      <c r="L37" s="204">
        <v>14924.917379417895</v>
      </c>
      <c r="M37" s="204">
        <v>13491.891193428859</v>
      </c>
      <c r="N37" s="204">
        <v>11172.371266265818</v>
      </c>
      <c r="O37" s="204">
        <v>8037.6152031178199</v>
      </c>
      <c r="P37" s="204">
        <v>6720.0145198940663</v>
      </c>
      <c r="Q37" s="204">
        <v>6850.25</v>
      </c>
      <c r="R37" s="204">
        <v>6486.6939536805885</v>
      </c>
      <c r="S37" s="204">
        <v>7732.9999999999991</v>
      </c>
      <c r="T37" s="204">
        <v>8553.9466666666667</v>
      </c>
      <c r="U37" s="204">
        <v>9101.9867303339342</v>
      </c>
      <c r="V37" s="204">
        <v>11053</v>
      </c>
      <c r="W37" s="204">
        <v>6496.0148231210396</v>
      </c>
      <c r="X37" s="204">
        <v>9352</v>
      </c>
      <c r="Y37" s="204">
        <v>11398</v>
      </c>
      <c r="Z37" s="204">
        <v>11526</v>
      </c>
      <c r="AA37" s="204">
        <v>9202.9563565218323</v>
      </c>
      <c r="AB37" s="204">
        <v>9170</v>
      </c>
      <c r="AC37" s="204">
        <v>9922</v>
      </c>
      <c r="AD37" s="204">
        <v>7305</v>
      </c>
      <c r="AE37" s="204">
        <v>6128</v>
      </c>
      <c r="AF37" s="206">
        <v>5822</v>
      </c>
      <c r="AG37" s="204">
        <v>5120</v>
      </c>
      <c r="AH37" s="204">
        <v>5760</v>
      </c>
      <c r="AI37" s="204">
        <v>11418</v>
      </c>
      <c r="AJ37" s="204">
        <v>12094</v>
      </c>
      <c r="AK37" s="204">
        <v>10857.855531299272</v>
      </c>
      <c r="AL37" s="204">
        <v>8574</v>
      </c>
      <c r="AM37" s="204">
        <v>5741</v>
      </c>
      <c r="AN37" s="204">
        <v>7044</v>
      </c>
      <c r="AO37" s="204">
        <v>5683</v>
      </c>
      <c r="AP37" s="204">
        <v>6198</v>
      </c>
      <c r="AQ37" s="204">
        <v>7578</v>
      </c>
      <c r="AR37" s="204">
        <v>8473</v>
      </c>
      <c r="AS37" s="204">
        <v>9495</v>
      </c>
      <c r="AT37" s="204">
        <v>10138</v>
      </c>
      <c r="AU37" s="204">
        <v>11138</v>
      </c>
      <c r="AV37" s="204">
        <v>11905</v>
      </c>
      <c r="AW37" s="204">
        <v>8433</v>
      </c>
      <c r="AX37" s="204">
        <v>6992</v>
      </c>
      <c r="AY37" s="204">
        <v>6993</v>
      </c>
    </row>
    <row r="38" spans="1:51" ht="15" customHeight="1" x14ac:dyDescent="0.25">
      <c r="A38" s="62">
        <v>3160</v>
      </c>
      <c r="B38" s="207" t="s">
        <v>551</v>
      </c>
      <c r="C38" s="40" t="s">
        <v>552</v>
      </c>
      <c r="D38" s="204">
        <v>47060</v>
      </c>
      <c r="E38" s="204">
        <v>47060</v>
      </c>
      <c r="F38" s="204">
        <v>47060</v>
      </c>
      <c r="G38" s="204">
        <v>47060</v>
      </c>
      <c r="H38" s="204">
        <v>52680</v>
      </c>
      <c r="I38" s="204">
        <v>49476</v>
      </c>
      <c r="J38" s="204">
        <v>47145</v>
      </c>
      <c r="K38" s="204">
        <v>47977</v>
      </c>
      <c r="L38" s="204">
        <v>45302</v>
      </c>
      <c r="M38" s="204">
        <v>45718</v>
      </c>
      <c r="N38" s="204">
        <v>41106</v>
      </c>
      <c r="O38" s="204">
        <v>39046</v>
      </c>
      <c r="P38" s="204">
        <v>47060</v>
      </c>
      <c r="Q38" s="204">
        <v>38354.45703125</v>
      </c>
      <c r="R38" s="204">
        <v>47060</v>
      </c>
      <c r="S38" s="204">
        <v>47060</v>
      </c>
      <c r="T38" s="204">
        <v>41863</v>
      </c>
      <c r="U38" s="204">
        <v>40745.97</v>
      </c>
      <c r="V38" s="204">
        <v>40745.97</v>
      </c>
      <c r="W38" s="204">
        <v>47836</v>
      </c>
      <c r="X38" s="204">
        <v>47661</v>
      </c>
      <c r="Y38" s="204">
        <v>48905</v>
      </c>
      <c r="Z38" s="204">
        <v>45841</v>
      </c>
      <c r="AA38" s="204">
        <v>43802</v>
      </c>
      <c r="AB38" s="204">
        <v>43684.01</v>
      </c>
      <c r="AC38" s="204">
        <v>40327</v>
      </c>
      <c r="AD38" s="204">
        <v>40472</v>
      </c>
      <c r="AE38" s="204">
        <v>36066.26</v>
      </c>
      <c r="AF38" s="206">
        <v>34552.75</v>
      </c>
      <c r="AG38" s="204">
        <v>38399.01</v>
      </c>
      <c r="AH38" s="204">
        <v>38689</v>
      </c>
      <c r="AI38" s="204">
        <v>39812</v>
      </c>
      <c r="AJ38" s="204">
        <v>40348</v>
      </c>
      <c r="AK38" s="204">
        <v>40850.506596221137</v>
      </c>
      <c r="AL38" s="204">
        <v>39916</v>
      </c>
      <c r="AM38" s="204">
        <v>41055</v>
      </c>
      <c r="AN38" s="204">
        <v>41045</v>
      </c>
      <c r="AO38" s="204">
        <v>37390</v>
      </c>
      <c r="AP38" s="204">
        <v>41859</v>
      </c>
      <c r="AQ38" s="204">
        <v>41214</v>
      </c>
      <c r="AR38" s="204">
        <v>41649</v>
      </c>
      <c r="AS38" s="204">
        <v>18271</v>
      </c>
      <c r="AT38" s="204">
        <v>44267</v>
      </c>
      <c r="AU38" s="204">
        <v>46478</v>
      </c>
      <c r="AV38" s="204">
        <v>46961</v>
      </c>
      <c r="AW38" s="204">
        <v>50580</v>
      </c>
      <c r="AX38" s="204">
        <v>49932</v>
      </c>
      <c r="AY38" s="204">
        <v>46973</v>
      </c>
    </row>
    <row r="39" spans="1:51" ht="15" customHeight="1" x14ac:dyDescent="0.25">
      <c r="A39" s="38" t="s">
        <v>40</v>
      </c>
      <c r="B39" s="1" t="s">
        <v>41</v>
      </c>
      <c r="C39" s="40" t="s">
        <v>42</v>
      </c>
      <c r="D39" s="204">
        <v>14117.879781114989</v>
      </c>
      <c r="E39" s="204">
        <v>13575.875450036832</v>
      </c>
      <c r="F39" s="204">
        <v>13703.588834504162</v>
      </c>
      <c r="G39" s="204">
        <v>14372.243330921237</v>
      </c>
      <c r="H39" s="204">
        <v>16009.282227328311</v>
      </c>
      <c r="I39" s="204">
        <v>14443.488252251578</v>
      </c>
      <c r="J39" s="204">
        <v>17118.115147267992</v>
      </c>
      <c r="K39" s="204">
        <v>18224.733105108287</v>
      </c>
      <c r="L39" s="204">
        <v>17043.149475428258</v>
      </c>
      <c r="M39" s="204">
        <v>15901.278637953865</v>
      </c>
      <c r="N39" s="204">
        <v>17478.879595790047</v>
      </c>
      <c r="O39" s="204">
        <v>16544.467429928001</v>
      </c>
      <c r="P39" s="204">
        <v>14873.653498435238</v>
      </c>
      <c r="Q39" s="204">
        <v>14119.120951440433</v>
      </c>
      <c r="R39" s="204">
        <v>15275.952152841559</v>
      </c>
      <c r="S39" s="204">
        <v>17255.689281164199</v>
      </c>
      <c r="T39" s="204">
        <v>17290.173981066833</v>
      </c>
      <c r="U39" s="204">
        <v>17249.738252697451</v>
      </c>
      <c r="V39" s="204">
        <v>21289.750622348234</v>
      </c>
      <c r="W39" s="204">
        <v>20542.857068101603</v>
      </c>
      <c r="X39" s="204">
        <v>22664.296425874763</v>
      </c>
      <c r="Y39" s="204">
        <v>22833.969604430651</v>
      </c>
      <c r="Z39" s="204">
        <v>20624.059225862493</v>
      </c>
      <c r="AA39" s="204">
        <v>22190.301655828633</v>
      </c>
      <c r="AB39" s="204">
        <v>19991.258492731693</v>
      </c>
      <c r="AC39" s="204">
        <v>21772</v>
      </c>
      <c r="AD39" s="204">
        <v>19358</v>
      </c>
      <c r="AE39" s="204">
        <v>15684.999999999998</v>
      </c>
      <c r="AF39" s="206">
        <v>15298</v>
      </c>
      <c r="AG39" s="204">
        <v>17533</v>
      </c>
      <c r="AH39" s="204">
        <v>16943</v>
      </c>
      <c r="AI39" s="204">
        <v>16736</v>
      </c>
      <c r="AJ39" s="204">
        <v>17953</v>
      </c>
      <c r="AK39" s="204">
        <v>16744.815975765643</v>
      </c>
      <c r="AL39" s="204">
        <v>17354</v>
      </c>
      <c r="AM39" s="204">
        <v>16309</v>
      </c>
      <c r="AN39" s="204">
        <v>16333</v>
      </c>
      <c r="AO39" s="204">
        <v>11495</v>
      </c>
      <c r="AP39" s="204">
        <v>10468</v>
      </c>
      <c r="AQ39" s="204">
        <v>9940</v>
      </c>
      <c r="AR39" s="204">
        <v>9448</v>
      </c>
      <c r="AS39" s="204">
        <v>6205</v>
      </c>
      <c r="AT39" s="204">
        <v>6014</v>
      </c>
      <c r="AU39" s="204">
        <v>9575</v>
      </c>
      <c r="AV39" s="204">
        <v>5000</v>
      </c>
      <c r="AW39" s="204">
        <v>5203</v>
      </c>
      <c r="AX39" s="204">
        <v>5460</v>
      </c>
      <c r="AY39" s="204">
        <v>5239</v>
      </c>
    </row>
    <row r="40" spans="1:51" ht="15" customHeight="1" x14ac:dyDescent="0.25">
      <c r="A40" s="38" t="s">
        <v>435</v>
      </c>
      <c r="B40" s="1" t="s">
        <v>436</v>
      </c>
      <c r="C40" s="258" t="s">
        <v>437</v>
      </c>
      <c r="D40" s="204">
        <v>0</v>
      </c>
      <c r="E40" s="204">
        <v>0</v>
      </c>
      <c r="F40" s="204">
        <v>0</v>
      </c>
      <c r="G40" s="204">
        <v>0</v>
      </c>
      <c r="H40" s="204">
        <v>0</v>
      </c>
      <c r="I40" s="204">
        <v>0</v>
      </c>
      <c r="J40" s="204">
        <v>0</v>
      </c>
      <c r="K40" s="204">
        <v>0</v>
      </c>
      <c r="L40" s="204">
        <v>0</v>
      </c>
      <c r="M40" s="204">
        <v>0</v>
      </c>
      <c r="N40" s="204">
        <v>0</v>
      </c>
      <c r="O40" s="204">
        <v>0</v>
      </c>
      <c r="P40" s="204">
        <v>0</v>
      </c>
      <c r="Q40" s="204">
        <v>0</v>
      </c>
      <c r="R40" s="204">
        <v>0</v>
      </c>
      <c r="S40" s="204">
        <v>0</v>
      </c>
      <c r="T40" s="204">
        <v>0</v>
      </c>
      <c r="U40" s="204">
        <v>0</v>
      </c>
      <c r="V40" s="204">
        <v>0</v>
      </c>
      <c r="W40" s="204">
        <v>0</v>
      </c>
      <c r="X40" s="204">
        <v>0</v>
      </c>
      <c r="Y40" s="204">
        <v>0</v>
      </c>
      <c r="Z40" s="204">
        <v>0</v>
      </c>
      <c r="AA40" s="204">
        <v>0</v>
      </c>
      <c r="AB40" s="204">
        <v>0</v>
      </c>
      <c r="AC40" s="204">
        <v>0</v>
      </c>
      <c r="AD40" s="204">
        <v>0</v>
      </c>
      <c r="AE40" s="204">
        <v>0</v>
      </c>
      <c r="AF40" s="206">
        <v>0</v>
      </c>
      <c r="AG40" s="204">
        <v>0</v>
      </c>
      <c r="AH40" s="204">
        <v>0</v>
      </c>
      <c r="AI40" s="204">
        <v>0</v>
      </c>
      <c r="AJ40" s="204">
        <v>0</v>
      </c>
      <c r="AK40" s="204">
        <v>0</v>
      </c>
      <c r="AL40" s="204">
        <v>0</v>
      </c>
      <c r="AM40" s="204">
        <v>0</v>
      </c>
      <c r="AN40" s="204">
        <v>0</v>
      </c>
      <c r="AO40" s="204">
        <v>0</v>
      </c>
      <c r="AP40" s="204">
        <v>0</v>
      </c>
      <c r="AQ40" s="204">
        <v>0</v>
      </c>
      <c r="AR40" s="204">
        <v>0</v>
      </c>
      <c r="AS40" s="204">
        <v>0</v>
      </c>
      <c r="AT40" s="204">
        <v>0</v>
      </c>
      <c r="AU40" s="204">
        <v>0</v>
      </c>
      <c r="AV40" s="204">
        <v>0</v>
      </c>
      <c r="AW40" s="204">
        <v>0</v>
      </c>
      <c r="AX40" s="204">
        <v>0</v>
      </c>
      <c r="AY40" s="204">
        <v>0</v>
      </c>
    </row>
    <row r="41" spans="1:51" ht="15" customHeight="1" x14ac:dyDescent="0.25">
      <c r="A41" s="62" t="s">
        <v>598</v>
      </c>
      <c r="B41" s="142" t="s">
        <v>599</v>
      </c>
      <c r="C41" s="342" t="s">
        <v>600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0</v>
      </c>
      <c r="J41" s="204">
        <v>0</v>
      </c>
      <c r="K41" s="204">
        <v>0</v>
      </c>
      <c r="L41" s="204">
        <v>0</v>
      </c>
      <c r="M41" s="204">
        <v>0</v>
      </c>
      <c r="N41" s="204">
        <v>0</v>
      </c>
      <c r="O41" s="204">
        <v>0</v>
      </c>
      <c r="P41" s="204">
        <v>0</v>
      </c>
      <c r="Q41" s="204">
        <v>0</v>
      </c>
      <c r="R41" s="204">
        <v>0</v>
      </c>
      <c r="S41" s="204">
        <v>0</v>
      </c>
      <c r="T41" s="204">
        <v>0</v>
      </c>
      <c r="U41" s="204">
        <v>0</v>
      </c>
      <c r="V41" s="204">
        <v>0</v>
      </c>
      <c r="W41" s="204">
        <v>0</v>
      </c>
      <c r="X41" s="204">
        <v>0</v>
      </c>
      <c r="Y41" s="204">
        <v>0</v>
      </c>
      <c r="Z41" s="204">
        <v>0</v>
      </c>
      <c r="AA41" s="204">
        <v>0</v>
      </c>
      <c r="AB41" s="204">
        <v>0</v>
      </c>
      <c r="AC41" s="204">
        <v>0</v>
      </c>
      <c r="AD41" s="204">
        <v>0</v>
      </c>
      <c r="AE41" s="204">
        <v>0</v>
      </c>
      <c r="AF41" s="206">
        <v>0</v>
      </c>
      <c r="AG41" s="204">
        <v>0</v>
      </c>
      <c r="AH41" s="204">
        <v>0</v>
      </c>
      <c r="AI41" s="204">
        <v>0</v>
      </c>
      <c r="AJ41" s="204">
        <v>0</v>
      </c>
      <c r="AK41" s="204">
        <v>0</v>
      </c>
      <c r="AL41" s="204">
        <v>0</v>
      </c>
      <c r="AM41" s="204">
        <v>0</v>
      </c>
      <c r="AN41" s="204">
        <v>0</v>
      </c>
      <c r="AO41" s="204">
        <v>0</v>
      </c>
      <c r="AP41" s="204">
        <v>0</v>
      </c>
      <c r="AQ41" s="204">
        <v>0</v>
      </c>
      <c r="AR41" s="204">
        <v>0</v>
      </c>
      <c r="AS41" s="204">
        <v>0</v>
      </c>
      <c r="AT41" s="204">
        <v>0</v>
      </c>
      <c r="AU41" s="204">
        <v>0</v>
      </c>
      <c r="AV41" s="204">
        <v>0</v>
      </c>
      <c r="AW41" s="204">
        <v>0</v>
      </c>
      <c r="AX41" s="204">
        <v>0</v>
      </c>
      <c r="AY41" s="204">
        <v>0</v>
      </c>
    </row>
    <row r="42" spans="1:51" ht="15" customHeight="1" x14ac:dyDescent="0.25">
      <c r="A42" s="38" t="s">
        <v>296</v>
      </c>
      <c r="B42" s="1" t="s">
        <v>297</v>
      </c>
      <c r="C42" s="40" t="s">
        <v>2086</v>
      </c>
      <c r="D42" s="204">
        <v>1291.0051269665244</v>
      </c>
      <c r="E42" s="204">
        <v>1336.9934475578971</v>
      </c>
      <c r="F42" s="204">
        <v>1350.9903188749429</v>
      </c>
      <c r="G42" s="204">
        <v>1549.6574457779684</v>
      </c>
      <c r="H42" s="204">
        <v>1401.6867914749262</v>
      </c>
      <c r="I42" s="204">
        <v>1707.3457216595777</v>
      </c>
      <c r="J42" s="204">
        <v>2429.3600605471424</v>
      </c>
      <c r="K42" s="204">
        <v>2717.9857310955917</v>
      </c>
      <c r="L42" s="204">
        <v>1803.9664478546811</v>
      </c>
      <c r="M42" s="204">
        <v>1376.9832197036442</v>
      </c>
      <c r="N42" s="204">
        <v>1105.0122878806187</v>
      </c>
      <c r="O42" s="204">
        <v>1258.6700022219327</v>
      </c>
      <c r="P42" s="204">
        <v>1383.0105907100997</v>
      </c>
      <c r="Q42" s="204">
        <v>1286.9939713867477</v>
      </c>
      <c r="R42" s="204">
        <v>1382.9923217432749</v>
      </c>
      <c r="S42" s="204">
        <v>1339.0191880718921</v>
      </c>
      <c r="T42" s="204">
        <v>1143.6721461933444</v>
      </c>
      <c r="U42" s="204">
        <v>1427.0241518096732</v>
      </c>
      <c r="V42" s="204">
        <v>2368.9968351493744</v>
      </c>
      <c r="W42" s="204">
        <v>2577.5284147184111</v>
      </c>
      <c r="X42" s="204">
        <v>2527.0104921268194</v>
      </c>
      <c r="Y42" s="204">
        <v>1823.9926406336056</v>
      </c>
      <c r="Z42" s="204">
        <v>1228.307698313758</v>
      </c>
      <c r="AA42" s="204">
        <v>1243.972658626408</v>
      </c>
      <c r="AB42" s="204">
        <v>987.68724886880148</v>
      </c>
      <c r="AC42" s="204">
        <v>1118</v>
      </c>
      <c r="AD42" s="204">
        <v>864.99999999999989</v>
      </c>
      <c r="AE42" s="204">
        <v>419.99999999999994</v>
      </c>
      <c r="AF42" s="206">
        <v>569</v>
      </c>
      <c r="AG42" s="204">
        <v>1526.9999999999998</v>
      </c>
      <c r="AH42" s="204">
        <v>1158</v>
      </c>
      <c r="AI42" s="204">
        <v>1882.0000000000002</v>
      </c>
      <c r="AJ42" s="204">
        <v>2347</v>
      </c>
      <c r="AK42" s="204">
        <v>2013.5448223367723</v>
      </c>
      <c r="AL42" s="204">
        <v>818</v>
      </c>
      <c r="AM42" s="204">
        <v>1140</v>
      </c>
      <c r="AN42" s="204">
        <v>1092</v>
      </c>
      <c r="AO42" s="204">
        <v>1084</v>
      </c>
      <c r="AP42" s="204">
        <v>552</v>
      </c>
      <c r="AQ42" s="204">
        <v>576</v>
      </c>
      <c r="AR42" s="204">
        <v>732</v>
      </c>
      <c r="AS42" s="204">
        <v>1666</v>
      </c>
      <c r="AT42" s="204">
        <v>1764</v>
      </c>
      <c r="AU42" s="204">
        <v>1527</v>
      </c>
      <c r="AV42" s="204">
        <v>1805</v>
      </c>
      <c r="AW42" s="204">
        <v>1028</v>
      </c>
      <c r="AX42" s="204">
        <v>769</v>
      </c>
      <c r="AY42" s="204">
        <v>959</v>
      </c>
    </row>
    <row r="43" spans="1:51" ht="15" customHeight="1" x14ac:dyDescent="0.25">
      <c r="A43" s="38" t="s">
        <v>498</v>
      </c>
      <c r="B43" s="63" t="s">
        <v>499</v>
      </c>
      <c r="C43" s="40" t="s">
        <v>500</v>
      </c>
      <c r="D43" s="204">
        <v>3080</v>
      </c>
      <c r="E43" s="204">
        <v>3080</v>
      </c>
      <c r="F43" s="204">
        <v>2640</v>
      </c>
      <c r="G43" s="204">
        <v>3040</v>
      </c>
      <c r="H43" s="204">
        <v>3280</v>
      </c>
      <c r="I43" s="204">
        <v>3800</v>
      </c>
      <c r="J43" s="204">
        <v>0</v>
      </c>
      <c r="K43" s="204">
        <v>9280</v>
      </c>
      <c r="L43" s="204">
        <v>4320</v>
      </c>
      <c r="M43" s="204">
        <v>3640</v>
      </c>
      <c r="N43" s="204">
        <v>3560</v>
      </c>
      <c r="O43" s="204">
        <v>7520</v>
      </c>
      <c r="P43" s="204">
        <v>3400</v>
      </c>
      <c r="Q43" s="204">
        <v>3920</v>
      </c>
      <c r="R43" s="204">
        <v>2440</v>
      </c>
      <c r="S43" s="204">
        <v>2440</v>
      </c>
      <c r="T43" s="204">
        <v>2200</v>
      </c>
      <c r="U43" s="204">
        <v>3200</v>
      </c>
      <c r="V43" s="204">
        <v>4600</v>
      </c>
      <c r="W43" s="204">
        <v>4560</v>
      </c>
      <c r="X43" s="204">
        <v>5400</v>
      </c>
      <c r="Y43" s="204">
        <v>3400</v>
      </c>
      <c r="Z43" s="204">
        <v>2560</v>
      </c>
      <c r="AA43" s="204">
        <v>2720</v>
      </c>
      <c r="AB43" s="204">
        <v>2680</v>
      </c>
      <c r="AC43" s="204">
        <v>2520</v>
      </c>
      <c r="AD43" s="204">
        <v>2440</v>
      </c>
      <c r="AE43" s="204">
        <v>1880</v>
      </c>
      <c r="AF43" s="206">
        <v>2160</v>
      </c>
      <c r="AG43" s="204">
        <v>2560</v>
      </c>
      <c r="AH43" s="204">
        <v>4320</v>
      </c>
      <c r="AI43" s="204">
        <v>1200</v>
      </c>
      <c r="AJ43" s="204">
        <v>3200</v>
      </c>
      <c r="AK43" s="204">
        <v>2884.6542756612143</v>
      </c>
      <c r="AL43" s="204">
        <v>2040</v>
      </c>
      <c r="AM43" s="204">
        <v>1600</v>
      </c>
      <c r="AN43" s="204">
        <v>2480</v>
      </c>
      <c r="AO43" s="204">
        <v>720</v>
      </c>
      <c r="AP43" s="204">
        <v>1720</v>
      </c>
      <c r="AQ43" s="204">
        <v>1640</v>
      </c>
      <c r="AR43" s="204">
        <v>1960</v>
      </c>
      <c r="AS43" s="204">
        <v>-3920</v>
      </c>
      <c r="AT43" s="204">
        <v>1440</v>
      </c>
      <c r="AU43" s="204">
        <v>1440</v>
      </c>
      <c r="AV43" s="204">
        <v>3200</v>
      </c>
      <c r="AW43" s="204">
        <v>-200</v>
      </c>
      <c r="AX43" s="204">
        <v>1800</v>
      </c>
      <c r="AY43" s="204">
        <v>7640</v>
      </c>
    </row>
    <row r="44" spans="1:51" ht="15" customHeight="1" x14ac:dyDescent="0.25">
      <c r="A44" s="38" t="s">
        <v>241</v>
      </c>
      <c r="B44" s="1" t="s">
        <v>242</v>
      </c>
      <c r="C44" s="40" t="s">
        <v>243</v>
      </c>
      <c r="D44" s="204">
        <v>76871.801380056786</v>
      </c>
      <c r="E44" s="204">
        <v>69665.082232311892</v>
      </c>
      <c r="F44" s="204">
        <v>69565.032490080601</v>
      </c>
      <c r="G44" s="204">
        <v>69665.060565569802</v>
      </c>
      <c r="H44" s="204">
        <v>76871.808786622205</v>
      </c>
      <c r="I44" s="204">
        <v>46693.17395596001</v>
      </c>
      <c r="J44" s="204">
        <v>47597.950445912546</v>
      </c>
      <c r="K44" s="204">
        <v>63298.248761145078</v>
      </c>
      <c r="L44" s="204">
        <v>80699.589159069088</v>
      </c>
      <c r="M44" s="204">
        <v>76198.786202853371</v>
      </c>
      <c r="N44" s="204">
        <v>75087.536536002503</v>
      </c>
      <c r="O44" s="204">
        <v>53992.732382196751</v>
      </c>
      <c r="P44" s="204">
        <v>57757.54367269075</v>
      </c>
      <c r="Q44" s="204">
        <v>59548.013948701657</v>
      </c>
      <c r="R44" s="204">
        <v>57469.491635590937</v>
      </c>
      <c r="S44" s="204">
        <v>71562.489421940292</v>
      </c>
      <c r="T44" s="204">
        <v>47245.66974105953</v>
      </c>
      <c r="U44" s="204">
        <v>39213.139264581674</v>
      </c>
      <c r="V44" s="204">
        <v>51316.835684303325</v>
      </c>
      <c r="W44" s="204">
        <v>52960.999999999993</v>
      </c>
      <c r="X44" s="204">
        <v>83670.927085459407</v>
      </c>
      <c r="Y44" s="204">
        <v>78895.553330652008</v>
      </c>
      <c r="Z44" s="204">
        <v>68106.857156949874</v>
      </c>
      <c r="AA44" s="204">
        <v>59163.184603267211</v>
      </c>
      <c r="AB44" s="204">
        <v>52242.107856456561</v>
      </c>
      <c r="AC44" s="204">
        <v>65522</v>
      </c>
      <c r="AD44" s="204">
        <v>49910</v>
      </c>
      <c r="AE44" s="204">
        <v>5074.26</v>
      </c>
      <c r="AF44" s="206">
        <v>4564</v>
      </c>
      <c r="AG44" s="204">
        <v>4106</v>
      </c>
      <c r="AH44" s="204">
        <v>3969</v>
      </c>
      <c r="AI44" s="204">
        <v>3930</v>
      </c>
      <c r="AJ44" s="204">
        <v>3780</v>
      </c>
      <c r="AK44" s="204">
        <v>3876.6564688218837</v>
      </c>
      <c r="AL44" s="204">
        <v>5090</v>
      </c>
      <c r="AM44" s="204">
        <v>4000</v>
      </c>
      <c r="AN44" s="204">
        <v>4595</v>
      </c>
      <c r="AO44" s="204">
        <v>4298</v>
      </c>
      <c r="AP44" s="204">
        <v>4000</v>
      </c>
      <c r="AQ44" s="204">
        <v>4298</v>
      </c>
      <c r="AR44" s="204">
        <v>4482</v>
      </c>
      <c r="AS44" s="204">
        <v>4946</v>
      </c>
      <c r="AT44" s="204">
        <v>4228</v>
      </c>
      <c r="AU44" s="204">
        <v>5346</v>
      </c>
      <c r="AV44" s="204">
        <v>8894</v>
      </c>
      <c r="AW44" s="204">
        <v>7836</v>
      </c>
      <c r="AX44" s="204">
        <v>8781</v>
      </c>
      <c r="AY44" s="204">
        <v>7677</v>
      </c>
    </row>
    <row r="45" spans="1:51" ht="15" customHeight="1" x14ac:dyDescent="0.25">
      <c r="A45" s="38" t="s">
        <v>46</v>
      </c>
      <c r="B45" s="63" t="s">
        <v>47</v>
      </c>
      <c r="C45" s="258" t="s">
        <v>48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4">
        <v>0</v>
      </c>
      <c r="W45" s="204">
        <v>0</v>
      </c>
      <c r="X45" s="204">
        <v>0</v>
      </c>
      <c r="Y45" s="204">
        <v>0</v>
      </c>
      <c r="Z45" s="204">
        <v>0</v>
      </c>
      <c r="AA45" s="204">
        <v>0</v>
      </c>
      <c r="AB45" s="204">
        <v>0</v>
      </c>
      <c r="AC45" s="204">
        <v>0</v>
      </c>
      <c r="AD45" s="204">
        <v>0</v>
      </c>
      <c r="AE45" s="204">
        <v>0</v>
      </c>
      <c r="AF45" s="206">
        <v>0</v>
      </c>
      <c r="AG45" s="204">
        <v>0</v>
      </c>
      <c r="AH45" s="204">
        <v>0</v>
      </c>
      <c r="AI45" s="204">
        <v>0</v>
      </c>
      <c r="AJ45" s="204">
        <v>0</v>
      </c>
      <c r="AK45" s="204">
        <v>0</v>
      </c>
      <c r="AL45" s="204">
        <v>0</v>
      </c>
      <c r="AM45" s="204">
        <v>0</v>
      </c>
      <c r="AN45" s="204">
        <v>0</v>
      </c>
      <c r="AO45" s="204">
        <v>0</v>
      </c>
      <c r="AP45" s="204">
        <v>0</v>
      </c>
      <c r="AQ45" s="204">
        <v>0</v>
      </c>
      <c r="AR45" s="204">
        <v>0</v>
      </c>
      <c r="AS45" s="204">
        <v>0</v>
      </c>
      <c r="AT45" s="204">
        <v>0</v>
      </c>
      <c r="AU45" s="204">
        <v>0</v>
      </c>
      <c r="AV45" s="204">
        <v>0</v>
      </c>
      <c r="AW45" s="204">
        <v>0</v>
      </c>
      <c r="AX45" s="204">
        <v>0</v>
      </c>
      <c r="AY45" s="204">
        <v>0</v>
      </c>
    </row>
    <row r="46" spans="1:51" ht="15" customHeight="1" x14ac:dyDescent="0.25">
      <c r="A46" s="38" t="s">
        <v>43</v>
      </c>
      <c r="B46" s="63" t="s">
        <v>44</v>
      </c>
      <c r="C46" s="343" t="s">
        <v>45</v>
      </c>
      <c r="D46" s="204">
        <v>0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4">
        <v>0</v>
      </c>
      <c r="L46" s="204">
        <v>0</v>
      </c>
      <c r="M46" s="204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4">
        <v>0</v>
      </c>
      <c r="W46" s="204">
        <v>0</v>
      </c>
      <c r="X46" s="204">
        <v>0</v>
      </c>
      <c r="Y46" s="204">
        <v>0</v>
      </c>
      <c r="Z46" s="204">
        <v>0</v>
      </c>
      <c r="AA46" s="204">
        <v>0</v>
      </c>
      <c r="AB46" s="204">
        <v>0</v>
      </c>
      <c r="AC46" s="204">
        <v>0</v>
      </c>
      <c r="AD46" s="204">
        <v>0</v>
      </c>
      <c r="AE46" s="204">
        <v>0</v>
      </c>
      <c r="AF46" s="206">
        <v>0</v>
      </c>
      <c r="AG46" s="204">
        <v>0</v>
      </c>
      <c r="AH46" s="204">
        <v>0</v>
      </c>
      <c r="AI46" s="204">
        <v>0</v>
      </c>
      <c r="AJ46" s="204">
        <v>0</v>
      </c>
      <c r="AK46" s="204">
        <v>0</v>
      </c>
      <c r="AL46" s="204">
        <v>0</v>
      </c>
      <c r="AM46" s="204">
        <v>0</v>
      </c>
      <c r="AN46" s="204">
        <v>0</v>
      </c>
      <c r="AO46" s="204">
        <v>0</v>
      </c>
      <c r="AP46" s="204">
        <v>0</v>
      </c>
      <c r="AQ46" s="204">
        <v>0</v>
      </c>
      <c r="AR46" s="204">
        <v>0</v>
      </c>
      <c r="AS46" s="204">
        <v>0</v>
      </c>
      <c r="AT46" s="204">
        <v>0</v>
      </c>
      <c r="AU46" s="204">
        <v>0</v>
      </c>
      <c r="AV46" s="204">
        <v>0</v>
      </c>
      <c r="AW46" s="204">
        <v>0</v>
      </c>
      <c r="AX46" s="204">
        <v>0</v>
      </c>
      <c r="AY46" s="204">
        <v>0</v>
      </c>
    </row>
    <row r="47" spans="1:51" ht="15" customHeight="1" x14ac:dyDescent="0.25">
      <c r="A47" s="38" t="s">
        <v>424</v>
      </c>
      <c r="B47" s="1" t="s">
        <v>425</v>
      </c>
      <c r="C47" s="258" t="s">
        <v>426</v>
      </c>
      <c r="D47" s="204">
        <v>21192.961404595546</v>
      </c>
      <c r="E47" s="204">
        <v>20258.98796049122</v>
      </c>
      <c r="F47" s="204">
        <v>19460.005281700476</v>
      </c>
      <c r="G47" s="204">
        <v>19805.971750169778</v>
      </c>
      <c r="H47" s="204">
        <v>18630.006725636718</v>
      </c>
      <c r="I47" s="204">
        <v>15710.031934665903</v>
      </c>
      <c r="J47" s="204">
        <v>18036.019948032474</v>
      </c>
      <c r="K47" s="204">
        <v>18491.990601589816</v>
      </c>
      <c r="L47" s="204">
        <v>20351.881787475268</v>
      </c>
      <c r="M47" s="204">
        <v>20774.63609985706</v>
      </c>
      <c r="N47" s="204">
        <v>22428.650808757142</v>
      </c>
      <c r="O47" s="204">
        <v>20894.285551686167</v>
      </c>
      <c r="P47" s="204">
        <v>20574.98233867807</v>
      </c>
      <c r="Q47" s="204">
        <v>20563.085386683553</v>
      </c>
      <c r="R47" s="204">
        <v>19767.996057094206</v>
      </c>
      <c r="S47" s="204">
        <v>21632.984552286693</v>
      </c>
      <c r="T47" s="204">
        <v>18021.979496757234</v>
      </c>
      <c r="U47" s="204">
        <v>16555.939501661116</v>
      </c>
      <c r="V47" s="204">
        <v>19397.987452568312</v>
      </c>
      <c r="W47" s="204">
        <v>16593.996474918542</v>
      </c>
      <c r="X47" s="204">
        <v>19977.975725038406</v>
      </c>
      <c r="Y47" s="204">
        <v>20698.682063728695</v>
      </c>
      <c r="Z47" s="204">
        <v>19845.96209331281</v>
      </c>
      <c r="AA47" s="204">
        <v>19847.851908330984</v>
      </c>
      <c r="AB47" s="204">
        <v>18399.063411833064</v>
      </c>
      <c r="AC47" s="204">
        <v>21040</v>
      </c>
      <c r="AD47" s="204">
        <v>16082.000000000002</v>
      </c>
      <c r="AE47" s="204">
        <v>7440.0000000000009</v>
      </c>
      <c r="AF47" s="206">
        <v>14260</v>
      </c>
      <c r="AG47" s="204">
        <v>13183.999999999998</v>
      </c>
      <c r="AH47" s="204">
        <v>14051</v>
      </c>
      <c r="AI47" s="204">
        <v>13719.000000000002</v>
      </c>
      <c r="AJ47" s="204">
        <v>15183</v>
      </c>
      <c r="AK47" s="204">
        <v>14632.448892874068</v>
      </c>
      <c r="AL47" s="204">
        <v>16625</v>
      </c>
      <c r="AM47" s="204">
        <v>14392</v>
      </c>
      <c r="AN47" s="204">
        <v>15213</v>
      </c>
      <c r="AO47" s="204">
        <v>13879</v>
      </c>
      <c r="AP47" s="204">
        <v>14168</v>
      </c>
      <c r="AQ47" s="204">
        <v>14371</v>
      </c>
      <c r="AR47" s="204">
        <v>15132</v>
      </c>
      <c r="AS47" s="204">
        <v>16090</v>
      </c>
      <c r="AT47" s="204">
        <v>14400</v>
      </c>
      <c r="AU47" s="204">
        <v>3805</v>
      </c>
      <c r="AV47" s="204">
        <v>28420</v>
      </c>
      <c r="AW47" s="204">
        <v>22323.75</v>
      </c>
      <c r="AX47" s="204">
        <v>22330</v>
      </c>
      <c r="AY47" s="204">
        <v>21055</v>
      </c>
    </row>
    <row r="48" spans="1:51" ht="15" customHeight="1" x14ac:dyDescent="0.25">
      <c r="A48" s="38" t="s">
        <v>245</v>
      </c>
      <c r="B48" s="1" t="s">
        <v>246</v>
      </c>
      <c r="C48" s="258" t="s">
        <v>247</v>
      </c>
      <c r="D48" s="204">
        <v>0</v>
      </c>
      <c r="E48" s="204">
        <v>0</v>
      </c>
      <c r="F48" s="204">
        <v>0</v>
      </c>
      <c r="G48" s="204">
        <v>0</v>
      </c>
      <c r="H48" s="204">
        <v>0</v>
      </c>
      <c r="I48" s="204">
        <v>0</v>
      </c>
      <c r="J48" s="204">
        <v>0</v>
      </c>
      <c r="K48" s="204">
        <v>0</v>
      </c>
      <c r="L48" s="204">
        <v>0</v>
      </c>
      <c r="M48" s="204">
        <v>0</v>
      </c>
      <c r="N48" s="204">
        <v>0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4">
        <v>0</v>
      </c>
      <c r="U48" s="204">
        <v>0</v>
      </c>
      <c r="V48" s="204">
        <v>0</v>
      </c>
      <c r="W48" s="204">
        <v>0</v>
      </c>
      <c r="X48" s="204">
        <v>0</v>
      </c>
      <c r="Y48" s="204">
        <v>0</v>
      </c>
      <c r="Z48" s="204">
        <v>0</v>
      </c>
      <c r="AA48" s="204">
        <v>0</v>
      </c>
      <c r="AB48" s="204">
        <v>0</v>
      </c>
      <c r="AC48" s="204">
        <v>0</v>
      </c>
      <c r="AD48" s="204">
        <v>0</v>
      </c>
      <c r="AE48" s="204">
        <v>0</v>
      </c>
      <c r="AF48" s="206">
        <v>0</v>
      </c>
      <c r="AG48" s="204">
        <v>0</v>
      </c>
      <c r="AH48" s="204">
        <v>0</v>
      </c>
      <c r="AI48" s="204">
        <v>0</v>
      </c>
      <c r="AJ48" s="204">
        <v>0</v>
      </c>
      <c r="AK48" s="204">
        <v>0</v>
      </c>
      <c r="AL48" s="204">
        <v>0</v>
      </c>
      <c r="AM48" s="204">
        <v>0</v>
      </c>
      <c r="AN48" s="204">
        <v>0</v>
      </c>
      <c r="AO48" s="204">
        <v>0</v>
      </c>
      <c r="AP48" s="204">
        <v>0</v>
      </c>
      <c r="AQ48" s="204">
        <v>0</v>
      </c>
      <c r="AR48" s="204">
        <v>0</v>
      </c>
      <c r="AS48" s="204">
        <v>0</v>
      </c>
      <c r="AT48" s="204">
        <v>0</v>
      </c>
      <c r="AU48" s="204">
        <v>0</v>
      </c>
      <c r="AV48" s="204">
        <v>0</v>
      </c>
      <c r="AW48" s="204">
        <v>0</v>
      </c>
      <c r="AX48" s="204">
        <v>0</v>
      </c>
      <c r="AY48" s="204">
        <v>0</v>
      </c>
    </row>
    <row r="49" spans="1:51" ht="15" customHeight="1" x14ac:dyDescent="0.25">
      <c r="A49" s="38" t="s">
        <v>145</v>
      </c>
      <c r="B49" s="1" t="s">
        <v>146</v>
      </c>
      <c r="C49" s="258" t="s">
        <v>147</v>
      </c>
      <c r="D49" s="204">
        <v>0</v>
      </c>
      <c r="E49" s="204">
        <v>0</v>
      </c>
      <c r="F49" s="204">
        <v>0</v>
      </c>
      <c r="G49" s="204">
        <v>0</v>
      </c>
      <c r="H49" s="204">
        <v>0</v>
      </c>
      <c r="I49" s="204">
        <v>0</v>
      </c>
      <c r="J49" s="204">
        <v>0</v>
      </c>
      <c r="K49" s="204">
        <v>0</v>
      </c>
      <c r="L49" s="204">
        <v>0</v>
      </c>
      <c r="M49" s="204">
        <v>0</v>
      </c>
      <c r="N49" s="204">
        <v>0</v>
      </c>
      <c r="O49" s="204">
        <v>0</v>
      </c>
      <c r="P49" s="204">
        <v>0</v>
      </c>
      <c r="Q49" s="204">
        <v>0</v>
      </c>
      <c r="R49" s="204">
        <v>0</v>
      </c>
      <c r="S49" s="204">
        <v>0</v>
      </c>
      <c r="T49" s="204">
        <v>0</v>
      </c>
      <c r="U49" s="204">
        <v>0</v>
      </c>
      <c r="V49" s="204">
        <v>0</v>
      </c>
      <c r="W49" s="204">
        <v>0</v>
      </c>
      <c r="X49" s="204">
        <v>0</v>
      </c>
      <c r="Y49" s="204">
        <v>0</v>
      </c>
      <c r="Z49" s="204">
        <v>0</v>
      </c>
      <c r="AA49" s="204">
        <v>0</v>
      </c>
      <c r="AB49" s="204">
        <v>0</v>
      </c>
      <c r="AC49" s="204">
        <v>0</v>
      </c>
      <c r="AD49" s="204">
        <v>0</v>
      </c>
      <c r="AE49" s="204">
        <v>0</v>
      </c>
      <c r="AF49" s="206">
        <v>0</v>
      </c>
      <c r="AG49" s="204">
        <v>0</v>
      </c>
      <c r="AH49" s="204">
        <v>0</v>
      </c>
      <c r="AI49" s="204">
        <v>0</v>
      </c>
      <c r="AJ49" s="204">
        <v>0</v>
      </c>
      <c r="AK49" s="204">
        <v>0</v>
      </c>
      <c r="AL49" s="204">
        <v>0</v>
      </c>
      <c r="AM49" s="204">
        <v>0</v>
      </c>
      <c r="AN49" s="204">
        <v>0</v>
      </c>
      <c r="AO49" s="204">
        <v>0</v>
      </c>
      <c r="AP49" s="204">
        <v>0</v>
      </c>
      <c r="AQ49" s="204">
        <v>0</v>
      </c>
      <c r="AR49" s="204">
        <v>0</v>
      </c>
      <c r="AS49" s="204">
        <v>0</v>
      </c>
      <c r="AT49" s="204">
        <v>0</v>
      </c>
      <c r="AU49" s="204">
        <v>0</v>
      </c>
      <c r="AV49" s="204">
        <v>0</v>
      </c>
      <c r="AW49" s="204">
        <v>0</v>
      </c>
      <c r="AX49" s="204">
        <v>0</v>
      </c>
      <c r="AY49" s="204">
        <v>0</v>
      </c>
    </row>
    <row r="50" spans="1:51" ht="15" customHeight="1" x14ac:dyDescent="0.25">
      <c r="A50" s="38" t="s">
        <v>202</v>
      </c>
      <c r="B50" s="63" t="s">
        <v>203</v>
      </c>
      <c r="C50" s="344" t="s">
        <v>204</v>
      </c>
      <c r="D50" s="204">
        <v>0</v>
      </c>
      <c r="E50" s="204">
        <v>0</v>
      </c>
      <c r="F50" s="204">
        <v>0</v>
      </c>
      <c r="G50" s="204">
        <v>0</v>
      </c>
      <c r="H50" s="204">
        <v>0</v>
      </c>
      <c r="I50" s="204">
        <v>0</v>
      </c>
      <c r="J50" s="204">
        <v>0</v>
      </c>
      <c r="K50" s="204">
        <v>0</v>
      </c>
      <c r="L50" s="204">
        <v>0</v>
      </c>
      <c r="M50" s="204">
        <v>0</v>
      </c>
      <c r="N50" s="204">
        <v>0</v>
      </c>
      <c r="O50" s="204">
        <v>0</v>
      </c>
      <c r="P50" s="204">
        <v>0</v>
      </c>
      <c r="Q50" s="204">
        <v>0</v>
      </c>
      <c r="R50" s="204">
        <v>0</v>
      </c>
      <c r="S50" s="204">
        <v>0</v>
      </c>
      <c r="T50" s="204">
        <v>0</v>
      </c>
      <c r="U50" s="204">
        <v>0</v>
      </c>
      <c r="V50" s="204">
        <v>0</v>
      </c>
      <c r="W50" s="204">
        <v>0</v>
      </c>
      <c r="X50" s="204">
        <v>0</v>
      </c>
      <c r="Y50" s="204">
        <v>0</v>
      </c>
      <c r="Z50" s="204">
        <v>0</v>
      </c>
      <c r="AA50" s="204">
        <v>0</v>
      </c>
      <c r="AB50" s="204">
        <v>0</v>
      </c>
      <c r="AC50" s="204">
        <v>0</v>
      </c>
      <c r="AD50" s="204">
        <v>0</v>
      </c>
      <c r="AE50" s="204">
        <v>0</v>
      </c>
      <c r="AF50" s="206">
        <v>0</v>
      </c>
      <c r="AG50" s="204">
        <v>0</v>
      </c>
      <c r="AH50" s="204">
        <v>0</v>
      </c>
      <c r="AI50" s="204">
        <v>0</v>
      </c>
      <c r="AJ50" s="204">
        <v>0</v>
      </c>
      <c r="AK50" s="204">
        <v>0</v>
      </c>
      <c r="AL50" s="204">
        <v>0</v>
      </c>
      <c r="AM50" s="204">
        <v>0</v>
      </c>
      <c r="AN50" s="204">
        <v>0</v>
      </c>
      <c r="AO50" s="204">
        <v>0</v>
      </c>
      <c r="AP50" s="204">
        <v>0</v>
      </c>
      <c r="AQ50" s="204">
        <v>0</v>
      </c>
      <c r="AR50" s="204">
        <v>0</v>
      </c>
      <c r="AS50" s="204">
        <v>0</v>
      </c>
      <c r="AT50" s="204">
        <v>0</v>
      </c>
      <c r="AU50" s="204">
        <v>0</v>
      </c>
      <c r="AV50" s="204">
        <v>0</v>
      </c>
      <c r="AW50" s="204">
        <v>0</v>
      </c>
      <c r="AX50" s="204">
        <v>0</v>
      </c>
      <c r="AY50" s="204">
        <v>0</v>
      </c>
    </row>
    <row r="51" spans="1:51" ht="15" customHeight="1" x14ac:dyDescent="0.25">
      <c r="A51" s="38" t="s">
        <v>205</v>
      </c>
      <c r="B51" s="63" t="s">
        <v>206</v>
      </c>
      <c r="C51" s="64" t="s">
        <v>207</v>
      </c>
      <c r="D51" s="204">
        <v>40305.973810265903</v>
      </c>
      <c r="E51" s="204">
        <v>39601.210695348214</v>
      </c>
      <c r="F51" s="204">
        <v>40236.018882991622</v>
      </c>
      <c r="G51" s="204">
        <v>40656.987680029692</v>
      </c>
      <c r="H51" s="204">
        <v>42126.035617219</v>
      </c>
      <c r="I51" s="204">
        <v>40293.999570666972</v>
      </c>
      <c r="J51" s="204">
        <v>45694</v>
      </c>
      <c r="K51" s="204">
        <v>47140.977023245301</v>
      </c>
      <c r="L51" s="204">
        <v>44598.832998692131</v>
      </c>
      <c r="M51" s="204">
        <v>40836.730333011335</v>
      </c>
      <c r="N51" s="204">
        <v>40833.412664530661</v>
      </c>
      <c r="O51" s="204">
        <v>38495.61168287816</v>
      </c>
      <c r="P51" s="204">
        <v>33998.041195312646</v>
      </c>
      <c r="Q51" s="204">
        <v>33952.047773916849</v>
      </c>
      <c r="R51" s="204">
        <v>37887.983859000618</v>
      </c>
      <c r="S51" s="204">
        <v>42065.969219661878</v>
      </c>
      <c r="T51" s="204">
        <v>39249.005834789816</v>
      </c>
      <c r="U51" s="204">
        <v>38644.899228861643</v>
      </c>
      <c r="V51" s="204">
        <v>45794.974568315985</v>
      </c>
      <c r="W51" s="204">
        <v>42256.934038467385</v>
      </c>
      <c r="X51" s="204">
        <v>48586.959407879265</v>
      </c>
      <c r="Y51" s="204">
        <v>46267.470127511449</v>
      </c>
      <c r="Z51" s="204">
        <v>41852.457256201924</v>
      </c>
      <c r="AA51" s="204">
        <v>37963.87265316664</v>
      </c>
      <c r="AB51" s="204">
        <v>35218.042272261453</v>
      </c>
      <c r="AC51" s="204">
        <v>39320</v>
      </c>
      <c r="AD51" s="204">
        <v>33199</v>
      </c>
      <c r="AE51" s="204">
        <v>20098</v>
      </c>
      <c r="AF51" s="206">
        <v>23483</v>
      </c>
      <c r="AG51" s="204">
        <v>24056</v>
      </c>
      <c r="AH51" s="204">
        <v>28631</v>
      </c>
      <c r="AI51" s="204">
        <v>37755</v>
      </c>
      <c r="AJ51" s="204">
        <v>42224</v>
      </c>
      <c r="AK51" s="204">
        <v>35376.956929573753</v>
      </c>
      <c r="AL51" s="204">
        <v>35111</v>
      </c>
      <c r="AM51" s="204">
        <v>27911</v>
      </c>
      <c r="AN51" s="204">
        <v>27948</v>
      </c>
      <c r="AO51" s="204">
        <v>29933</v>
      </c>
      <c r="AP51" s="204">
        <v>30244</v>
      </c>
      <c r="AQ51" s="204">
        <v>33438</v>
      </c>
      <c r="AR51" s="204">
        <v>34031</v>
      </c>
      <c r="AS51" s="204">
        <v>36016</v>
      </c>
      <c r="AT51" s="204">
        <v>44759</v>
      </c>
      <c r="AU51" s="204">
        <v>43480</v>
      </c>
      <c r="AV51" s="204">
        <v>47686</v>
      </c>
      <c r="AW51" s="204">
        <v>41462</v>
      </c>
      <c r="AX51" s="204">
        <v>40148</v>
      </c>
      <c r="AY51" s="204">
        <v>35624</v>
      </c>
    </row>
    <row r="52" spans="1:51" ht="15" customHeight="1" x14ac:dyDescent="0.25">
      <c r="A52" s="38" t="s">
        <v>157</v>
      </c>
      <c r="B52" s="1" t="s">
        <v>158</v>
      </c>
      <c r="C52" s="40" t="s">
        <v>159</v>
      </c>
      <c r="D52" s="204">
        <v>355716.90255719732</v>
      </c>
      <c r="E52" s="204">
        <v>335124.05815268843</v>
      </c>
      <c r="F52" s="204">
        <v>338348.13697951811</v>
      </c>
      <c r="G52" s="204">
        <v>333326.87730934977</v>
      </c>
      <c r="H52" s="204">
        <v>367518.01202519366</v>
      </c>
      <c r="I52" s="204">
        <v>355652.96772494429</v>
      </c>
      <c r="J52" s="204">
        <v>394206.23758396611</v>
      </c>
      <c r="K52" s="204">
        <v>395562.83141279256</v>
      </c>
      <c r="L52" s="204">
        <v>384220.54522125504</v>
      </c>
      <c r="M52" s="204">
        <v>373051.71231418737</v>
      </c>
      <c r="N52" s="204">
        <v>377183.54049927526</v>
      </c>
      <c r="O52" s="204">
        <v>312703.30890821316</v>
      </c>
      <c r="P52" s="204">
        <v>326055.24928584363</v>
      </c>
      <c r="Q52" s="204">
        <v>330018.59337816411</v>
      </c>
      <c r="R52" s="204">
        <v>346028.05118025572</v>
      </c>
      <c r="S52" s="204">
        <v>350531.25910073816</v>
      </c>
      <c r="T52" s="204">
        <v>336830.02509130229</v>
      </c>
      <c r="U52" s="204">
        <v>356199.15720319591</v>
      </c>
      <c r="V52" s="204">
        <v>391298.87941584899</v>
      </c>
      <c r="W52" s="204">
        <v>343404.41497621103</v>
      </c>
      <c r="X52" s="204">
        <v>379858.68655985058</v>
      </c>
      <c r="Y52" s="204">
        <v>410939.17440605658</v>
      </c>
      <c r="Z52" s="204">
        <v>402011.47344468307</v>
      </c>
      <c r="AA52" s="204">
        <v>381749.88749670633</v>
      </c>
      <c r="AB52" s="204">
        <v>367211.57051868358</v>
      </c>
      <c r="AC52" s="204">
        <v>413997</v>
      </c>
      <c r="AD52" s="204">
        <v>326479</v>
      </c>
      <c r="AE52" s="204">
        <v>226485</v>
      </c>
      <c r="AF52" s="206">
        <v>273982</v>
      </c>
      <c r="AG52" s="204">
        <v>288299</v>
      </c>
      <c r="AH52" s="204">
        <v>300303</v>
      </c>
      <c r="AI52" s="204">
        <v>329151</v>
      </c>
      <c r="AJ52" s="204">
        <v>374437</v>
      </c>
      <c r="AK52" s="204">
        <v>375682.77247744915</v>
      </c>
      <c r="AL52" s="204">
        <v>384581</v>
      </c>
      <c r="AM52" s="204">
        <v>310518</v>
      </c>
      <c r="AN52" s="204">
        <v>349850</v>
      </c>
      <c r="AO52" s="204">
        <v>306726</v>
      </c>
      <c r="AP52" s="204">
        <v>309042</v>
      </c>
      <c r="AQ52" s="204">
        <v>317306</v>
      </c>
      <c r="AR52" s="204">
        <v>328291</v>
      </c>
      <c r="AS52" s="204">
        <v>370029</v>
      </c>
      <c r="AT52" s="204">
        <v>411795</v>
      </c>
      <c r="AU52" s="204">
        <v>343240</v>
      </c>
      <c r="AV52" s="204">
        <v>303500</v>
      </c>
      <c r="AW52" s="204">
        <v>282533</v>
      </c>
      <c r="AX52" s="204">
        <v>316491</v>
      </c>
      <c r="AY52" s="204">
        <v>239875</v>
      </c>
    </row>
    <row r="53" spans="1:51" ht="15" customHeight="1" x14ac:dyDescent="0.25">
      <c r="A53" s="62" t="s">
        <v>160</v>
      </c>
      <c r="B53" s="100" t="s">
        <v>161</v>
      </c>
      <c r="C53" s="100" t="s">
        <v>162</v>
      </c>
      <c r="D53" s="204">
        <v>2955.0043469321085</v>
      </c>
      <c r="E53" s="204">
        <v>2722.011085042443</v>
      </c>
      <c r="F53" s="204">
        <v>2687.0259977545375</v>
      </c>
      <c r="G53" s="204">
        <v>2772.9983128191384</v>
      </c>
      <c r="H53" s="204">
        <v>3027.003764656049</v>
      </c>
      <c r="I53" s="204">
        <v>2836.9740857502788</v>
      </c>
      <c r="J53" s="204">
        <v>3127</v>
      </c>
      <c r="K53" s="204">
        <v>3279.9893745803165</v>
      </c>
      <c r="L53" s="204">
        <v>3031.9792746814969</v>
      </c>
      <c r="M53" s="204">
        <v>2888.9992417266644</v>
      </c>
      <c r="N53" s="204">
        <v>3075.9454158801886</v>
      </c>
      <c r="O53" s="204">
        <v>2990.5756909591728</v>
      </c>
      <c r="P53" s="204">
        <v>2873.0045388532826</v>
      </c>
      <c r="Q53" s="204">
        <v>2758.9685466888463</v>
      </c>
      <c r="R53" s="204">
        <v>2722.0139243134263</v>
      </c>
      <c r="S53" s="204">
        <v>2645.705541206099</v>
      </c>
      <c r="T53" s="204">
        <v>2644.9642203874741</v>
      </c>
      <c r="U53" s="204">
        <v>2422.0094215362369</v>
      </c>
      <c r="V53" s="204">
        <v>2741.9750152103106</v>
      </c>
      <c r="W53" s="204">
        <v>2440.0053677624651</v>
      </c>
      <c r="X53" s="204">
        <v>2424.9878142132111</v>
      </c>
      <c r="Y53" s="204">
        <v>2437.0428527441431</v>
      </c>
      <c r="Z53" s="204">
        <v>2208.0064310846165</v>
      </c>
      <c r="AA53" s="204">
        <v>2969.0352409442644</v>
      </c>
      <c r="AB53" s="204">
        <v>2712.9849716822519</v>
      </c>
      <c r="AC53" s="204">
        <v>2977</v>
      </c>
      <c r="AD53" s="204">
        <v>2521</v>
      </c>
      <c r="AE53" s="204">
        <v>2529</v>
      </c>
      <c r="AF53" s="206">
        <v>2770</v>
      </c>
      <c r="AG53" s="204">
        <v>2907</v>
      </c>
      <c r="AH53" s="204">
        <v>2877</v>
      </c>
      <c r="AI53" s="204">
        <v>2917</v>
      </c>
      <c r="AJ53" s="204">
        <v>3171</v>
      </c>
      <c r="AK53" s="204">
        <v>2994.7094174773679</v>
      </c>
      <c r="AL53" s="204">
        <v>3103</v>
      </c>
      <c r="AM53" s="204">
        <v>2710</v>
      </c>
      <c r="AN53" s="204">
        <v>2924</v>
      </c>
      <c r="AO53" s="204">
        <v>2670</v>
      </c>
      <c r="AP53" s="204">
        <v>2664</v>
      </c>
      <c r="AQ53" s="204">
        <v>2456</v>
      </c>
      <c r="AR53" s="204">
        <v>2151</v>
      </c>
      <c r="AS53" s="204">
        <v>2909</v>
      </c>
      <c r="AT53" s="204">
        <v>2925</v>
      </c>
      <c r="AU53" s="204">
        <v>2590</v>
      </c>
      <c r="AV53" s="204">
        <v>2842</v>
      </c>
      <c r="AW53" s="204">
        <v>2489</v>
      </c>
      <c r="AX53" s="204">
        <v>2661</v>
      </c>
      <c r="AY53" s="204">
        <v>2291</v>
      </c>
    </row>
    <row r="54" spans="1:51" ht="15" customHeight="1" x14ac:dyDescent="0.25">
      <c r="A54" s="38" t="s">
        <v>61</v>
      </c>
      <c r="B54" s="1" t="s">
        <v>62</v>
      </c>
      <c r="C54" s="40" t="s">
        <v>63</v>
      </c>
      <c r="D54" s="204">
        <v>172200.94064250411</v>
      </c>
      <c r="E54" s="204">
        <v>176483.0025971185</v>
      </c>
      <c r="F54" s="204">
        <v>174554.0496376892</v>
      </c>
      <c r="G54" s="204">
        <v>172933.93460163026</v>
      </c>
      <c r="H54" s="204">
        <v>173019.99282169106</v>
      </c>
      <c r="I54" s="204">
        <v>167083.00428796807</v>
      </c>
      <c r="J54" s="204">
        <v>194585.14584472589</v>
      </c>
      <c r="K54" s="204">
        <v>218108.8792071908</v>
      </c>
      <c r="L54" s="204">
        <v>205340.19017401399</v>
      </c>
      <c r="M54" s="204">
        <v>203512.78883289659</v>
      </c>
      <c r="N54" s="204">
        <v>222367.80550454822</v>
      </c>
      <c r="O54" s="204">
        <v>196488.89898320398</v>
      </c>
      <c r="P54" s="204">
        <v>169226.13238052008</v>
      </c>
      <c r="Q54" s="204">
        <v>180207.32322621878</v>
      </c>
      <c r="R54" s="204">
        <v>177959.033440876</v>
      </c>
      <c r="S54" s="204">
        <v>203716.94925853595</v>
      </c>
      <c r="T54" s="204">
        <v>189114.03764599605</v>
      </c>
      <c r="U54" s="204">
        <v>183136.56745971186</v>
      </c>
      <c r="V54" s="204">
        <v>213254.92970814166</v>
      </c>
      <c r="W54" s="204">
        <v>191906.69830347042</v>
      </c>
      <c r="X54" s="204">
        <v>232890.7888167015</v>
      </c>
      <c r="Y54" s="204">
        <v>245455.12156515408</v>
      </c>
      <c r="Z54" s="204">
        <v>216501.71178817184</v>
      </c>
      <c r="AA54" s="204">
        <v>179692.46665302513</v>
      </c>
      <c r="AB54" s="204">
        <v>156614.21628466167</v>
      </c>
      <c r="AC54" s="204">
        <v>225473.00000000003</v>
      </c>
      <c r="AD54" s="204">
        <v>192279.00000000003</v>
      </c>
      <c r="AE54" s="204">
        <v>190055</v>
      </c>
      <c r="AF54" s="206">
        <v>198755</v>
      </c>
      <c r="AG54" s="204">
        <v>213228</v>
      </c>
      <c r="AH54" s="204">
        <v>200916</v>
      </c>
      <c r="AI54" s="204">
        <v>176620</v>
      </c>
      <c r="AJ54" s="204">
        <v>191966</v>
      </c>
      <c r="AK54" s="204">
        <v>181257.19250485103</v>
      </c>
      <c r="AL54" s="204">
        <v>183658</v>
      </c>
      <c r="AM54" s="204">
        <v>130926</v>
      </c>
      <c r="AN54" s="204">
        <v>137188</v>
      </c>
      <c r="AO54" s="204">
        <v>118346</v>
      </c>
      <c r="AP54" s="204">
        <v>125380</v>
      </c>
      <c r="AQ54" s="204">
        <v>130360</v>
      </c>
      <c r="AR54" s="204">
        <v>134730</v>
      </c>
      <c r="AS54" s="204">
        <v>162460</v>
      </c>
      <c r="AT54" s="204">
        <v>182198</v>
      </c>
      <c r="AU54" s="204">
        <v>190868</v>
      </c>
      <c r="AV54" s="204">
        <v>226366</v>
      </c>
      <c r="AW54" s="204">
        <v>228880</v>
      </c>
      <c r="AX54" s="204">
        <v>230472</v>
      </c>
      <c r="AY54" s="204">
        <v>181116</v>
      </c>
    </row>
    <row r="55" spans="1:51" ht="15" customHeight="1" x14ac:dyDescent="0.25">
      <c r="A55" s="38" t="s">
        <v>338</v>
      </c>
      <c r="B55" s="1" t="s">
        <v>339</v>
      </c>
      <c r="C55" s="40" t="s">
        <v>340</v>
      </c>
      <c r="D55" s="204">
        <v>26851.90612026798</v>
      </c>
      <c r="E55" s="204">
        <v>26671.972682640957</v>
      </c>
      <c r="F55" s="204">
        <v>24337.062545381756</v>
      </c>
      <c r="G55" s="204">
        <v>26910.003061428266</v>
      </c>
      <c r="H55" s="204">
        <v>23579.990163617389</v>
      </c>
      <c r="I55" s="204">
        <v>14686.954852941317</v>
      </c>
      <c r="J55" s="204">
        <v>17188</v>
      </c>
      <c r="K55" s="204">
        <v>23562.011835250334</v>
      </c>
      <c r="L55" s="204">
        <v>27389.907793659979</v>
      </c>
      <c r="M55" s="204">
        <v>27264.812970060764</v>
      </c>
      <c r="N55" s="204">
        <v>29061.55290490239</v>
      </c>
      <c r="O55" s="204">
        <v>28134.106935826447</v>
      </c>
      <c r="P55" s="204">
        <v>25561.961406243754</v>
      </c>
      <c r="Q55" s="204">
        <v>21848.067412922152</v>
      </c>
      <c r="R55" s="204">
        <v>21135.735663243551</v>
      </c>
      <c r="S55" s="204">
        <v>25840.94848749473</v>
      </c>
      <c r="T55" s="204">
        <v>19530.037826317224</v>
      </c>
      <c r="U55" s="204">
        <v>15423.981087953131</v>
      </c>
      <c r="V55" s="204">
        <v>18145.973851726987</v>
      </c>
      <c r="W55" s="204">
        <v>20200.944453327269</v>
      </c>
      <c r="X55" s="204">
        <v>32227.056211777119</v>
      </c>
      <c r="Y55" s="204">
        <v>30748.959937226944</v>
      </c>
      <c r="Z55" s="204">
        <v>28369.964338318838</v>
      </c>
      <c r="AA55" s="204">
        <v>25565.914576390922</v>
      </c>
      <c r="AB55" s="204">
        <v>23404.050977134484</v>
      </c>
      <c r="AC55" s="204">
        <v>28704</v>
      </c>
      <c r="AD55" s="204">
        <v>22206</v>
      </c>
      <c r="AE55" s="204">
        <v>24954</v>
      </c>
      <c r="AF55" s="206">
        <v>20769</v>
      </c>
      <c r="AG55" s="204">
        <v>18568</v>
      </c>
      <c r="AH55" s="204">
        <v>13297</v>
      </c>
      <c r="AI55" s="204">
        <v>13527</v>
      </c>
      <c r="AJ55" s="204">
        <v>13242</v>
      </c>
      <c r="AK55" s="204">
        <v>12972.31780161092</v>
      </c>
      <c r="AL55" s="204">
        <v>12614</v>
      </c>
      <c r="AM55" s="204">
        <v>10251</v>
      </c>
      <c r="AN55" s="204">
        <v>11670</v>
      </c>
      <c r="AO55" s="204">
        <v>10660</v>
      </c>
      <c r="AP55" s="204">
        <v>10473</v>
      </c>
      <c r="AQ55" s="204">
        <v>11418</v>
      </c>
      <c r="AR55" s="204">
        <v>10953</v>
      </c>
      <c r="AS55" s="204">
        <v>11539</v>
      </c>
      <c r="AT55" s="204">
        <v>15067</v>
      </c>
      <c r="AU55" s="204">
        <v>21078</v>
      </c>
      <c r="AV55" s="204">
        <v>32392</v>
      </c>
      <c r="AW55" s="204">
        <v>26520</v>
      </c>
      <c r="AX55" s="204">
        <v>25271</v>
      </c>
      <c r="AY55" s="204">
        <v>20139</v>
      </c>
    </row>
    <row r="56" spans="1:51" ht="15" customHeight="1" x14ac:dyDescent="0.25">
      <c r="A56" s="38" t="s">
        <v>478</v>
      </c>
      <c r="B56" s="1" t="s">
        <v>479</v>
      </c>
      <c r="C56" s="258" t="s">
        <v>480</v>
      </c>
      <c r="D56" s="204">
        <v>23160</v>
      </c>
      <c r="E56" s="204">
        <v>9840</v>
      </c>
      <c r="F56" s="204">
        <v>10600</v>
      </c>
      <c r="G56" s="204">
        <v>240</v>
      </c>
      <c r="H56" s="204">
        <v>0</v>
      </c>
      <c r="I56" s="204">
        <v>0</v>
      </c>
      <c r="J56" s="204">
        <v>0</v>
      </c>
      <c r="K56" s="204">
        <v>0</v>
      </c>
      <c r="L56" s="204">
        <v>46320</v>
      </c>
      <c r="M56" s="204">
        <v>0</v>
      </c>
      <c r="N56" s="204">
        <v>0</v>
      </c>
      <c r="O56" s="204">
        <v>0</v>
      </c>
      <c r="P56" s="204">
        <v>0</v>
      </c>
      <c r="Q56" s="204">
        <v>79760</v>
      </c>
      <c r="R56" s="204">
        <v>25800</v>
      </c>
      <c r="S56" s="204">
        <v>0</v>
      </c>
      <c r="T56" s="204">
        <v>0</v>
      </c>
      <c r="U56" s="204">
        <v>24600</v>
      </c>
      <c r="V56" s="204">
        <v>0</v>
      </c>
      <c r="W56" s="204">
        <v>0</v>
      </c>
      <c r="X56" s="204">
        <v>0</v>
      </c>
      <c r="Y56" s="204">
        <v>43880</v>
      </c>
      <c r="Z56" s="204">
        <v>0</v>
      </c>
      <c r="AA56" s="204">
        <v>21120</v>
      </c>
      <c r="AB56" s="204">
        <v>0</v>
      </c>
      <c r="AC56" s="204">
        <v>18840</v>
      </c>
      <c r="AD56" s="204">
        <v>0</v>
      </c>
      <c r="AE56" s="204">
        <v>0</v>
      </c>
      <c r="AF56" s="206">
        <v>0</v>
      </c>
      <c r="AG56" s="204">
        <v>41520</v>
      </c>
      <c r="AH56" s="204">
        <v>0</v>
      </c>
      <c r="AI56" s="204">
        <v>22960</v>
      </c>
      <c r="AJ56" s="204">
        <v>11440</v>
      </c>
      <c r="AK56" s="204">
        <v>275.30915562947678</v>
      </c>
      <c r="AL56" s="204">
        <v>0</v>
      </c>
      <c r="AM56" s="204">
        <v>32640</v>
      </c>
      <c r="AN56" s="204">
        <v>0</v>
      </c>
      <c r="AO56" s="204">
        <v>0</v>
      </c>
      <c r="AP56" s="204">
        <v>0</v>
      </c>
      <c r="AQ56" s="204">
        <v>0</v>
      </c>
      <c r="AR56" s="204">
        <v>0</v>
      </c>
      <c r="AS56" s="204">
        <v>0</v>
      </c>
      <c r="AT56" s="204">
        <v>84960</v>
      </c>
      <c r="AU56" s="204">
        <v>0</v>
      </c>
      <c r="AV56" s="204">
        <v>22040</v>
      </c>
      <c r="AW56" s="204">
        <v>0</v>
      </c>
      <c r="AX56" s="204">
        <v>0</v>
      </c>
      <c r="AY56" s="204">
        <v>0</v>
      </c>
    </row>
    <row r="57" spans="1:51" ht="15" customHeight="1" x14ac:dyDescent="0.25">
      <c r="A57" s="62">
        <v>2920</v>
      </c>
      <c r="B57" s="139" t="s">
        <v>529</v>
      </c>
      <c r="C57" s="126" t="s">
        <v>530</v>
      </c>
      <c r="D57" s="204">
        <v>13064.998565451513</v>
      </c>
      <c r="E57" s="204">
        <v>12805.56744361339</v>
      </c>
      <c r="F57" s="204">
        <v>12814.084212401978</v>
      </c>
      <c r="G57" s="204">
        <v>12705.172602314989</v>
      </c>
      <c r="H57" s="204">
        <v>13619.851042697557</v>
      </c>
      <c r="I57" s="204">
        <v>11604.974408085603</v>
      </c>
      <c r="J57" s="204">
        <v>11913.03734922946</v>
      </c>
      <c r="K57" s="204">
        <v>12270.957811945183</v>
      </c>
      <c r="L57" s="204">
        <v>11991.011074386202</v>
      </c>
      <c r="M57" s="204">
        <v>12741.547411675701</v>
      </c>
      <c r="N57" s="204">
        <v>14220.158698813404</v>
      </c>
      <c r="O57" s="204">
        <v>13777.453342251571</v>
      </c>
      <c r="P57" s="204">
        <v>12781.21804834081</v>
      </c>
      <c r="Q57" s="204">
        <v>12113.034114161379</v>
      </c>
      <c r="R57" s="204">
        <v>11793.030295520059</v>
      </c>
      <c r="S57" s="204">
        <v>12841.009169645004</v>
      </c>
      <c r="T57" s="204">
        <v>11877.986305405298</v>
      </c>
      <c r="U57" s="204">
        <v>11207.976390132033</v>
      </c>
      <c r="V57" s="204">
        <v>11445.970000157018</v>
      </c>
      <c r="W57" s="204">
        <v>10807.037487598713</v>
      </c>
      <c r="X57" s="204">
        <v>11916.912342442211</v>
      </c>
      <c r="Y57" s="204">
        <v>12339.07669881748</v>
      </c>
      <c r="Z57" s="204">
        <v>12196.925938142746</v>
      </c>
      <c r="AA57" s="204">
        <v>13442.922878560064</v>
      </c>
      <c r="AB57" s="204">
        <v>11255.096018107071</v>
      </c>
      <c r="AC57" s="204">
        <v>13029</v>
      </c>
      <c r="AD57" s="204">
        <v>10745</v>
      </c>
      <c r="AE57" s="204">
        <v>9713</v>
      </c>
      <c r="AF57" s="206">
        <v>9276</v>
      </c>
      <c r="AG57" s="204">
        <v>10458</v>
      </c>
      <c r="AH57" s="204">
        <v>10201</v>
      </c>
      <c r="AI57" s="204">
        <v>10090</v>
      </c>
      <c r="AJ57" s="204">
        <v>10554</v>
      </c>
      <c r="AK57" s="204">
        <v>9951.7053414021393</v>
      </c>
      <c r="AL57" s="204">
        <v>10905</v>
      </c>
      <c r="AM57" s="204">
        <v>10099</v>
      </c>
      <c r="AN57" s="204">
        <v>11544</v>
      </c>
      <c r="AO57" s="204">
        <v>10758</v>
      </c>
      <c r="AP57" s="204">
        <v>11019</v>
      </c>
      <c r="AQ57" s="204">
        <v>11069</v>
      </c>
      <c r="AR57" s="204">
        <v>10981</v>
      </c>
      <c r="AS57" s="204">
        <v>11043</v>
      </c>
      <c r="AT57" s="204">
        <v>12090</v>
      </c>
      <c r="AU57" s="204">
        <v>12166</v>
      </c>
      <c r="AV57" s="204">
        <v>11794</v>
      </c>
      <c r="AW57" s="204">
        <v>11068</v>
      </c>
      <c r="AX57" s="204">
        <v>11606</v>
      </c>
      <c r="AY57" s="204">
        <v>11278</v>
      </c>
    </row>
    <row r="58" spans="1:51" ht="15" customHeight="1" x14ac:dyDescent="0.25">
      <c r="A58" s="38" t="s">
        <v>260</v>
      </c>
      <c r="B58" s="1" t="s">
        <v>261</v>
      </c>
      <c r="C58" s="40" t="s">
        <v>262</v>
      </c>
      <c r="D58" s="204">
        <v>124878.98262764125</v>
      </c>
      <c r="E58" s="204">
        <v>115344.76432687249</v>
      </c>
      <c r="F58" s="204">
        <v>117030.26928166064</v>
      </c>
      <c r="G58" s="204">
        <v>107207.69389983859</v>
      </c>
      <c r="H58" s="204">
        <v>107416.25319369108</v>
      </c>
      <c r="I58" s="204">
        <v>103955.9887612921</v>
      </c>
      <c r="J58" s="204">
        <v>119936.10325176385</v>
      </c>
      <c r="K58" s="204">
        <v>127755.92520695821</v>
      </c>
      <c r="L58" s="204">
        <v>117102.54691197161</v>
      </c>
      <c r="M58" s="204">
        <v>110547.94460531992</v>
      </c>
      <c r="N58" s="204">
        <v>119830.63490415219</v>
      </c>
      <c r="O58" s="204">
        <v>112616.70392876639</v>
      </c>
      <c r="P58" s="204">
        <v>100337.09793997217</v>
      </c>
      <c r="Q58" s="204">
        <v>95267.200486125905</v>
      </c>
      <c r="R58" s="204">
        <v>92390.047759608613</v>
      </c>
      <c r="S58" s="204">
        <v>99004.983075300595</v>
      </c>
      <c r="T58" s="204">
        <v>94790.979601208935</v>
      </c>
      <c r="U58" s="204">
        <v>94188.777383180073</v>
      </c>
      <c r="V58" s="204">
        <v>107401.9939073588</v>
      </c>
      <c r="W58" s="204">
        <v>95752.857875011643</v>
      </c>
      <c r="X58" s="204">
        <v>101369.89866549431</v>
      </c>
      <c r="Y58" s="204">
        <v>103408.02222704736</v>
      </c>
      <c r="Z58" s="204">
        <v>98429.869762768227</v>
      </c>
      <c r="AA58" s="204">
        <v>104131.72885942619</v>
      </c>
      <c r="AB58" s="204">
        <v>95445.12022716178</v>
      </c>
      <c r="AC58" s="204">
        <v>110954.00000000001</v>
      </c>
      <c r="AD58" s="204">
        <v>94825</v>
      </c>
      <c r="AE58" s="204">
        <v>84693</v>
      </c>
      <c r="AF58" s="206">
        <v>88523</v>
      </c>
      <c r="AG58" s="204">
        <v>96065</v>
      </c>
      <c r="AH58" s="204">
        <v>93354.000000000015</v>
      </c>
      <c r="AI58" s="204">
        <v>100495</v>
      </c>
      <c r="AJ58" s="204">
        <v>112817</v>
      </c>
      <c r="AK58" s="204">
        <v>106210.13091568594</v>
      </c>
      <c r="AL58" s="204">
        <v>109313</v>
      </c>
      <c r="AM58" s="204">
        <v>94487</v>
      </c>
      <c r="AN58" s="204">
        <v>106467</v>
      </c>
      <c r="AO58" s="204">
        <v>96851</v>
      </c>
      <c r="AP58" s="204">
        <v>93885</v>
      </c>
      <c r="AQ58" s="204">
        <v>91346</v>
      </c>
      <c r="AR58" s="204">
        <v>95282</v>
      </c>
      <c r="AS58" s="204">
        <v>107367</v>
      </c>
      <c r="AT58" s="204">
        <v>106580</v>
      </c>
      <c r="AU58" s="204">
        <v>102726</v>
      </c>
      <c r="AV58" s="204">
        <v>104260</v>
      </c>
      <c r="AW58" s="204">
        <v>88908</v>
      </c>
      <c r="AX58" s="204">
        <v>85316</v>
      </c>
      <c r="AY58" s="204">
        <v>81708</v>
      </c>
    </row>
    <row r="59" spans="1:51" ht="15" customHeight="1" x14ac:dyDescent="0.25">
      <c r="A59" s="38" t="s">
        <v>187</v>
      </c>
      <c r="B59" s="1" t="s">
        <v>188</v>
      </c>
      <c r="C59" s="40" t="s">
        <v>189</v>
      </c>
      <c r="D59" s="204">
        <v>4040.9694449502945</v>
      </c>
      <c r="E59" s="204">
        <v>4663.9768451521768</v>
      </c>
      <c r="F59" s="204">
        <v>5122.9853302127167</v>
      </c>
      <c r="G59" s="204">
        <v>5268.9540481782897</v>
      </c>
      <c r="H59" s="204">
        <v>4660.0505057388173</v>
      </c>
      <c r="I59" s="204">
        <v>3642.0213758124105</v>
      </c>
      <c r="J59" s="204">
        <v>3583.9999999999995</v>
      </c>
      <c r="K59" s="204">
        <v>5031.9972853618283</v>
      </c>
      <c r="L59" s="204">
        <v>5114.979526637735</v>
      </c>
      <c r="M59" s="204">
        <v>5700.3955136143331</v>
      </c>
      <c r="N59" s="204">
        <v>5293.4494559641489</v>
      </c>
      <c r="O59" s="204">
        <v>3577.7126821280176</v>
      </c>
      <c r="P59" s="204">
        <v>4643.0065090301432</v>
      </c>
      <c r="Q59" s="204">
        <v>5948.0199562237494</v>
      </c>
      <c r="R59" s="204">
        <v>4376.9931471750042</v>
      </c>
      <c r="S59" s="204">
        <v>5098.0084263695007</v>
      </c>
      <c r="T59" s="204">
        <v>3057.9974466431518</v>
      </c>
      <c r="U59" s="204">
        <v>2939.6840896914673</v>
      </c>
      <c r="V59" s="204">
        <v>3399.0075790396281</v>
      </c>
      <c r="W59" s="204">
        <v>3631.2040118875702</v>
      </c>
      <c r="X59" s="204">
        <v>5951.9864404265827</v>
      </c>
      <c r="Y59" s="204">
        <v>5869.0120640447676</v>
      </c>
      <c r="Z59" s="204">
        <v>4381.0048986520633</v>
      </c>
      <c r="AA59" s="204">
        <v>3852.1326056809112</v>
      </c>
      <c r="AB59" s="204">
        <v>4302.010942059097</v>
      </c>
      <c r="AC59" s="204">
        <v>5406</v>
      </c>
      <c r="AD59" s="204">
        <v>3019.0000000000005</v>
      </c>
      <c r="AE59" s="204">
        <v>1640.9999999999998</v>
      </c>
      <c r="AF59" s="206">
        <v>1687</v>
      </c>
      <c r="AG59" s="204">
        <v>1678.9999999999998</v>
      </c>
      <c r="AH59" s="204">
        <v>1493</v>
      </c>
      <c r="AI59" s="204">
        <v>1721</v>
      </c>
      <c r="AJ59" s="204">
        <v>1599</v>
      </c>
      <c r="AK59" s="204">
        <v>1243.6991428957604</v>
      </c>
      <c r="AL59" s="204">
        <v>1513.23</v>
      </c>
      <c r="AM59" s="204">
        <v>1199</v>
      </c>
      <c r="AN59" s="204">
        <v>1298</v>
      </c>
      <c r="AO59" s="204">
        <v>1322.44</v>
      </c>
      <c r="AP59" s="204">
        <v>1205</v>
      </c>
      <c r="AQ59" s="204">
        <v>1735</v>
      </c>
      <c r="AR59" s="204">
        <v>3450</v>
      </c>
      <c r="AS59" s="204">
        <v>1659</v>
      </c>
      <c r="AT59" s="204">
        <v>1378</v>
      </c>
      <c r="AU59" s="204">
        <v>2224</v>
      </c>
      <c r="AV59" s="204">
        <v>3477</v>
      </c>
      <c r="AW59" s="204">
        <v>4335</v>
      </c>
      <c r="AX59" s="204">
        <v>3903</v>
      </c>
      <c r="AY59" s="204">
        <v>3033</v>
      </c>
    </row>
    <row r="60" spans="1:51" ht="15" customHeight="1" x14ac:dyDescent="0.25">
      <c r="A60" s="38" t="s">
        <v>229</v>
      </c>
      <c r="B60" s="1" t="s">
        <v>230</v>
      </c>
      <c r="C60" s="40" t="s">
        <v>231</v>
      </c>
      <c r="D60" s="204">
        <v>22071.018314509642</v>
      </c>
      <c r="E60" s="204">
        <v>20712.998716018461</v>
      </c>
      <c r="F60" s="204">
        <v>20107.995761851344</v>
      </c>
      <c r="G60" s="204">
        <v>20559.989298490043</v>
      </c>
      <c r="H60" s="204">
        <v>20736.035299183906</v>
      </c>
      <c r="I60" s="204">
        <v>16579.995439533748</v>
      </c>
      <c r="J60" s="204">
        <v>19504.008128745623</v>
      </c>
      <c r="K60" s="204">
        <v>24131.947225912012</v>
      </c>
      <c r="L60" s="204">
        <v>25013.949056476878</v>
      </c>
      <c r="M60" s="204">
        <v>23587.849771506764</v>
      </c>
      <c r="N60" s="204">
        <v>24468.658989619507</v>
      </c>
      <c r="O60" s="204">
        <v>24267.036471238167</v>
      </c>
      <c r="P60" s="204">
        <v>25020.042935119876</v>
      </c>
      <c r="Q60" s="204">
        <v>19437.047027148936</v>
      </c>
      <c r="R60" s="204">
        <v>20680.120365795214</v>
      </c>
      <c r="S60" s="204">
        <v>23232.984398835379</v>
      </c>
      <c r="T60" s="204">
        <v>17847.981740236872</v>
      </c>
      <c r="U60" s="204">
        <v>16540.940832110817</v>
      </c>
      <c r="V60" s="204">
        <v>20330.990418684869</v>
      </c>
      <c r="W60" s="204">
        <v>19797.958611400853</v>
      </c>
      <c r="X60" s="204">
        <v>25138.00076000228</v>
      </c>
      <c r="Y60" s="204">
        <v>24477.997624325359</v>
      </c>
      <c r="Z60" s="204">
        <v>22302.985236603588</v>
      </c>
      <c r="AA60" s="204">
        <v>21397.856997973238</v>
      </c>
      <c r="AB60" s="204">
        <v>17613.067411171931</v>
      </c>
      <c r="AC60" s="204">
        <v>21429</v>
      </c>
      <c r="AD60" s="204">
        <v>17389</v>
      </c>
      <c r="AE60" s="204">
        <v>16157</v>
      </c>
      <c r="AF60" s="206">
        <v>16835</v>
      </c>
      <c r="AG60" s="204">
        <v>17440</v>
      </c>
      <c r="AH60" s="204">
        <v>17425</v>
      </c>
      <c r="AI60" s="204">
        <v>17304</v>
      </c>
      <c r="AJ60" s="204">
        <v>18089</v>
      </c>
      <c r="AK60" s="204">
        <v>15978.287633019108</v>
      </c>
      <c r="AL60" s="204">
        <v>16767</v>
      </c>
      <c r="AM60" s="204">
        <v>14010</v>
      </c>
      <c r="AN60" s="204">
        <v>14682</v>
      </c>
      <c r="AO60" s="204">
        <v>11622</v>
      </c>
      <c r="AP60" s="204">
        <v>10899</v>
      </c>
      <c r="AQ60" s="204">
        <v>10984</v>
      </c>
      <c r="AR60" s="204">
        <v>10670</v>
      </c>
      <c r="AS60" s="204">
        <v>10622</v>
      </c>
      <c r="AT60" s="204">
        <v>9939</v>
      </c>
      <c r="AU60" s="204">
        <v>10480</v>
      </c>
      <c r="AV60" s="204">
        <v>11238</v>
      </c>
      <c r="AW60" s="204">
        <v>10226</v>
      </c>
      <c r="AX60" s="204">
        <v>10051</v>
      </c>
      <c r="AY60" s="204">
        <v>8970</v>
      </c>
    </row>
    <row r="61" spans="1:51" ht="15" customHeight="1" x14ac:dyDescent="0.25">
      <c r="A61" s="38" t="s">
        <v>136</v>
      </c>
      <c r="B61" s="1" t="s">
        <v>137</v>
      </c>
      <c r="C61" s="40" t="s">
        <v>138</v>
      </c>
      <c r="D61" s="204">
        <v>6835.4279999999999</v>
      </c>
      <c r="E61" s="204">
        <v>6484.9080000000004</v>
      </c>
      <c r="F61" s="204">
        <v>6750.8040000000001</v>
      </c>
      <c r="G61" s="204">
        <v>7223.5079999999998</v>
      </c>
      <c r="H61" s="204">
        <v>7193.9639999999999</v>
      </c>
      <c r="I61" s="204">
        <v>6484.9080000000004</v>
      </c>
      <c r="J61" s="204">
        <v>7474.6320000000005</v>
      </c>
      <c r="K61" s="204">
        <v>4549.7759999999998</v>
      </c>
      <c r="L61" s="204">
        <v>7164.42</v>
      </c>
      <c r="M61" s="204">
        <v>7120.1040000000003</v>
      </c>
      <c r="N61" s="204">
        <v>7888.2480000000005</v>
      </c>
      <c r="O61" s="204">
        <v>6248.5560000000005</v>
      </c>
      <c r="P61" s="204">
        <v>6484.9080000000004</v>
      </c>
      <c r="Q61" s="204">
        <v>6455.3640000000005</v>
      </c>
      <c r="R61" s="204">
        <v>6189.4679999999998</v>
      </c>
      <c r="S61" s="204">
        <v>7061.0159999999996</v>
      </c>
      <c r="T61" s="204">
        <v>6765.576</v>
      </c>
      <c r="U61" s="204">
        <v>7193.9639999999999</v>
      </c>
      <c r="V61" s="204">
        <v>8198.4600000000009</v>
      </c>
      <c r="W61" s="204">
        <v>7386</v>
      </c>
      <c r="X61" s="204">
        <v>8139.3720000000003</v>
      </c>
      <c r="Y61" s="204">
        <v>7917.7920000000004</v>
      </c>
      <c r="Z61" s="204">
        <v>7888.2480000000005</v>
      </c>
      <c r="AA61" s="204">
        <v>5849.7120000000004</v>
      </c>
      <c r="AB61" s="204">
        <v>6204.24</v>
      </c>
      <c r="AC61" s="204">
        <v>6928.0680000000002</v>
      </c>
      <c r="AD61" s="204">
        <v>5894.0280000000002</v>
      </c>
      <c r="AE61" s="204">
        <v>4549.7759999999998</v>
      </c>
      <c r="AF61" s="206">
        <v>7090.56</v>
      </c>
      <c r="AG61" s="204">
        <v>3796.404</v>
      </c>
      <c r="AH61" s="204">
        <v>6026.9759999999997</v>
      </c>
      <c r="AI61" s="204">
        <v>7016.7</v>
      </c>
      <c r="AJ61" s="204">
        <v>6987.1559999999999</v>
      </c>
      <c r="AK61" s="204">
        <v>6563.4696788287683</v>
      </c>
      <c r="AL61" s="204">
        <v>6809.8919999999998</v>
      </c>
      <c r="AM61" s="204">
        <v>6337.1880000000001</v>
      </c>
      <c r="AN61" s="204">
        <v>5229.2880000000005</v>
      </c>
      <c r="AO61" s="204">
        <v>6159.924</v>
      </c>
      <c r="AP61" s="204">
        <v>5436.0960000000005</v>
      </c>
      <c r="AQ61" s="204">
        <v>5923.5720000000001</v>
      </c>
      <c r="AR61" s="204">
        <v>5746.308</v>
      </c>
      <c r="AS61" s="204">
        <v>6189.4679999999998</v>
      </c>
      <c r="AT61" s="204">
        <v>7193.9639999999999</v>
      </c>
      <c r="AU61" s="204">
        <v>8080.2839999999997</v>
      </c>
      <c r="AV61" s="204">
        <v>8331.4079999999994</v>
      </c>
      <c r="AW61" s="204">
        <v>7740.5280000000002</v>
      </c>
      <c r="AX61" s="204">
        <v>7223.5079999999998</v>
      </c>
      <c r="AY61" s="204">
        <v>6839.4359999999997</v>
      </c>
    </row>
    <row r="62" spans="1:51" ht="15" customHeight="1" x14ac:dyDescent="0.25">
      <c r="A62" s="38" t="s">
        <v>472</v>
      </c>
      <c r="B62" s="1" t="s">
        <v>473</v>
      </c>
      <c r="C62" s="40" t="s">
        <v>474</v>
      </c>
      <c r="D62" s="204">
        <v>74580.942631120313</v>
      </c>
      <c r="E62" s="204">
        <v>70132.407280494648</v>
      </c>
      <c r="F62" s="204">
        <v>66038.636147917525</v>
      </c>
      <c r="G62" s="204">
        <v>66037.979563952598</v>
      </c>
      <c r="H62" s="204">
        <v>71363.016438096776</v>
      </c>
      <c r="I62" s="204">
        <v>62082.997730497918</v>
      </c>
      <c r="J62" s="204">
        <v>62672.033694260652</v>
      </c>
      <c r="K62" s="204">
        <v>65327.988918496769</v>
      </c>
      <c r="L62" s="204">
        <v>64020.76215963492</v>
      </c>
      <c r="M62" s="204">
        <v>68077.977686157683</v>
      </c>
      <c r="N62" s="204">
        <v>74762.525527491554</v>
      </c>
      <c r="O62" s="204">
        <v>70782.693475133332</v>
      </c>
      <c r="P62" s="204">
        <v>65902.044860303082</v>
      </c>
      <c r="Q62" s="204">
        <v>65035.120941426794</v>
      </c>
      <c r="R62" s="204">
        <v>65711.02243453711</v>
      </c>
      <c r="S62" s="204">
        <v>70214.970977625591</v>
      </c>
      <c r="T62" s="204">
        <v>63119.013180430215</v>
      </c>
      <c r="U62" s="204">
        <v>59291.8361347022</v>
      </c>
      <c r="V62" s="204">
        <v>64574.007797410974</v>
      </c>
      <c r="W62" s="204">
        <v>59368.915942609361</v>
      </c>
      <c r="X62" s="204">
        <v>63606.964767382698</v>
      </c>
      <c r="Y62" s="204">
        <v>70967.043704395328</v>
      </c>
      <c r="Z62" s="204">
        <v>65112.889907666962</v>
      </c>
      <c r="AA62" s="204">
        <v>66639.805652805342</v>
      </c>
      <c r="AB62" s="204">
        <v>58652.086616834225</v>
      </c>
      <c r="AC62" s="204">
        <v>65861</v>
      </c>
      <c r="AD62" s="204">
        <v>56366</v>
      </c>
      <c r="AE62" s="204">
        <v>43322</v>
      </c>
      <c r="AF62" s="206">
        <v>49488</v>
      </c>
      <c r="AG62" s="204">
        <v>50958</v>
      </c>
      <c r="AH62" s="204">
        <v>55337</v>
      </c>
      <c r="AI62" s="204">
        <v>50519</v>
      </c>
      <c r="AJ62" s="204">
        <v>57788</v>
      </c>
      <c r="AK62" s="204">
        <v>53515.450952295083</v>
      </c>
      <c r="AL62" s="204">
        <v>63549</v>
      </c>
      <c r="AM62" s="204">
        <v>58725</v>
      </c>
      <c r="AN62" s="204">
        <v>62799</v>
      </c>
      <c r="AO62" s="204">
        <v>56319</v>
      </c>
      <c r="AP62" s="204">
        <v>54449</v>
      </c>
      <c r="AQ62" s="204">
        <v>53861</v>
      </c>
      <c r="AR62" s="204">
        <v>55915</v>
      </c>
      <c r="AS62" s="204">
        <v>58787</v>
      </c>
      <c r="AT62" s="204">
        <v>57181</v>
      </c>
      <c r="AU62" s="204">
        <v>54899</v>
      </c>
      <c r="AV62" s="204">
        <v>60388</v>
      </c>
      <c r="AW62" s="204">
        <v>57729</v>
      </c>
      <c r="AX62" s="204">
        <v>62801</v>
      </c>
      <c r="AY62" s="204">
        <v>59439</v>
      </c>
    </row>
    <row r="63" spans="1:51" ht="15" customHeight="1" x14ac:dyDescent="0.25">
      <c r="A63" s="38" t="s">
        <v>483</v>
      </c>
      <c r="B63" s="1" t="s">
        <v>484</v>
      </c>
      <c r="C63" s="40" t="s">
        <v>485</v>
      </c>
      <c r="D63" s="204">
        <v>31483.727999999999</v>
      </c>
      <c r="E63" s="204">
        <v>30111.887999999999</v>
      </c>
      <c r="F63" s="204">
        <v>31346.543999999998</v>
      </c>
      <c r="G63" s="204">
        <v>33541.487999999998</v>
      </c>
      <c r="H63" s="204">
        <v>33404.303999999996</v>
      </c>
      <c r="I63" s="204">
        <v>30111.887999999999</v>
      </c>
      <c r="J63" s="204">
        <v>34707.552000000003</v>
      </c>
      <c r="K63" s="204">
        <v>21126.335999999999</v>
      </c>
      <c r="L63" s="204">
        <v>33267.120000000003</v>
      </c>
      <c r="M63" s="204">
        <v>33061.343999999997</v>
      </c>
      <c r="N63" s="204">
        <v>36628.127999999997</v>
      </c>
      <c r="O63" s="204">
        <v>29014.416000000001</v>
      </c>
      <c r="P63" s="204">
        <v>30111.887999999999</v>
      </c>
      <c r="Q63" s="204">
        <v>29974.704000000002</v>
      </c>
      <c r="R63" s="204">
        <v>28740.047999999999</v>
      </c>
      <c r="S63" s="204">
        <v>32786.976000000002</v>
      </c>
      <c r="T63" s="204">
        <v>31415.135999999999</v>
      </c>
      <c r="U63" s="204">
        <v>33404.303999999996</v>
      </c>
      <c r="V63" s="204">
        <v>38068.559999999998</v>
      </c>
      <c r="W63" s="204">
        <v>34296</v>
      </c>
      <c r="X63" s="204">
        <v>37794.192000000003</v>
      </c>
      <c r="Y63" s="204">
        <v>36765.311999999998</v>
      </c>
      <c r="Z63" s="204">
        <v>36628.127999999997</v>
      </c>
      <c r="AA63" s="204">
        <v>27162.432000000001</v>
      </c>
      <c r="AB63" s="204">
        <v>28808.639999999999</v>
      </c>
      <c r="AC63" s="204">
        <v>32169.648000000001</v>
      </c>
      <c r="AD63" s="204">
        <v>27368.207999999999</v>
      </c>
      <c r="AE63" s="204">
        <v>21126.335999999999</v>
      </c>
      <c r="AF63" s="206">
        <v>32924.159999999996</v>
      </c>
      <c r="AG63" s="204">
        <v>17628.144</v>
      </c>
      <c r="AH63" s="204">
        <v>27985.536</v>
      </c>
      <c r="AI63" s="204">
        <v>32581.200000000001</v>
      </c>
      <c r="AJ63" s="204">
        <v>32444.016</v>
      </c>
      <c r="AK63" s="204">
        <v>30476.679678460794</v>
      </c>
      <c r="AL63" s="204">
        <v>31620.912</v>
      </c>
      <c r="AM63" s="204">
        <v>29425.968000000001</v>
      </c>
      <c r="AN63" s="204">
        <v>24281.567999999999</v>
      </c>
      <c r="AO63" s="204">
        <v>28602.864000000001</v>
      </c>
      <c r="AP63" s="204">
        <v>25241.856</v>
      </c>
      <c r="AQ63" s="204">
        <v>27505.392</v>
      </c>
      <c r="AR63" s="204">
        <v>26682.288</v>
      </c>
      <c r="AS63" s="204">
        <v>28740.047999999999</v>
      </c>
      <c r="AT63" s="204">
        <v>33404.303999999996</v>
      </c>
      <c r="AU63" s="204">
        <v>37519.824000000001</v>
      </c>
      <c r="AV63" s="204">
        <v>38685.887999999999</v>
      </c>
      <c r="AW63" s="204">
        <v>35942.207999999999</v>
      </c>
      <c r="AX63" s="204">
        <v>33541.487999999998</v>
      </c>
      <c r="AY63" s="204">
        <v>31758.096000000001</v>
      </c>
    </row>
    <row r="64" spans="1:51" ht="15" customHeight="1" x14ac:dyDescent="0.25">
      <c r="A64" s="38" t="s">
        <v>361</v>
      </c>
      <c r="B64" s="1" t="s">
        <v>362</v>
      </c>
      <c r="C64" s="40" t="s">
        <v>363</v>
      </c>
      <c r="D64" s="204">
        <v>5440</v>
      </c>
      <c r="E64" s="204">
        <v>5440</v>
      </c>
      <c r="F64" s="204">
        <v>35260</v>
      </c>
      <c r="G64" s="204">
        <v>11460</v>
      </c>
      <c r="H64" s="204">
        <v>12060</v>
      </c>
      <c r="I64" s="204">
        <v>11680</v>
      </c>
      <c r="J64" s="204">
        <v>0</v>
      </c>
      <c r="K64" s="204">
        <v>20280</v>
      </c>
      <c r="L64" s="204">
        <v>11680</v>
      </c>
      <c r="M64" s="204">
        <v>12680</v>
      </c>
      <c r="N64" s="204">
        <v>9420</v>
      </c>
      <c r="O64" s="204">
        <v>37080</v>
      </c>
      <c r="P64" s="204">
        <v>5940</v>
      </c>
      <c r="Q64" s="204">
        <v>8460</v>
      </c>
      <c r="R64" s="204">
        <v>8360</v>
      </c>
      <c r="S64" s="204">
        <v>4760</v>
      </c>
      <c r="T64" s="204">
        <v>27840</v>
      </c>
      <c r="U64" s="204">
        <v>20000</v>
      </c>
      <c r="V64" s="204">
        <v>15960</v>
      </c>
      <c r="W64" s="204">
        <v>13720</v>
      </c>
      <c r="X64" s="204">
        <v>18040</v>
      </c>
      <c r="Y64" s="204">
        <v>16480</v>
      </c>
      <c r="Z64" s="204">
        <v>18140</v>
      </c>
      <c r="AA64" s="204">
        <v>13640</v>
      </c>
      <c r="AB64" s="204">
        <v>15740</v>
      </c>
      <c r="AC64" s="204">
        <v>18920</v>
      </c>
      <c r="AD64" s="204">
        <v>13440</v>
      </c>
      <c r="AE64" s="204">
        <v>14920</v>
      </c>
      <c r="AF64" s="206">
        <v>0</v>
      </c>
      <c r="AG64" s="204">
        <v>29160</v>
      </c>
      <c r="AH64" s="204">
        <v>13820</v>
      </c>
      <c r="AI64" s="204">
        <v>11280</v>
      </c>
      <c r="AJ64" s="204">
        <v>0</v>
      </c>
      <c r="AK64" s="204">
        <v>281.90182881829861</v>
      </c>
      <c r="AL64" s="204">
        <v>0</v>
      </c>
      <c r="AM64" s="204">
        <v>15580</v>
      </c>
      <c r="AN64" s="204">
        <v>65940</v>
      </c>
      <c r="AO64" s="204">
        <v>0</v>
      </c>
      <c r="AP64" s="204">
        <v>26840</v>
      </c>
      <c r="AQ64" s="204">
        <v>0</v>
      </c>
      <c r="AR64" s="204">
        <v>23820</v>
      </c>
      <c r="AS64" s="204">
        <v>11600</v>
      </c>
      <c r="AT64" s="204">
        <v>8000</v>
      </c>
      <c r="AU64" s="204">
        <v>11040</v>
      </c>
      <c r="AV64" s="204">
        <v>11540</v>
      </c>
      <c r="AW64" s="204">
        <v>14080</v>
      </c>
      <c r="AX64" s="204">
        <v>15220</v>
      </c>
      <c r="AY64" s="204">
        <v>13440</v>
      </c>
    </row>
    <row r="65" spans="1:51" ht="15" customHeight="1" x14ac:dyDescent="0.25">
      <c r="A65" s="38">
        <v>2330</v>
      </c>
      <c r="B65" s="240" t="s">
        <v>438</v>
      </c>
      <c r="C65" s="40" t="s">
        <v>439</v>
      </c>
      <c r="D65" s="204">
        <v>26682</v>
      </c>
      <c r="E65" s="204">
        <v>26682</v>
      </c>
      <c r="F65" s="204">
        <v>26682</v>
      </c>
      <c r="G65" s="204">
        <v>26682</v>
      </c>
      <c r="H65" s="204">
        <v>24018</v>
      </c>
      <c r="I65" s="204">
        <v>22779</v>
      </c>
      <c r="J65" s="204">
        <v>23616</v>
      </c>
      <c r="K65" s="204">
        <v>22980</v>
      </c>
      <c r="L65" s="204">
        <v>22677</v>
      </c>
      <c r="M65" s="204">
        <v>24064</v>
      </c>
      <c r="N65" s="204">
        <v>23071</v>
      </c>
      <c r="O65" s="204">
        <v>22617</v>
      </c>
      <c r="P65" s="204">
        <v>26682</v>
      </c>
      <c r="Q65" s="204">
        <v>18422</v>
      </c>
      <c r="R65" s="204">
        <v>26682</v>
      </c>
      <c r="S65" s="204">
        <v>26682</v>
      </c>
      <c r="T65" s="204">
        <v>21156.93</v>
      </c>
      <c r="U65" s="204">
        <v>20303</v>
      </c>
      <c r="V65" s="204">
        <v>21735.944149973318</v>
      </c>
      <c r="W65" s="204">
        <v>22241</v>
      </c>
      <c r="X65" s="204">
        <v>20938.37</v>
      </c>
      <c r="Y65" s="204">
        <v>18352.14</v>
      </c>
      <c r="Z65" s="204">
        <v>21998.3</v>
      </c>
      <c r="AA65" s="204">
        <v>21602.05</v>
      </c>
      <c r="AB65" s="204">
        <v>22443</v>
      </c>
      <c r="AC65" s="204">
        <v>20911</v>
      </c>
      <c r="AD65" s="204">
        <v>17147</v>
      </c>
      <c r="AE65" s="204">
        <v>14439.99</v>
      </c>
      <c r="AF65" s="206">
        <v>14843</v>
      </c>
      <c r="AG65" s="204">
        <v>17049</v>
      </c>
      <c r="AH65" s="204">
        <v>18617</v>
      </c>
      <c r="AI65" s="204">
        <v>19290</v>
      </c>
      <c r="AJ65" s="204">
        <v>18654</v>
      </c>
      <c r="AK65" s="204">
        <v>18886.332505809092</v>
      </c>
      <c r="AL65" s="204">
        <v>18537</v>
      </c>
      <c r="AM65" s="204">
        <v>19279</v>
      </c>
      <c r="AN65" s="204">
        <v>19390</v>
      </c>
      <c r="AO65" s="204">
        <v>17387</v>
      </c>
      <c r="AP65" s="204">
        <v>19108</v>
      </c>
      <c r="AQ65" s="204">
        <v>18294</v>
      </c>
      <c r="AR65" s="204">
        <v>18753</v>
      </c>
      <c r="AS65" s="204">
        <v>8611</v>
      </c>
      <c r="AT65" s="204">
        <v>20105</v>
      </c>
      <c r="AU65" s="204">
        <v>20576</v>
      </c>
      <c r="AV65" s="204">
        <v>20971</v>
      </c>
      <c r="AW65" s="204">
        <v>22281</v>
      </c>
      <c r="AX65" s="204">
        <v>21252</v>
      </c>
      <c r="AY65" s="204">
        <v>20994</v>
      </c>
    </row>
    <row r="66" spans="1:51" ht="15" customHeight="1" x14ac:dyDescent="0.25">
      <c r="A66" s="62">
        <v>3260</v>
      </c>
      <c r="B66" s="207" t="s">
        <v>555</v>
      </c>
      <c r="C66" s="40" t="s">
        <v>556</v>
      </c>
      <c r="D66" s="204">
        <v>111375.48921823842</v>
      </c>
      <c r="E66" s="204">
        <v>108028.52739252996</v>
      </c>
      <c r="F66" s="204">
        <v>114934.05038292939</v>
      </c>
      <c r="G66" s="204">
        <v>112261.93995048539</v>
      </c>
      <c r="H66" s="204">
        <v>123633.03970762041</v>
      </c>
      <c r="I66" s="204">
        <v>116472.0074287763</v>
      </c>
      <c r="J66" s="204">
        <v>136711.09827004586</v>
      </c>
      <c r="K66" s="204">
        <v>145017.95006692459</v>
      </c>
      <c r="L66" s="204">
        <v>132037.48766099263</v>
      </c>
      <c r="M66" s="204">
        <v>130569.20792382043</v>
      </c>
      <c r="N66" s="204">
        <v>128678.14981887849</v>
      </c>
      <c r="O66" s="204">
        <v>120288.44148358489</v>
      </c>
      <c r="P66" s="204">
        <v>114389.06229046878</v>
      </c>
      <c r="Q66" s="204">
        <v>114671.22794290223</v>
      </c>
      <c r="R66" s="204">
        <v>135612.01350746272</v>
      </c>
      <c r="S66" s="204">
        <v>135945.00925017253</v>
      </c>
      <c r="T66" s="204">
        <v>115415.98420104284</v>
      </c>
      <c r="U66" s="204">
        <v>122433.69840176466</v>
      </c>
      <c r="V66" s="204">
        <v>145286.93197536899</v>
      </c>
      <c r="W66" s="204">
        <v>141634.76948820127</v>
      </c>
      <c r="X66" s="204">
        <v>154030.85308436819</v>
      </c>
      <c r="Y66" s="204">
        <v>152247.08436602776</v>
      </c>
      <c r="Z66" s="204">
        <v>149621.82259049927</v>
      </c>
      <c r="AA66" s="204">
        <v>137044.62012280201</v>
      </c>
      <c r="AB66" s="204">
        <v>118135.15928548703</v>
      </c>
      <c r="AC66" s="204">
        <v>128353</v>
      </c>
      <c r="AD66" s="204">
        <v>108350.00000000001</v>
      </c>
      <c r="AE66" s="204">
        <v>105225</v>
      </c>
      <c r="AF66" s="206">
        <v>118650</v>
      </c>
      <c r="AG66" s="204">
        <v>128510</v>
      </c>
      <c r="AH66" s="204">
        <v>130948.99999999999</v>
      </c>
      <c r="AI66" s="204">
        <v>142082</v>
      </c>
      <c r="AJ66" s="204">
        <v>157740</v>
      </c>
      <c r="AK66" s="204">
        <v>154783.14831580853</v>
      </c>
      <c r="AL66" s="204">
        <v>150973</v>
      </c>
      <c r="AM66" s="204">
        <v>112266</v>
      </c>
      <c r="AN66" s="204">
        <v>116124</v>
      </c>
      <c r="AO66" s="204">
        <v>110920</v>
      </c>
      <c r="AP66" s="204">
        <v>107227</v>
      </c>
      <c r="AQ66" s="204">
        <v>108561</v>
      </c>
      <c r="AR66" s="204">
        <v>109332</v>
      </c>
      <c r="AS66" s="204">
        <v>142745</v>
      </c>
      <c r="AT66" s="204">
        <v>158400</v>
      </c>
      <c r="AU66" s="204">
        <v>141637</v>
      </c>
      <c r="AV66" s="204">
        <v>165612</v>
      </c>
      <c r="AW66" s="204">
        <v>136437</v>
      </c>
      <c r="AX66" s="204">
        <v>136825</v>
      </c>
      <c r="AY66" s="204">
        <v>112633</v>
      </c>
    </row>
    <row r="67" spans="1:51" ht="15" customHeight="1" x14ac:dyDescent="0.25">
      <c r="A67" s="38" t="s">
        <v>235</v>
      </c>
      <c r="B67" s="1" t="s">
        <v>236</v>
      </c>
      <c r="C67" s="40" t="s">
        <v>237</v>
      </c>
      <c r="D67" s="204">
        <v>21041.665238709684</v>
      </c>
      <c r="E67" s="204">
        <v>18937.183022137327</v>
      </c>
      <c r="F67" s="204">
        <v>17068.346872286635</v>
      </c>
      <c r="G67" s="204">
        <v>15487.672480949908</v>
      </c>
      <c r="H67" s="204">
        <v>14178.99376329907</v>
      </c>
      <c r="I67" s="204">
        <v>24392.0521470688</v>
      </c>
      <c r="J67" s="204">
        <v>19336</v>
      </c>
      <c r="K67" s="204">
        <v>22162.754756934024</v>
      </c>
      <c r="L67" s="204">
        <v>28255.518790165181</v>
      </c>
      <c r="M67" s="204">
        <v>26679.6708266768</v>
      </c>
      <c r="N67" s="204">
        <v>26290.568504936928</v>
      </c>
      <c r="O67" s="204">
        <v>18904.58728246978</v>
      </c>
      <c r="P67" s="204">
        <v>20222.821370089412</v>
      </c>
      <c r="Q67" s="204">
        <v>20849.728395437858</v>
      </c>
      <c r="R67" s="204">
        <v>20121.966304529877</v>
      </c>
      <c r="S67" s="204">
        <v>25056.342322030792</v>
      </c>
      <c r="T67" s="204">
        <v>16542.269443988691</v>
      </c>
      <c r="U67" s="204">
        <v>13729.793134778725</v>
      </c>
      <c r="V67" s="204">
        <v>17967.680246370503</v>
      </c>
      <c r="W67" s="204">
        <v>18543.196165257526</v>
      </c>
      <c r="X67" s="204">
        <v>29295.936380792489</v>
      </c>
      <c r="Y67" s="204">
        <v>27623.89624500104</v>
      </c>
      <c r="Z67" s="204">
        <v>23846.422856095203</v>
      </c>
      <c r="AA67" s="204">
        <v>20714.982363623327</v>
      </c>
      <c r="AB67" s="204">
        <v>18291.653201648398</v>
      </c>
      <c r="AC67" s="204">
        <v>22941</v>
      </c>
      <c r="AD67" s="204">
        <v>17475</v>
      </c>
      <c r="AE67" s="204">
        <v>14309.449999999999</v>
      </c>
      <c r="AF67" s="206">
        <v>15030</v>
      </c>
      <c r="AG67" s="204">
        <v>85875</v>
      </c>
      <c r="AH67" s="204">
        <v>85569</v>
      </c>
      <c r="AI67" s="204">
        <v>102577</v>
      </c>
      <c r="AJ67" s="204">
        <v>112397</v>
      </c>
      <c r="AK67" s="204">
        <v>81942.682651430441</v>
      </c>
      <c r="AL67" s="204">
        <v>81821</v>
      </c>
      <c r="AM67" s="204">
        <v>64714</v>
      </c>
      <c r="AN67" s="204">
        <v>71522</v>
      </c>
      <c r="AO67" s="204">
        <v>65344</v>
      </c>
      <c r="AP67" s="204">
        <v>65660</v>
      </c>
      <c r="AQ67" s="204">
        <v>64370</v>
      </c>
      <c r="AR67" s="204">
        <v>67171</v>
      </c>
      <c r="AS67" s="204">
        <v>77917</v>
      </c>
      <c r="AT67" s="204">
        <v>81538</v>
      </c>
      <c r="AU67" s="204">
        <v>99025</v>
      </c>
      <c r="AV67" s="204">
        <v>147320</v>
      </c>
      <c r="AW67" s="204">
        <v>126791</v>
      </c>
      <c r="AX67" s="204">
        <v>129199</v>
      </c>
      <c r="AY67" s="204">
        <v>92249</v>
      </c>
    </row>
    <row r="68" spans="1:51" ht="15" customHeight="1" x14ac:dyDescent="0.25">
      <c r="A68" s="38" t="s">
        <v>275</v>
      </c>
      <c r="B68" s="1" t="s">
        <v>276</v>
      </c>
      <c r="C68" s="258" t="s">
        <v>277</v>
      </c>
      <c r="D68" s="204">
        <v>0</v>
      </c>
      <c r="E68" s="204">
        <v>0</v>
      </c>
      <c r="F68" s="204">
        <v>0</v>
      </c>
      <c r="G68" s="204">
        <v>0</v>
      </c>
      <c r="H68" s="204">
        <v>0</v>
      </c>
      <c r="I68" s="204">
        <v>0</v>
      </c>
      <c r="J68" s="204">
        <v>0</v>
      </c>
      <c r="K68" s="204">
        <v>0</v>
      </c>
      <c r="L68" s="204">
        <v>0</v>
      </c>
      <c r="M68" s="204">
        <v>0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4">
        <v>0</v>
      </c>
      <c r="W68" s="204">
        <v>0</v>
      </c>
      <c r="X68" s="204">
        <v>0</v>
      </c>
      <c r="Y68" s="204">
        <v>0</v>
      </c>
      <c r="Z68" s="204">
        <v>0</v>
      </c>
      <c r="AA68" s="204">
        <v>0</v>
      </c>
      <c r="AB68" s="204">
        <v>0</v>
      </c>
      <c r="AC68" s="204">
        <v>0</v>
      </c>
      <c r="AD68" s="204">
        <v>0</v>
      </c>
      <c r="AE68" s="204">
        <v>0</v>
      </c>
      <c r="AF68" s="206">
        <v>0</v>
      </c>
      <c r="AG68" s="204">
        <v>0</v>
      </c>
      <c r="AH68" s="204">
        <v>0</v>
      </c>
      <c r="AI68" s="204">
        <v>0</v>
      </c>
      <c r="AJ68" s="204">
        <v>0</v>
      </c>
      <c r="AK68" s="204">
        <v>0</v>
      </c>
      <c r="AL68" s="204">
        <v>0</v>
      </c>
      <c r="AM68" s="204">
        <v>0</v>
      </c>
      <c r="AN68" s="204">
        <v>0</v>
      </c>
      <c r="AO68" s="204">
        <v>0</v>
      </c>
      <c r="AP68" s="204">
        <v>0</v>
      </c>
      <c r="AQ68" s="204">
        <v>0</v>
      </c>
      <c r="AR68" s="204">
        <v>0</v>
      </c>
      <c r="AS68" s="204">
        <v>0</v>
      </c>
      <c r="AT68" s="204">
        <v>0</v>
      </c>
      <c r="AU68" s="204">
        <v>0</v>
      </c>
      <c r="AV68" s="204">
        <v>0</v>
      </c>
      <c r="AW68" s="204">
        <v>0</v>
      </c>
      <c r="AX68" s="204">
        <v>0</v>
      </c>
      <c r="AY68" s="204">
        <v>0</v>
      </c>
    </row>
    <row r="69" spans="1:51" ht="15" customHeight="1" x14ac:dyDescent="0.25">
      <c r="A69" s="38" t="s">
        <v>154</v>
      </c>
      <c r="B69" s="1" t="s">
        <v>155</v>
      </c>
      <c r="C69" s="258" t="s">
        <v>156</v>
      </c>
      <c r="D69" s="204">
        <v>0</v>
      </c>
      <c r="E69" s="204">
        <v>0</v>
      </c>
      <c r="F69" s="204">
        <v>0</v>
      </c>
      <c r="G69" s="204">
        <v>0</v>
      </c>
      <c r="H69" s="204">
        <v>0</v>
      </c>
      <c r="I69" s="204">
        <v>0</v>
      </c>
      <c r="J69" s="204">
        <v>0</v>
      </c>
      <c r="K69" s="204">
        <v>0</v>
      </c>
      <c r="L69" s="204">
        <v>0</v>
      </c>
      <c r="M69" s="204">
        <v>0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4">
        <v>0</v>
      </c>
      <c r="W69" s="204">
        <v>0</v>
      </c>
      <c r="X69" s="204">
        <v>0</v>
      </c>
      <c r="Y69" s="204">
        <v>0</v>
      </c>
      <c r="Z69" s="204">
        <v>0</v>
      </c>
      <c r="AA69" s="204">
        <v>0</v>
      </c>
      <c r="AB69" s="204">
        <v>0</v>
      </c>
      <c r="AC69" s="204">
        <v>0</v>
      </c>
      <c r="AD69" s="204">
        <v>0</v>
      </c>
      <c r="AE69" s="204">
        <v>0</v>
      </c>
      <c r="AF69" s="206">
        <v>0</v>
      </c>
      <c r="AG69" s="204">
        <v>0</v>
      </c>
      <c r="AH69" s="204">
        <v>0</v>
      </c>
      <c r="AI69" s="204">
        <v>0</v>
      </c>
      <c r="AJ69" s="204">
        <v>0</v>
      </c>
      <c r="AK69" s="204">
        <v>0</v>
      </c>
      <c r="AL69" s="204">
        <v>0</v>
      </c>
      <c r="AM69" s="204">
        <v>0</v>
      </c>
      <c r="AN69" s="204">
        <v>0</v>
      </c>
      <c r="AO69" s="204">
        <v>0</v>
      </c>
      <c r="AP69" s="204">
        <v>0</v>
      </c>
      <c r="AQ69" s="204">
        <v>0</v>
      </c>
      <c r="AR69" s="204">
        <v>0</v>
      </c>
      <c r="AS69" s="204">
        <v>0</v>
      </c>
      <c r="AT69" s="204">
        <v>0</v>
      </c>
      <c r="AU69" s="204">
        <v>0</v>
      </c>
      <c r="AV69" s="204">
        <v>0</v>
      </c>
      <c r="AW69" s="204">
        <v>0</v>
      </c>
      <c r="AX69" s="204">
        <v>0</v>
      </c>
      <c r="AY69" s="204">
        <v>0</v>
      </c>
    </row>
    <row r="70" spans="1:51" ht="15" customHeight="1" x14ac:dyDescent="0.25">
      <c r="A70" s="38" t="s">
        <v>293</v>
      </c>
      <c r="B70" s="1" t="s">
        <v>294</v>
      </c>
      <c r="C70" s="40" t="s">
        <v>295</v>
      </c>
      <c r="D70" s="204">
        <v>6551.008914486707</v>
      </c>
      <c r="E70" s="204">
        <v>5903.9945491892277</v>
      </c>
      <c r="F70" s="204">
        <v>5872.0349194070459</v>
      </c>
      <c r="G70" s="204">
        <v>5523.239556775492</v>
      </c>
      <c r="H70" s="204">
        <v>5652.7259577284512</v>
      </c>
      <c r="I70" s="204">
        <v>6178.9889318486166</v>
      </c>
      <c r="J70" s="204">
        <v>9876.0201375525176</v>
      </c>
      <c r="K70" s="204">
        <v>11004.966195739396</v>
      </c>
      <c r="L70" s="204">
        <v>8943.9667352113775</v>
      </c>
      <c r="M70" s="204">
        <v>7798.9470188388805</v>
      </c>
      <c r="N70" s="204">
        <v>6784.8797829716686</v>
      </c>
      <c r="O70" s="204">
        <v>5408.5549828329313</v>
      </c>
      <c r="P70" s="204">
        <v>5838.9890672227275</v>
      </c>
      <c r="Q70" s="204">
        <v>6194.0098380139334</v>
      </c>
      <c r="R70" s="204">
        <v>5370.0283456281813</v>
      </c>
      <c r="S70" s="204">
        <v>6899.0186548285747</v>
      </c>
      <c r="T70" s="204">
        <v>5578.0192619127529</v>
      </c>
      <c r="U70" s="204">
        <v>7288.967406273875</v>
      </c>
      <c r="V70" s="204">
        <v>9405.0155583527176</v>
      </c>
      <c r="W70" s="204">
        <v>9707.9901135204655</v>
      </c>
      <c r="X70" s="204">
        <v>10506.013357636946</v>
      </c>
      <c r="Y70" s="204">
        <v>8423.9829528178125</v>
      </c>
      <c r="Z70" s="204">
        <v>5430.0205641773855</v>
      </c>
      <c r="AA70" s="204">
        <v>5796.9715973426592</v>
      </c>
      <c r="AB70" s="204">
        <v>5346.0064939488375</v>
      </c>
      <c r="AC70" s="204">
        <v>6322</v>
      </c>
      <c r="AD70" s="204">
        <v>4489</v>
      </c>
      <c r="AE70" s="204">
        <v>4016</v>
      </c>
      <c r="AF70" s="206">
        <v>4673</v>
      </c>
      <c r="AG70" s="204">
        <v>5612</v>
      </c>
      <c r="AH70" s="204">
        <v>5183</v>
      </c>
      <c r="AI70" s="204">
        <v>6337</v>
      </c>
      <c r="AJ70" s="204">
        <v>6353</v>
      </c>
      <c r="AK70" s="204">
        <v>5335.4208539211113</v>
      </c>
      <c r="AL70" s="204">
        <v>6182</v>
      </c>
      <c r="AM70" s="204">
        <v>4571</v>
      </c>
      <c r="AN70" s="204">
        <v>5072</v>
      </c>
      <c r="AO70" s="204">
        <v>4239</v>
      </c>
      <c r="AP70" s="204">
        <v>3711</v>
      </c>
      <c r="AQ70" s="204">
        <v>3797</v>
      </c>
      <c r="AR70" s="204">
        <v>4445</v>
      </c>
      <c r="AS70" s="204">
        <v>6153</v>
      </c>
      <c r="AT70" s="204">
        <v>7530</v>
      </c>
      <c r="AU70" s="204">
        <v>8077</v>
      </c>
      <c r="AV70" s="204">
        <v>10003</v>
      </c>
      <c r="AW70" s="204">
        <v>8128</v>
      </c>
      <c r="AX70" s="204">
        <v>7265</v>
      </c>
      <c r="AY70" s="204">
        <v>7135</v>
      </c>
    </row>
    <row r="71" spans="1:51" ht="15" customHeight="1" x14ac:dyDescent="0.25">
      <c r="A71" s="38" t="s">
        <v>142</v>
      </c>
      <c r="B71" s="1" t="s">
        <v>143</v>
      </c>
      <c r="C71" s="40" t="s">
        <v>144</v>
      </c>
      <c r="D71" s="204">
        <v>66948.971221794069</v>
      </c>
      <c r="E71" s="204">
        <v>80413.028418419781</v>
      </c>
      <c r="F71" s="204">
        <v>70864.043906064224</v>
      </c>
      <c r="G71" s="204">
        <v>72868.002573599471</v>
      </c>
      <c r="H71" s="204">
        <v>53413.029380014217</v>
      </c>
      <c r="I71" s="204">
        <v>42694.975663428966</v>
      </c>
      <c r="J71" s="204">
        <v>50302.022446179013</v>
      </c>
      <c r="K71" s="204">
        <v>83024.988371739848</v>
      </c>
      <c r="L71" s="204">
        <v>105218.61183382486</v>
      </c>
      <c r="M71" s="204">
        <v>95044.434195283975</v>
      </c>
      <c r="N71" s="204">
        <v>90793.657382024452</v>
      </c>
      <c r="O71" s="204">
        <v>58147.464226835567</v>
      </c>
      <c r="P71" s="204">
        <v>84524.032065008592</v>
      </c>
      <c r="Q71" s="204">
        <v>104600.19980440014</v>
      </c>
      <c r="R71" s="204">
        <v>74919.015341487655</v>
      </c>
      <c r="S71" s="204">
        <v>83351.017266076975</v>
      </c>
      <c r="T71" s="204">
        <v>45539.990090986299</v>
      </c>
      <c r="U71" s="204">
        <v>34743.921733764328</v>
      </c>
      <c r="V71" s="204">
        <v>51151.978213684466</v>
      </c>
      <c r="W71" s="204">
        <v>78610.880786612339</v>
      </c>
      <c r="X71" s="204">
        <v>123222.87979036719</v>
      </c>
      <c r="Y71" s="204">
        <v>103857.02664015591</v>
      </c>
      <c r="Z71" s="204">
        <v>83216.90000600311</v>
      </c>
      <c r="AA71" s="204">
        <v>69716.791085862191</v>
      </c>
      <c r="AB71" s="204">
        <v>80051.109276348725</v>
      </c>
      <c r="AC71" s="204">
        <v>108188.99999999999</v>
      </c>
      <c r="AD71" s="204">
        <v>71152</v>
      </c>
      <c r="AE71" s="204">
        <v>40808</v>
      </c>
      <c r="AF71" s="206">
        <v>44536</v>
      </c>
      <c r="AG71" s="204">
        <v>37048</v>
      </c>
      <c r="AH71" s="204">
        <v>36919</v>
      </c>
      <c r="AI71" s="204">
        <v>35281</v>
      </c>
      <c r="AJ71" s="204">
        <v>29024</v>
      </c>
      <c r="AK71" s="204">
        <v>27229.207454583666</v>
      </c>
      <c r="AL71" s="204">
        <v>29712</v>
      </c>
      <c r="AM71" s="204">
        <v>32273</v>
      </c>
      <c r="AN71" s="204">
        <v>26844</v>
      </c>
      <c r="AO71" s="204">
        <v>24968</v>
      </c>
      <c r="AP71" s="204">
        <v>20170</v>
      </c>
      <c r="AQ71" s="204">
        <v>20828</v>
      </c>
      <c r="AR71" s="204">
        <v>19784</v>
      </c>
      <c r="AS71" s="204">
        <v>21951</v>
      </c>
      <c r="AT71" s="204">
        <v>20920</v>
      </c>
      <c r="AU71" s="204">
        <v>22850</v>
      </c>
      <c r="AV71" s="204">
        <v>13299</v>
      </c>
      <c r="AW71" s="204">
        <v>12849.01</v>
      </c>
      <c r="AX71" s="204">
        <v>14010</v>
      </c>
      <c r="AY71" s="204">
        <v>13410</v>
      </c>
    </row>
    <row r="72" spans="1:51" ht="15" customHeight="1" x14ac:dyDescent="0.25">
      <c r="A72" s="38" t="s">
        <v>495</v>
      </c>
      <c r="B72" s="63" t="s">
        <v>496</v>
      </c>
      <c r="C72" s="40" t="s">
        <v>497</v>
      </c>
      <c r="D72" s="204">
        <v>4400</v>
      </c>
      <c r="E72" s="204">
        <v>4520</v>
      </c>
      <c r="F72" s="204">
        <v>4160</v>
      </c>
      <c r="G72" s="204">
        <v>4120</v>
      </c>
      <c r="H72" s="204">
        <v>4440</v>
      </c>
      <c r="I72" s="204">
        <v>4840</v>
      </c>
      <c r="J72" s="204">
        <v>7200</v>
      </c>
      <c r="K72" s="204">
        <v>7360</v>
      </c>
      <c r="L72" s="204">
        <v>5960</v>
      </c>
      <c r="M72" s="204">
        <v>5160</v>
      </c>
      <c r="N72" s="204">
        <v>4640</v>
      </c>
      <c r="O72" s="204">
        <v>4240</v>
      </c>
      <c r="P72" s="204">
        <v>4640</v>
      </c>
      <c r="Q72" s="204">
        <v>5160</v>
      </c>
      <c r="R72" s="204">
        <v>3920</v>
      </c>
      <c r="S72" s="204">
        <v>3800</v>
      </c>
      <c r="T72" s="204">
        <v>3200</v>
      </c>
      <c r="U72" s="204">
        <v>3560</v>
      </c>
      <c r="V72" s="204">
        <v>6760</v>
      </c>
      <c r="W72" s="204">
        <v>6280</v>
      </c>
      <c r="X72" s="204">
        <v>6640</v>
      </c>
      <c r="Y72" s="204">
        <v>5640</v>
      </c>
      <c r="Z72" s="204">
        <v>4040</v>
      </c>
      <c r="AA72" s="204">
        <v>5520</v>
      </c>
      <c r="AB72" s="204">
        <v>4160</v>
      </c>
      <c r="AC72" s="204">
        <v>3800</v>
      </c>
      <c r="AD72" s="204">
        <v>3080</v>
      </c>
      <c r="AE72" s="204">
        <v>3120</v>
      </c>
      <c r="AF72" s="206">
        <v>3080</v>
      </c>
      <c r="AG72" s="204">
        <v>6040</v>
      </c>
      <c r="AH72" s="204">
        <v>6320</v>
      </c>
      <c r="AI72" s="204">
        <v>6120</v>
      </c>
      <c r="AJ72" s="204">
        <v>7080</v>
      </c>
      <c r="AK72" s="204">
        <v>5360.5439177355138</v>
      </c>
      <c r="AL72" s="204">
        <v>-4000</v>
      </c>
      <c r="AM72" s="204">
        <v>4720</v>
      </c>
      <c r="AN72" s="204">
        <v>4440</v>
      </c>
      <c r="AO72" s="204">
        <v>-1520</v>
      </c>
      <c r="AP72" s="204">
        <v>2720</v>
      </c>
      <c r="AQ72" s="204">
        <v>3120</v>
      </c>
      <c r="AR72" s="204">
        <v>4400</v>
      </c>
      <c r="AS72" s="204">
        <v>-11920</v>
      </c>
      <c r="AT72" s="204">
        <v>6320</v>
      </c>
      <c r="AU72" s="204">
        <v>4000</v>
      </c>
      <c r="AV72" s="204">
        <v>5600</v>
      </c>
      <c r="AW72" s="204">
        <v>-1760</v>
      </c>
      <c r="AX72" s="204">
        <v>2200</v>
      </c>
      <c r="AY72" s="204">
        <v>2400</v>
      </c>
    </row>
    <row r="73" spans="1:51" ht="15" customHeight="1" x14ac:dyDescent="0.25">
      <c r="A73" s="38">
        <v>2590</v>
      </c>
      <c r="B73" s="221" t="s">
        <v>481</v>
      </c>
      <c r="C73" s="40" t="s">
        <v>482</v>
      </c>
      <c r="D73" s="204">
        <v>28984.015595002413</v>
      </c>
      <c r="E73" s="204">
        <v>30344.730247707106</v>
      </c>
      <c r="F73" s="204">
        <v>28569.291543536732</v>
      </c>
      <c r="G73" s="204">
        <v>27453.864025989595</v>
      </c>
      <c r="H73" s="204">
        <v>27049.123325061464</v>
      </c>
      <c r="I73" s="204">
        <v>23337.009680634383</v>
      </c>
      <c r="J73" s="204">
        <v>26331.996772760227</v>
      </c>
      <c r="K73" s="204">
        <v>28908.009432518193</v>
      </c>
      <c r="L73" s="204">
        <v>31288.878528923757</v>
      </c>
      <c r="M73" s="204">
        <v>31714.837447393387</v>
      </c>
      <c r="N73" s="204">
        <v>33634.522532871801</v>
      </c>
      <c r="O73" s="204">
        <v>24606.498710585915</v>
      </c>
      <c r="P73" s="204">
        <v>32387.001185514728</v>
      </c>
      <c r="Q73" s="204">
        <v>28988.046519711133</v>
      </c>
      <c r="R73" s="204">
        <v>27650.015583017848</v>
      </c>
      <c r="S73" s="204">
        <v>30104.008999885187</v>
      </c>
      <c r="T73" s="204">
        <v>22599.992879425903</v>
      </c>
      <c r="U73" s="204">
        <v>22622.956476925203</v>
      </c>
      <c r="V73" s="204">
        <v>25354.989778626757</v>
      </c>
      <c r="W73" s="204">
        <v>25100.933930713123</v>
      </c>
      <c r="X73" s="204">
        <v>32563.979884691809</v>
      </c>
      <c r="Y73" s="204">
        <v>31780.991196449591</v>
      </c>
      <c r="Z73" s="204">
        <v>30955.951926246911</v>
      </c>
      <c r="AA73" s="204">
        <v>27522.902303499424</v>
      </c>
      <c r="AB73" s="204">
        <v>24713.063396408204</v>
      </c>
      <c r="AC73" s="204">
        <v>28098</v>
      </c>
      <c r="AD73" s="204">
        <v>18766</v>
      </c>
      <c r="AE73" s="204">
        <v>11068</v>
      </c>
      <c r="AF73" s="206">
        <v>14933.000000000002</v>
      </c>
      <c r="AG73" s="204">
        <v>20514</v>
      </c>
      <c r="AH73" s="204">
        <v>19754</v>
      </c>
      <c r="AI73" s="204">
        <v>21736</v>
      </c>
      <c r="AJ73" s="204">
        <v>20412</v>
      </c>
      <c r="AK73" s="204">
        <v>19546.59318777491</v>
      </c>
      <c r="AL73" s="204">
        <v>17960</v>
      </c>
      <c r="AM73" s="204">
        <v>14739</v>
      </c>
      <c r="AN73" s="204">
        <v>17010</v>
      </c>
      <c r="AO73" s="204">
        <v>15000</v>
      </c>
      <c r="AP73" s="204">
        <v>15382</v>
      </c>
      <c r="AQ73" s="204">
        <v>16018</v>
      </c>
      <c r="AR73" s="204">
        <v>17140</v>
      </c>
      <c r="AS73" s="204">
        <v>16975</v>
      </c>
      <c r="AT73" s="204">
        <v>15338</v>
      </c>
      <c r="AU73" s="204">
        <v>20918</v>
      </c>
      <c r="AV73" s="204">
        <v>24035</v>
      </c>
      <c r="AW73" s="204">
        <v>20957</v>
      </c>
      <c r="AX73" s="204">
        <v>22658</v>
      </c>
      <c r="AY73" s="204">
        <v>20366</v>
      </c>
    </row>
    <row r="74" spans="1:51" ht="15" customHeight="1" x14ac:dyDescent="0.25">
      <c r="A74" s="38">
        <v>2360</v>
      </c>
      <c r="B74" s="124" t="s">
        <v>443</v>
      </c>
      <c r="C74" s="126" t="s">
        <v>444</v>
      </c>
      <c r="D74" s="204">
        <v>0</v>
      </c>
      <c r="E74" s="204">
        <v>0</v>
      </c>
      <c r="F74" s="204">
        <v>0</v>
      </c>
      <c r="G74" s="204">
        <v>0</v>
      </c>
      <c r="H74" s="204">
        <v>0</v>
      </c>
      <c r="I74" s="204">
        <v>0</v>
      </c>
      <c r="J74" s="204">
        <v>0</v>
      </c>
      <c r="K74" s="204">
        <v>0</v>
      </c>
      <c r="L74" s="204">
        <v>0</v>
      </c>
      <c r="M74" s="204">
        <v>0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4">
        <v>0</v>
      </c>
      <c r="W74" s="204">
        <v>0</v>
      </c>
      <c r="X74" s="204">
        <v>0</v>
      </c>
      <c r="Y74" s="204">
        <v>0</v>
      </c>
      <c r="Z74" s="204">
        <v>0</v>
      </c>
      <c r="AA74" s="204">
        <v>0</v>
      </c>
      <c r="AB74" s="204">
        <v>0</v>
      </c>
      <c r="AC74" s="204">
        <v>0</v>
      </c>
      <c r="AD74" s="204">
        <v>0</v>
      </c>
      <c r="AE74" s="204">
        <v>0</v>
      </c>
      <c r="AF74" s="206">
        <v>0</v>
      </c>
      <c r="AG74" s="204">
        <v>0</v>
      </c>
      <c r="AH74" s="204">
        <v>0</v>
      </c>
      <c r="AI74" s="204">
        <v>0</v>
      </c>
      <c r="AJ74" s="204">
        <v>0</v>
      </c>
      <c r="AK74" s="204">
        <v>0</v>
      </c>
      <c r="AL74" s="204">
        <v>0</v>
      </c>
      <c r="AM74" s="204">
        <v>0</v>
      </c>
      <c r="AN74" s="204">
        <v>0</v>
      </c>
      <c r="AO74" s="204">
        <v>0</v>
      </c>
      <c r="AP74" s="204">
        <v>0</v>
      </c>
      <c r="AQ74" s="204">
        <v>0</v>
      </c>
      <c r="AR74" s="204">
        <v>0</v>
      </c>
      <c r="AS74" s="204">
        <v>0</v>
      </c>
      <c r="AT74" s="204">
        <v>0</v>
      </c>
      <c r="AU74" s="204">
        <v>0</v>
      </c>
      <c r="AV74" s="204">
        <v>0</v>
      </c>
      <c r="AW74" s="204">
        <v>0</v>
      </c>
      <c r="AX74" s="204">
        <v>0</v>
      </c>
      <c r="AY74" s="204">
        <v>0</v>
      </c>
    </row>
    <row r="75" spans="1:51" ht="15" customHeight="1" x14ac:dyDescent="0.25">
      <c r="A75" s="38">
        <v>2890</v>
      </c>
      <c r="B75" s="131" t="s">
        <v>523</v>
      </c>
      <c r="C75" s="126" t="s">
        <v>524</v>
      </c>
      <c r="D75" s="204">
        <v>503468</v>
      </c>
      <c r="E75" s="204">
        <v>461581</v>
      </c>
      <c r="F75" s="204">
        <v>436544</v>
      </c>
      <c r="G75" s="204">
        <v>439551</v>
      </c>
      <c r="H75" s="204">
        <v>478665</v>
      </c>
      <c r="I75" s="204">
        <v>486853</v>
      </c>
      <c r="J75" s="204">
        <v>684025</v>
      </c>
      <c r="K75" s="204">
        <v>742502</v>
      </c>
      <c r="L75" s="204">
        <v>628889</v>
      </c>
      <c r="M75" s="204">
        <v>607166</v>
      </c>
      <c r="N75" s="204">
        <v>659808</v>
      </c>
      <c r="O75" s="204">
        <v>517135</v>
      </c>
      <c r="P75" s="204">
        <v>435168</v>
      </c>
      <c r="Q75" s="204">
        <v>429165</v>
      </c>
      <c r="R75" s="204">
        <v>479188</v>
      </c>
      <c r="S75" s="204">
        <v>526807</v>
      </c>
      <c r="T75" s="204">
        <v>427356.07</v>
      </c>
      <c r="U75" s="204">
        <v>490711</v>
      </c>
      <c r="V75" s="204">
        <v>639777.05585002666</v>
      </c>
      <c r="W75" s="204">
        <v>658749</v>
      </c>
      <c r="X75" s="204">
        <v>625072.63</v>
      </c>
      <c r="Y75" s="204">
        <v>592377.86</v>
      </c>
      <c r="Z75" s="204">
        <v>522252.7</v>
      </c>
      <c r="AA75" s="204">
        <v>451026.95</v>
      </c>
      <c r="AB75" s="204">
        <v>397317</v>
      </c>
      <c r="AC75" s="204">
        <v>462860</v>
      </c>
      <c r="AD75" s="204">
        <v>349933</v>
      </c>
      <c r="AE75" s="204">
        <v>276542.01</v>
      </c>
      <c r="AF75" s="206">
        <v>293945</v>
      </c>
      <c r="AG75" s="204">
        <v>297465</v>
      </c>
      <c r="AH75" s="204">
        <v>215575</v>
      </c>
      <c r="AI75" s="204">
        <v>203509</v>
      </c>
      <c r="AJ75" s="204">
        <v>351820</v>
      </c>
      <c r="AK75" s="204">
        <v>450797.67242630047</v>
      </c>
      <c r="AL75" s="204">
        <v>414554</v>
      </c>
      <c r="AM75" s="204">
        <v>368872</v>
      </c>
      <c r="AN75" s="204">
        <v>389336</v>
      </c>
      <c r="AO75" s="204">
        <v>298349</v>
      </c>
      <c r="AP75" s="204">
        <v>322936</v>
      </c>
      <c r="AQ75" s="204">
        <v>309268</v>
      </c>
      <c r="AR75" s="204">
        <v>278511</v>
      </c>
      <c r="AS75" s="204">
        <v>321769</v>
      </c>
      <c r="AT75" s="204">
        <v>377461</v>
      </c>
      <c r="AU75" s="204">
        <v>479375</v>
      </c>
      <c r="AV75" s="204">
        <v>466324</v>
      </c>
      <c r="AW75" s="204">
        <v>365621</v>
      </c>
      <c r="AX75" s="204">
        <v>411645</v>
      </c>
      <c r="AY75" s="204">
        <v>333259</v>
      </c>
    </row>
    <row r="76" spans="1:51" ht="15" customHeight="1" x14ac:dyDescent="0.25">
      <c r="A76" s="38" t="s">
        <v>373</v>
      </c>
      <c r="B76" s="1" t="s">
        <v>374</v>
      </c>
      <c r="C76" s="40" t="s">
        <v>375</v>
      </c>
      <c r="D76" s="204">
        <v>625</v>
      </c>
      <c r="E76" s="204">
        <v>515</v>
      </c>
      <c r="F76" s="204">
        <v>520</v>
      </c>
      <c r="G76" s="204">
        <v>500</v>
      </c>
      <c r="H76" s="204">
        <v>542</v>
      </c>
      <c r="I76" s="204">
        <v>486</v>
      </c>
      <c r="J76" s="204">
        <v>775</v>
      </c>
      <c r="K76" s="204">
        <v>581</v>
      </c>
      <c r="L76" s="204">
        <v>671</v>
      </c>
      <c r="M76" s="204">
        <v>656</v>
      </c>
      <c r="N76" s="204">
        <v>541</v>
      </c>
      <c r="O76" s="204">
        <v>625</v>
      </c>
      <c r="P76" s="204">
        <v>555</v>
      </c>
      <c r="Q76" s="204">
        <v>519</v>
      </c>
      <c r="R76" s="204">
        <v>480</v>
      </c>
      <c r="S76" s="204">
        <v>507</v>
      </c>
      <c r="T76" s="204">
        <v>460</v>
      </c>
      <c r="U76" s="204">
        <v>424</v>
      </c>
      <c r="V76" s="204">
        <v>528</v>
      </c>
      <c r="W76" s="204">
        <v>408</v>
      </c>
      <c r="X76" s="204">
        <v>671</v>
      </c>
      <c r="Y76" s="204">
        <v>416</v>
      </c>
      <c r="Z76" s="204">
        <v>508</v>
      </c>
      <c r="AA76" s="204">
        <v>734</v>
      </c>
      <c r="AB76" s="204">
        <v>607</v>
      </c>
      <c r="AC76" s="204">
        <v>778</v>
      </c>
      <c r="AD76" s="204">
        <v>604</v>
      </c>
      <c r="AE76" s="204">
        <v>611</v>
      </c>
      <c r="AF76" s="206">
        <v>445</v>
      </c>
      <c r="AG76" s="204">
        <v>773</v>
      </c>
      <c r="AH76" s="204">
        <v>558</v>
      </c>
      <c r="AI76" s="204">
        <v>950</v>
      </c>
      <c r="AJ76" s="204">
        <v>725</v>
      </c>
      <c r="AK76" s="204">
        <v>732.70085011748222</v>
      </c>
      <c r="AL76" s="204">
        <v>603</v>
      </c>
      <c r="AM76" s="204">
        <v>590</v>
      </c>
      <c r="AN76" s="204">
        <v>653</v>
      </c>
      <c r="AO76" s="204">
        <v>471</v>
      </c>
      <c r="AP76" s="204">
        <v>535</v>
      </c>
      <c r="AQ76" s="204">
        <v>404</v>
      </c>
      <c r="AR76" s="204">
        <v>400</v>
      </c>
      <c r="AS76" s="204">
        <v>454</v>
      </c>
      <c r="AT76" s="204">
        <v>474</v>
      </c>
      <c r="AU76" s="204">
        <v>439</v>
      </c>
      <c r="AV76" s="204">
        <v>578</v>
      </c>
      <c r="AW76" s="204">
        <v>497</v>
      </c>
      <c r="AX76" s="204">
        <v>572</v>
      </c>
      <c r="AY76" s="204">
        <v>608</v>
      </c>
    </row>
    <row r="77" spans="1:51" ht="15" customHeight="1" x14ac:dyDescent="0.25">
      <c r="A77" s="38" t="s">
        <v>64</v>
      </c>
      <c r="B77" s="1" t="s">
        <v>65</v>
      </c>
      <c r="C77" s="40" t="s">
        <v>66</v>
      </c>
      <c r="D77" s="204">
        <v>109742.97304761039</v>
      </c>
      <c r="E77" s="204">
        <v>103783.78516537193</v>
      </c>
      <c r="F77" s="204">
        <v>104608.23380323363</v>
      </c>
      <c r="G77" s="204">
        <v>104628.03172857546</v>
      </c>
      <c r="H77" s="204">
        <v>112759.92170721413</v>
      </c>
      <c r="I77" s="204">
        <v>100338.97306215059</v>
      </c>
      <c r="J77" s="204">
        <v>102722.06075758382</v>
      </c>
      <c r="K77" s="204">
        <v>104288.97324245461</v>
      </c>
      <c r="L77" s="204">
        <v>102895.59089298884</v>
      </c>
      <c r="M77" s="204">
        <v>102273.98986867655</v>
      </c>
      <c r="N77" s="204">
        <v>113067.69069301775</v>
      </c>
      <c r="O77" s="204">
        <v>111487.99046829011</v>
      </c>
      <c r="P77" s="204">
        <v>102953.05760672333</v>
      </c>
      <c r="Q77" s="204">
        <v>97743.19486521295</v>
      </c>
      <c r="R77" s="204">
        <v>99118.044440458776</v>
      </c>
      <c r="S77" s="204">
        <v>108119.98963052742</v>
      </c>
      <c r="T77" s="204">
        <v>100931.00636700157</v>
      </c>
      <c r="U77" s="204">
        <v>97130.777443905041</v>
      </c>
      <c r="V77" s="204">
        <v>106735.98533650559</v>
      </c>
      <c r="W77" s="204">
        <v>99104.846787233138</v>
      </c>
      <c r="X77" s="204">
        <v>99901.933337270704</v>
      </c>
      <c r="Y77" s="204">
        <v>106910.04595900634</v>
      </c>
      <c r="Z77" s="204">
        <v>102277.89152301411</v>
      </c>
      <c r="AA77" s="204">
        <v>108797.71103779724</v>
      </c>
      <c r="AB77" s="204">
        <v>95740.130461984052</v>
      </c>
      <c r="AC77" s="204">
        <v>107631</v>
      </c>
      <c r="AD77" s="204">
        <v>100701</v>
      </c>
      <c r="AE77" s="204">
        <v>91504</v>
      </c>
      <c r="AF77" s="206">
        <v>93837</v>
      </c>
      <c r="AG77" s="204">
        <v>96532</v>
      </c>
      <c r="AH77" s="204">
        <v>93261</v>
      </c>
      <c r="AI77" s="204">
        <v>92851</v>
      </c>
      <c r="AJ77" s="204">
        <v>102656</v>
      </c>
      <c r="AK77" s="204">
        <v>97153.631601839181</v>
      </c>
      <c r="AL77" s="204">
        <v>99264</v>
      </c>
      <c r="AM77" s="204">
        <v>95705</v>
      </c>
      <c r="AN77" s="204">
        <v>92955</v>
      </c>
      <c r="AO77" s="204">
        <v>80736</v>
      </c>
      <c r="AP77" s="204">
        <v>80620</v>
      </c>
      <c r="AQ77" s="204">
        <v>80736</v>
      </c>
      <c r="AR77" s="204">
        <v>80736</v>
      </c>
      <c r="AS77" s="204">
        <v>89088</v>
      </c>
      <c r="AT77" s="204">
        <v>83520</v>
      </c>
      <c r="AU77" s="204">
        <v>80736</v>
      </c>
      <c r="AV77" s="204">
        <v>89088</v>
      </c>
      <c r="AW77" s="204">
        <v>83520</v>
      </c>
      <c r="AX77" s="204">
        <v>91988</v>
      </c>
      <c r="AY77" s="204">
        <v>83520</v>
      </c>
    </row>
    <row r="78" spans="1:51" ht="15" customHeight="1" x14ac:dyDescent="0.25">
      <c r="A78" s="38" t="s">
        <v>376</v>
      </c>
      <c r="B78" s="110" t="s">
        <v>377</v>
      </c>
      <c r="C78" s="64" t="s">
        <v>378</v>
      </c>
      <c r="D78" s="204">
        <v>0</v>
      </c>
      <c r="E78" s="204">
        <v>0</v>
      </c>
      <c r="F78" s="204">
        <v>0</v>
      </c>
      <c r="G78" s="204">
        <v>0</v>
      </c>
      <c r="H78" s="204">
        <v>0</v>
      </c>
      <c r="I78" s="204">
        <v>0</v>
      </c>
      <c r="J78" s="204">
        <v>0</v>
      </c>
      <c r="K78" s="204">
        <v>0</v>
      </c>
      <c r="L78" s="204">
        <v>0</v>
      </c>
      <c r="M78" s="204">
        <v>0</v>
      </c>
      <c r="N78" s="204">
        <v>0</v>
      </c>
      <c r="O78" s="204">
        <v>0</v>
      </c>
      <c r="P78" s="204">
        <v>0</v>
      </c>
      <c r="Q78" s="204">
        <v>0</v>
      </c>
      <c r="R78" s="204">
        <v>0</v>
      </c>
      <c r="S78" s="204">
        <v>0</v>
      </c>
      <c r="T78" s="204">
        <v>0</v>
      </c>
      <c r="U78" s="204">
        <v>0</v>
      </c>
      <c r="V78" s="204">
        <v>0</v>
      </c>
      <c r="W78" s="204">
        <v>0</v>
      </c>
      <c r="X78" s="204">
        <v>0</v>
      </c>
      <c r="Y78" s="204">
        <v>0</v>
      </c>
      <c r="Z78" s="204">
        <v>0</v>
      </c>
      <c r="AA78" s="204">
        <v>0</v>
      </c>
      <c r="AB78" s="204">
        <v>0</v>
      </c>
      <c r="AC78" s="204">
        <v>0</v>
      </c>
      <c r="AD78" s="204">
        <v>0</v>
      </c>
      <c r="AE78" s="204">
        <v>0</v>
      </c>
      <c r="AF78" s="206">
        <v>0</v>
      </c>
      <c r="AG78" s="204">
        <v>0</v>
      </c>
      <c r="AH78" s="204">
        <v>0</v>
      </c>
      <c r="AI78" s="204">
        <v>0</v>
      </c>
      <c r="AJ78" s="204">
        <v>0</v>
      </c>
      <c r="AK78" s="204">
        <v>0</v>
      </c>
      <c r="AL78" s="204">
        <v>0</v>
      </c>
      <c r="AM78" s="204">
        <v>0</v>
      </c>
      <c r="AN78" s="204">
        <v>0</v>
      </c>
      <c r="AO78" s="204">
        <v>0</v>
      </c>
      <c r="AP78" s="204">
        <v>0</v>
      </c>
      <c r="AQ78" s="204">
        <v>0</v>
      </c>
      <c r="AR78" s="204">
        <v>0</v>
      </c>
      <c r="AS78" s="204">
        <v>0</v>
      </c>
      <c r="AT78" s="204">
        <v>0</v>
      </c>
      <c r="AU78" s="204">
        <v>0</v>
      </c>
      <c r="AV78" s="204">
        <v>0</v>
      </c>
      <c r="AW78" s="204">
        <v>0</v>
      </c>
      <c r="AX78" s="204">
        <v>0</v>
      </c>
      <c r="AY78" s="204">
        <v>0</v>
      </c>
    </row>
    <row r="79" spans="1:51" ht="15" customHeight="1" x14ac:dyDescent="0.25">
      <c r="A79" s="38" t="s">
        <v>370</v>
      </c>
      <c r="B79" s="1" t="s">
        <v>371</v>
      </c>
      <c r="C79" s="40" t="s">
        <v>372</v>
      </c>
      <c r="D79" s="204">
        <v>52197.961982390967</v>
      </c>
      <c r="E79" s="204">
        <v>52433.009282700848</v>
      </c>
      <c r="F79" s="204">
        <v>51789.038254904786</v>
      </c>
      <c r="G79" s="204">
        <v>53064.999136759623</v>
      </c>
      <c r="H79" s="204">
        <v>45996.050534665606</v>
      </c>
      <c r="I79" s="204">
        <v>40414.593449784225</v>
      </c>
      <c r="J79" s="204">
        <v>40091.935323005353</v>
      </c>
      <c r="K79" s="204">
        <v>40943.557832066414</v>
      </c>
      <c r="L79" s="204">
        <v>45995.802624517848</v>
      </c>
      <c r="M79" s="204">
        <v>47320.728044024108</v>
      </c>
      <c r="N79" s="204">
        <v>50915.856276844046</v>
      </c>
      <c r="O79" s="204">
        <v>47825.946108013275</v>
      </c>
      <c r="P79" s="204">
        <v>49330.008311503363</v>
      </c>
      <c r="Q79" s="204">
        <v>51713.085317798199</v>
      </c>
      <c r="R79" s="204">
        <v>48970.988327439227</v>
      </c>
      <c r="S79" s="204">
        <v>51757.974233666377</v>
      </c>
      <c r="T79" s="204">
        <v>46738.025599257082</v>
      </c>
      <c r="U79" s="204">
        <v>44540.920342818812</v>
      </c>
      <c r="V79" s="204">
        <v>44744.001224171181</v>
      </c>
      <c r="W79" s="204">
        <v>41161.947384279571</v>
      </c>
      <c r="X79" s="204">
        <v>48697.940174585288</v>
      </c>
      <c r="Y79" s="204">
        <v>50812.001107997879</v>
      </c>
      <c r="Z79" s="204">
        <v>53010.910692540827</v>
      </c>
      <c r="AA79" s="204">
        <v>56277.859934663196</v>
      </c>
      <c r="AB79" s="204">
        <v>52605.084193719187</v>
      </c>
      <c r="AC79" s="204">
        <v>58225</v>
      </c>
      <c r="AD79" s="204">
        <v>45437</v>
      </c>
      <c r="AE79" s="204">
        <v>37719</v>
      </c>
      <c r="AF79" s="206">
        <v>36739</v>
      </c>
      <c r="AG79" s="204">
        <v>37038</v>
      </c>
      <c r="AH79" s="204">
        <v>35058</v>
      </c>
      <c r="AI79" s="204">
        <v>33420</v>
      </c>
      <c r="AJ79" s="204">
        <v>45581</v>
      </c>
      <c r="AK79" s="204">
        <v>39569.217164253329</v>
      </c>
      <c r="AL79" s="204">
        <v>47137</v>
      </c>
      <c r="AM79" s="204">
        <v>42561</v>
      </c>
      <c r="AN79" s="204">
        <v>46742</v>
      </c>
      <c r="AO79" s="204">
        <v>43846</v>
      </c>
      <c r="AP79" s="204">
        <v>44151</v>
      </c>
      <c r="AQ79" s="204">
        <v>44238</v>
      </c>
      <c r="AR79" s="204">
        <v>41171</v>
      </c>
      <c r="AS79" s="204">
        <v>42782</v>
      </c>
      <c r="AT79" s="204">
        <v>38651</v>
      </c>
      <c r="AU79" s="204">
        <v>40951</v>
      </c>
      <c r="AV79" s="204">
        <v>53698</v>
      </c>
      <c r="AW79" s="204">
        <v>52515</v>
      </c>
      <c r="AX79" s="204">
        <v>55909</v>
      </c>
      <c r="AY79" s="204">
        <v>50296</v>
      </c>
    </row>
    <row r="80" spans="1:51" ht="15" customHeight="1" x14ac:dyDescent="0.25">
      <c r="A80" s="40">
        <v>5110</v>
      </c>
      <c r="B80" s="143" t="s">
        <v>604</v>
      </c>
      <c r="C80" s="132" t="s">
        <v>605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  <c r="R80" s="204">
        <v>0</v>
      </c>
      <c r="S80" s="204">
        <v>0</v>
      </c>
      <c r="T80" s="204">
        <v>0</v>
      </c>
      <c r="U80" s="204">
        <v>0</v>
      </c>
      <c r="V80" s="204">
        <v>0</v>
      </c>
      <c r="W80" s="204">
        <v>0</v>
      </c>
      <c r="X80" s="204">
        <v>0</v>
      </c>
      <c r="Y80" s="204">
        <v>0</v>
      </c>
      <c r="Z80" s="204">
        <v>0</v>
      </c>
      <c r="AA80" s="204">
        <v>0</v>
      </c>
      <c r="AB80" s="204">
        <v>0</v>
      </c>
      <c r="AC80" s="204">
        <v>0</v>
      </c>
      <c r="AD80" s="204">
        <v>0</v>
      </c>
      <c r="AE80" s="204">
        <v>0</v>
      </c>
      <c r="AF80" s="206">
        <v>0</v>
      </c>
      <c r="AG80" s="204">
        <v>0</v>
      </c>
      <c r="AH80" s="204">
        <v>0</v>
      </c>
      <c r="AI80" s="204">
        <v>0</v>
      </c>
      <c r="AJ80" s="204">
        <v>0</v>
      </c>
      <c r="AK80" s="204">
        <v>0</v>
      </c>
      <c r="AL80" s="204">
        <v>0</v>
      </c>
      <c r="AM80" s="204">
        <v>0</v>
      </c>
      <c r="AN80" s="204">
        <v>0</v>
      </c>
      <c r="AO80" s="204">
        <v>0</v>
      </c>
      <c r="AP80" s="204">
        <v>0</v>
      </c>
      <c r="AQ80" s="204">
        <v>0</v>
      </c>
      <c r="AR80" s="204">
        <v>0</v>
      </c>
      <c r="AS80" s="204">
        <v>0</v>
      </c>
      <c r="AT80" s="204">
        <v>0</v>
      </c>
      <c r="AU80" s="204">
        <v>0</v>
      </c>
      <c r="AV80" s="204">
        <v>0</v>
      </c>
      <c r="AW80" s="204">
        <v>0</v>
      </c>
      <c r="AX80" s="204">
        <v>0</v>
      </c>
      <c r="AY80" s="204">
        <v>0</v>
      </c>
    </row>
    <row r="81" spans="1:51" ht="15" customHeight="1" x14ac:dyDescent="0.25">
      <c r="A81" s="38" t="s">
        <v>100</v>
      </c>
      <c r="B81" s="1" t="s">
        <v>101</v>
      </c>
      <c r="C81" s="40" t="s">
        <v>102</v>
      </c>
      <c r="D81" s="204">
        <v>49499.691230586432</v>
      </c>
      <c r="E81" s="204">
        <v>51449.275152217182</v>
      </c>
      <c r="F81" s="204">
        <v>51193.026677645234</v>
      </c>
      <c r="G81" s="204">
        <v>57864.959678809217</v>
      </c>
      <c r="H81" s="204">
        <v>50170.991468646047</v>
      </c>
      <c r="I81" s="204">
        <v>43916.989532461383</v>
      </c>
      <c r="J81" s="204">
        <v>48174.054118711101</v>
      </c>
      <c r="K81" s="204">
        <v>48840.00570669982</v>
      </c>
      <c r="L81" s="204">
        <v>54950.813072345845</v>
      </c>
      <c r="M81" s="204">
        <v>54889.652832981134</v>
      </c>
      <c r="N81" s="204">
        <v>58787.143965851574</v>
      </c>
      <c r="O81" s="204">
        <v>49988.374494020747</v>
      </c>
      <c r="P81" s="204">
        <v>49579.042782466568</v>
      </c>
      <c r="Q81" s="204">
        <v>50765.10410387499</v>
      </c>
      <c r="R81" s="204">
        <v>49876.022506625872</v>
      </c>
      <c r="S81" s="204">
        <v>57494.021231830084</v>
      </c>
      <c r="T81" s="204">
        <v>46101.997594866189</v>
      </c>
      <c r="U81" s="204">
        <v>38118.898093419295</v>
      </c>
      <c r="V81" s="204">
        <v>46649.981051038623</v>
      </c>
      <c r="W81" s="204">
        <v>38793.952115907421</v>
      </c>
      <c r="X81" s="204">
        <v>57342.938234020352</v>
      </c>
      <c r="Y81" s="204">
        <v>57200.013580729639</v>
      </c>
      <c r="Z81" s="204">
        <v>52037.910654952131</v>
      </c>
      <c r="AA81" s="204">
        <v>51315.853569239574</v>
      </c>
      <c r="AB81" s="204">
        <v>43567.06394189487</v>
      </c>
      <c r="AC81" s="204">
        <v>53652</v>
      </c>
      <c r="AD81" s="204">
        <v>41119</v>
      </c>
      <c r="AE81" s="204">
        <v>34015</v>
      </c>
      <c r="AF81" s="206">
        <v>34461</v>
      </c>
      <c r="AG81" s="204">
        <v>38033</v>
      </c>
      <c r="AH81" s="204">
        <v>38345</v>
      </c>
      <c r="AI81" s="204">
        <v>37100</v>
      </c>
      <c r="AJ81" s="204">
        <v>42175</v>
      </c>
      <c r="AK81" s="204">
        <v>39478.875561024768</v>
      </c>
      <c r="AL81" s="204">
        <v>39882</v>
      </c>
      <c r="AM81" s="204">
        <v>33367</v>
      </c>
      <c r="AN81" s="204">
        <v>32432</v>
      </c>
      <c r="AO81" s="204">
        <v>27761</v>
      </c>
      <c r="AP81" s="204">
        <v>26670</v>
      </c>
      <c r="AQ81" s="204">
        <v>28781</v>
      </c>
      <c r="AR81" s="204">
        <v>30179</v>
      </c>
      <c r="AS81" s="204">
        <v>35067</v>
      </c>
      <c r="AT81" s="204">
        <v>33568</v>
      </c>
      <c r="AU81" s="204">
        <v>38767</v>
      </c>
      <c r="AV81" s="204">
        <v>36168</v>
      </c>
      <c r="AW81" s="204">
        <v>25980</v>
      </c>
      <c r="AX81" s="204">
        <v>38527</v>
      </c>
      <c r="AY81" s="204">
        <v>33723</v>
      </c>
    </row>
    <row r="82" spans="1:51" ht="15" customHeight="1" x14ac:dyDescent="0.25">
      <c r="A82" s="38" t="s">
        <v>169</v>
      </c>
      <c r="B82" s="1" t="s">
        <v>170</v>
      </c>
      <c r="C82" s="40" t="s">
        <v>171</v>
      </c>
      <c r="D82" s="204">
        <v>19774.956858267396</v>
      </c>
      <c r="E82" s="204">
        <v>18197.723488577496</v>
      </c>
      <c r="F82" s="204">
        <v>18675.973693221873</v>
      </c>
      <c r="G82" s="204">
        <v>18407.962134291931</v>
      </c>
      <c r="H82" s="204">
        <v>20192.019565140581</v>
      </c>
      <c r="I82" s="204">
        <v>18149.501987820284</v>
      </c>
      <c r="J82" s="204">
        <v>18840</v>
      </c>
      <c r="K82" s="204">
        <v>18964.020380151218</v>
      </c>
      <c r="L82" s="204">
        <v>19030.897706066109</v>
      </c>
      <c r="M82" s="204">
        <v>17535.908563922338</v>
      </c>
      <c r="N82" s="204">
        <v>21138.663197332207</v>
      </c>
      <c r="O82" s="204">
        <v>19222.117462091686</v>
      </c>
      <c r="P82" s="204">
        <v>19398.521424742547</v>
      </c>
      <c r="Q82" s="204">
        <v>18020.045894277213</v>
      </c>
      <c r="R82" s="204">
        <v>17549.977137503611</v>
      </c>
      <c r="S82" s="204">
        <v>19911.974316155054</v>
      </c>
      <c r="T82" s="204">
        <v>18565.029819655181</v>
      </c>
      <c r="U82" s="204">
        <v>16884.972814920839</v>
      </c>
      <c r="V82" s="204">
        <v>20218.985461473745</v>
      </c>
      <c r="W82" s="204">
        <v>15247.949045638317</v>
      </c>
      <c r="X82" s="204">
        <v>16279.999255947592</v>
      </c>
      <c r="Y82" s="204">
        <v>18340.999219349411</v>
      </c>
      <c r="Z82" s="204">
        <v>18035.275660814914</v>
      </c>
      <c r="AA82" s="204">
        <v>17871.310502265329</v>
      </c>
      <c r="AB82" s="204">
        <v>14972.009930082255</v>
      </c>
      <c r="AC82" s="204">
        <v>17143</v>
      </c>
      <c r="AD82" s="204">
        <v>13897.000000000002</v>
      </c>
      <c r="AE82" s="204">
        <v>11794</v>
      </c>
      <c r="AF82" s="206">
        <v>10637</v>
      </c>
      <c r="AG82" s="204">
        <v>12108.999999999998</v>
      </c>
      <c r="AH82" s="204">
        <v>12856.999999999998</v>
      </c>
      <c r="AI82" s="204">
        <v>13857</v>
      </c>
      <c r="AJ82" s="204">
        <v>15794</v>
      </c>
      <c r="AK82" s="204">
        <v>15189.670511311682</v>
      </c>
      <c r="AL82" s="204">
        <v>18590</v>
      </c>
      <c r="AM82" s="204">
        <v>16606</v>
      </c>
      <c r="AN82" s="204">
        <v>18450</v>
      </c>
      <c r="AO82" s="204">
        <v>16526</v>
      </c>
      <c r="AP82" s="204">
        <v>17943</v>
      </c>
      <c r="AQ82" s="204">
        <v>17407</v>
      </c>
      <c r="AR82" s="204">
        <v>18020</v>
      </c>
      <c r="AS82" s="204">
        <v>19132</v>
      </c>
      <c r="AT82" s="204">
        <v>16862</v>
      </c>
      <c r="AU82" s="204">
        <v>15510</v>
      </c>
      <c r="AV82" s="204">
        <v>17450</v>
      </c>
      <c r="AW82" s="204">
        <v>17855</v>
      </c>
      <c r="AX82" s="204">
        <v>20124</v>
      </c>
      <c r="AY82" s="204">
        <v>18750</v>
      </c>
    </row>
    <row r="83" spans="1:51" ht="15" customHeight="1" x14ac:dyDescent="0.25">
      <c r="A83" s="38" t="s">
        <v>55</v>
      </c>
      <c r="B83" s="1" t="s">
        <v>56</v>
      </c>
      <c r="C83" s="40" t="s">
        <v>57</v>
      </c>
      <c r="D83" s="204">
        <v>89290.997225834319</v>
      </c>
      <c r="E83" s="204">
        <v>98325.571770280396</v>
      </c>
      <c r="F83" s="204">
        <v>87814.041329514555</v>
      </c>
      <c r="G83" s="204">
        <v>88638.519370472321</v>
      </c>
      <c r="H83" s="204">
        <v>91108.50863505702</v>
      </c>
      <c r="I83" s="204">
        <v>80906.97549472937</v>
      </c>
      <c r="J83" s="204">
        <v>82640.030409101397</v>
      </c>
      <c r="K83" s="204">
        <v>93683.985076111901</v>
      </c>
      <c r="L83" s="204">
        <v>89489.664159774897</v>
      </c>
      <c r="M83" s="204">
        <v>92092.431761806685</v>
      </c>
      <c r="N83" s="204">
        <v>99620.556630382242</v>
      </c>
      <c r="O83" s="204">
        <v>87750.110377288118</v>
      </c>
      <c r="P83" s="204">
        <v>90161.040350921161</v>
      </c>
      <c r="Q83" s="204">
        <v>89972.175080191955</v>
      </c>
      <c r="R83" s="204">
        <v>90490.012211599271</v>
      </c>
      <c r="S83" s="204">
        <v>95505.964094387964</v>
      </c>
      <c r="T83" s="204">
        <v>82653.017432306748</v>
      </c>
      <c r="U83" s="204">
        <v>82169.825136149972</v>
      </c>
      <c r="V83" s="204">
        <v>88767.970580556561</v>
      </c>
      <c r="W83" s="204">
        <v>88487.850990506617</v>
      </c>
      <c r="X83" s="204">
        <v>91104.924252586599</v>
      </c>
      <c r="Y83" s="204">
        <v>95244.066204292278</v>
      </c>
      <c r="Z83" s="204">
        <v>92107.874247944521</v>
      </c>
      <c r="AA83" s="204">
        <v>92126.232788701789</v>
      </c>
      <c r="AB83" s="204">
        <v>84560.640366325199</v>
      </c>
      <c r="AC83" s="204">
        <v>99228</v>
      </c>
      <c r="AD83" s="204">
        <v>77820</v>
      </c>
      <c r="AE83" s="204">
        <v>60692.000000000007</v>
      </c>
      <c r="AF83" s="206">
        <v>56324</v>
      </c>
      <c r="AG83" s="204">
        <v>61524.000000000007</v>
      </c>
      <c r="AH83" s="204">
        <v>74287</v>
      </c>
      <c r="AI83" s="204">
        <v>74153</v>
      </c>
      <c r="AJ83" s="204">
        <v>68016</v>
      </c>
      <c r="AK83" s="204">
        <v>78760.929871397297</v>
      </c>
      <c r="AL83" s="204">
        <v>89189</v>
      </c>
      <c r="AM83" s="204">
        <v>76621</v>
      </c>
      <c r="AN83" s="204">
        <v>81051</v>
      </c>
      <c r="AO83" s="204">
        <v>78205</v>
      </c>
      <c r="AP83" s="204">
        <v>78799</v>
      </c>
      <c r="AQ83" s="204">
        <v>80149</v>
      </c>
      <c r="AR83" s="204">
        <v>77456</v>
      </c>
      <c r="AS83" s="204">
        <v>82047</v>
      </c>
      <c r="AT83" s="204">
        <v>78035</v>
      </c>
      <c r="AU83" s="204">
        <v>89291</v>
      </c>
      <c r="AV83" s="204">
        <v>97444</v>
      </c>
      <c r="AW83" s="204">
        <v>88912</v>
      </c>
      <c r="AX83" s="204">
        <v>91779</v>
      </c>
      <c r="AY83" s="204">
        <v>75640</v>
      </c>
    </row>
    <row r="84" spans="1:51" ht="15" customHeight="1" x14ac:dyDescent="0.25">
      <c r="A84" s="38" t="s">
        <v>58</v>
      </c>
      <c r="B84" s="63" t="s">
        <v>59</v>
      </c>
      <c r="C84" s="258" t="s">
        <v>60</v>
      </c>
      <c r="D84" s="204">
        <v>0</v>
      </c>
      <c r="E84" s="204">
        <v>0</v>
      </c>
      <c r="F84" s="204">
        <v>0</v>
      </c>
      <c r="G84" s="204">
        <v>0</v>
      </c>
      <c r="H84" s="204">
        <v>0</v>
      </c>
      <c r="I84" s="204">
        <v>0</v>
      </c>
      <c r="J84" s="204">
        <v>0</v>
      </c>
      <c r="K84" s="204">
        <v>0</v>
      </c>
      <c r="L84" s="204">
        <v>0</v>
      </c>
      <c r="M84" s="204">
        <v>0</v>
      </c>
      <c r="N84" s="204">
        <v>0</v>
      </c>
      <c r="O84" s="204">
        <v>0</v>
      </c>
      <c r="P84" s="204">
        <v>0</v>
      </c>
      <c r="Q84" s="204">
        <v>0</v>
      </c>
      <c r="R84" s="204">
        <v>0</v>
      </c>
      <c r="S84" s="204">
        <v>0</v>
      </c>
      <c r="T84" s="204">
        <v>0</v>
      </c>
      <c r="U84" s="204">
        <v>0</v>
      </c>
      <c r="V84" s="204">
        <v>0</v>
      </c>
      <c r="W84" s="204">
        <v>0</v>
      </c>
      <c r="X84" s="204">
        <v>0</v>
      </c>
      <c r="Y84" s="204">
        <v>0</v>
      </c>
      <c r="Z84" s="204">
        <v>0</v>
      </c>
      <c r="AA84" s="204">
        <v>0</v>
      </c>
      <c r="AB84" s="204">
        <v>0</v>
      </c>
      <c r="AC84" s="204">
        <v>0</v>
      </c>
      <c r="AD84" s="204">
        <v>0</v>
      </c>
      <c r="AE84" s="204">
        <v>0</v>
      </c>
      <c r="AF84" s="206">
        <v>0</v>
      </c>
      <c r="AG84" s="204">
        <v>0</v>
      </c>
      <c r="AH84" s="204">
        <v>0</v>
      </c>
      <c r="AI84" s="204">
        <v>0</v>
      </c>
      <c r="AJ84" s="204">
        <v>0</v>
      </c>
      <c r="AK84" s="204">
        <v>0</v>
      </c>
      <c r="AL84" s="204">
        <v>0</v>
      </c>
      <c r="AM84" s="204">
        <v>0</v>
      </c>
      <c r="AN84" s="204">
        <v>0</v>
      </c>
      <c r="AO84" s="204">
        <v>0</v>
      </c>
      <c r="AP84" s="204">
        <v>0</v>
      </c>
      <c r="AQ84" s="204">
        <v>0</v>
      </c>
      <c r="AR84" s="204">
        <v>0</v>
      </c>
      <c r="AS84" s="204">
        <v>0</v>
      </c>
      <c r="AT84" s="204">
        <v>0</v>
      </c>
      <c r="AU84" s="204">
        <v>0</v>
      </c>
      <c r="AV84" s="204">
        <v>0</v>
      </c>
      <c r="AW84" s="204">
        <v>0</v>
      </c>
      <c r="AX84" s="204">
        <v>0</v>
      </c>
      <c r="AY84" s="204">
        <v>0</v>
      </c>
    </row>
    <row r="85" spans="1:51" ht="15" customHeight="1" x14ac:dyDescent="0.25">
      <c r="A85" s="38">
        <v>1600</v>
      </c>
      <c r="B85" s="1" t="s">
        <v>353</v>
      </c>
      <c r="C85" s="40" t="s">
        <v>354</v>
      </c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>
        <v>0</v>
      </c>
      <c r="O85" s="204">
        <v>0</v>
      </c>
      <c r="P85" s="204">
        <v>0</v>
      </c>
      <c r="Q85" s="204">
        <v>0</v>
      </c>
      <c r="R85" s="204">
        <v>0</v>
      </c>
      <c r="S85" s="204">
        <v>0</v>
      </c>
      <c r="T85" s="204">
        <v>0</v>
      </c>
      <c r="U85" s="204">
        <v>0</v>
      </c>
      <c r="V85" s="204">
        <v>161120</v>
      </c>
      <c r="W85" s="204">
        <v>17920</v>
      </c>
      <c r="X85" s="204">
        <v>20960</v>
      </c>
      <c r="Y85" s="204">
        <v>18417.28</v>
      </c>
      <c r="Z85" s="204">
        <v>17840</v>
      </c>
      <c r="AA85" s="204">
        <v>15120</v>
      </c>
      <c r="AB85" s="204">
        <v>17840</v>
      </c>
      <c r="AC85" s="204">
        <v>18404</v>
      </c>
      <c r="AD85" s="204">
        <v>14560</v>
      </c>
      <c r="AE85" s="204">
        <v>13200</v>
      </c>
      <c r="AF85" s="206">
        <v>15280</v>
      </c>
      <c r="AG85" s="204">
        <v>0</v>
      </c>
      <c r="AH85" s="204">
        <v>18080</v>
      </c>
      <c r="AI85" s="204">
        <v>21600</v>
      </c>
      <c r="AJ85" s="204">
        <v>31304</v>
      </c>
      <c r="AK85" s="204">
        <v>21315.843959034257</v>
      </c>
      <c r="AL85" s="204">
        <v>0</v>
      </c>
      <c r="AM85" s="204">
        <v>0</v>
      </c>
      <c r="AN85" s="204">
        <v>15520</v>
      </c>
      <c r="AO85" s="204">
        <v>15920</v>
      </c>
      <c r="AP85" s="204">
        <v>17520</v>
      </c>
      <c r="AQ85" s="204">
        <v>17280</v>
      </c>
      <c r="AR85" s="204">
        <v>15440</v>
      </c>
      <c r="AS85" s="204">
        <v>18640</v>
      </c>
      <c r="AT85" s="204">
        <v>24320</v>
      </c>
      <c r="AU85" s="204">
        <v>22080</v>
      </c>
      <c r="AV85" s="204">
        <v>24400</v>
      </c>
      <c r="AW85" s="204">
        <v>20960</v>
      </c>
      <c r="AX85" s="204">
        <v>18560</v>
      </c>
      <c r="AY85" s="204">
        <v>18800</v>
      </c>
    </row>
    <row r="86" spans="1:51" ht="15" customHeight="1" x14ac:dyDescent="0.25">
      <c r="A86" s="38" t="s">
        <v>454</v>
      </c>
      <c r="B86" s="1" t="s">
        <v>455</v>
      </c>
      <c r="C86" s="40" t="s">
        <v>456</v>
      </c>
      <c r="D86" s="204">
        <v>107395.88503894606</v>
      </c>
      <c r="E86" s="204">
        <v>99278.652468418513</v>
      </c>
      <c r="F86" s="204">
        <v>99119.024491813252</v>
      </c>
      <c r="G86" s="204">
        <v>97437.985293267484</v>
      </c>
      <c r="H86" s="204">
        <v>105725.03328555542</v>
      </c>
      <c r="I86" s="204">
        <v>95559.008626802723</v>
      </c>
      <c r="J86" s="204">
        <v>98839.041663768512</v>
      </c>
      <c r="K86" s="204">
        <v>104216.98204097827</v>
      </c>
      <c r="L86" s="204">
        <v>102969.59577155569</v>
      </c>
      <c r="M86" s="204">
        <v>103138.34519550153</v>
      </c>
      <c r="N86" s="204">
        <v>110953.39069005908</v>
      </c>
      <c r="O86" s="204">
        <v>107070.13449274156</v>
      </c>
      <c r="P86" s="204">
        <v>99627.079717540517</v>
      </c>
      <c r="Q86" s="204">
        <v>102753.17498353968</v>
      </c>
      <c r="R86" s="204">
        <v>103442.01056857676</v>
      </c>
      <c r="S86" s="204">
        <v>109888.01323510705</v>
      </c>
      <c r="T86" s="204">
        <v>106644.99236389555</v>
      </c>
      <c r="U86" s="204">
        <v>104229.78008326425</v>
      </c>
      <c r="V86" s="204">
        <v>115586.94152961981</v>
      </c>
      <c r="W86" s="204">
        <v>103082.83627776356</v>
      </c>
      <c r="X86" s="204">
        <v>106047.90110784414</v>
      </c>
      <c r="Y86" s="204">
        <v>111249.03685883098</v>
      </c>
      <c r="Z86" s="204">
        <v>104249.8708855936</v>
      </c>
      <c r="AA86" s="204">
        <v>109506.67652779708</v>
      </c>
      <c r="AB86" s="204">
        <v>99807.174495356769</v>
      </c>
      <c r="AC86" s="204">
        <v>107464.99999999999</v>
      </c>
      <c r="AD86" s="204">
        <v>95065</v>
      </c>
      <c r="AE86" s="204">
        <v>87516</v>
      </c>
      <c r="AF86" s="206">
        <v>90804</v>
      </c>
      <c r="AG86" s="204">
        <v>90828</v>
      </c>
      <c r="AH86" s="204">
        <v>92239</v>
      </c>
      <c r="AI86" s="204">
        <v>94386.999999999985</v>
      </c>
      <c r="AJ86" s="204">
        <v>101733</v>
      </c>
      <c r="AK86" s="204">
        <v>95743.261487551412</v>
      </c>
      <c r="AL86" s="204">
        <v>104388</v>
      </c>
      <c r="AM86" s="204">
        <v>90826</v>
      </c>
      <c r="AN86" s="204">
        <v>94728</v>
      </c>
      <c r="AO86" s="204">
        <v>87194</v>
      </c>
      <c r="AP86" s="204">
        <v>86950</v>
      </c>
      <c r="AQ86" s="204">
        <v>85942</v>
      </c>
      <c r="AR86" s="204">
        <v>86240</v>
      </c>
      <c r="AS86" s="204">
        <v>89332</v>
      </c>
      <c r="AT86" s="204">
        <v>82708</v>
      </c>
      <c r="AU86" s="204">
        <v>79298</v>
      </c>
      <c r="AV86" s="204">
        <v>39895</v>
      </c>
      <c r="AW86" s="204">
        <v>80873</v>
      </c>
      <c r="AX86" s="204">
        <v>99135</v>
      </c>
      <c r="AY86" s="204">
        <v>89810</v>
      </c>
    </row>
    <row r="87" spans="1:51" ht="15" customHeight="1" x14ac:dyDescent="0.25">
      <c r="A87" s="38" t="s">
        <v>321</v>
      </c>
      <c r="B87" s="1" t="s">
        <v>322</v>
      </c>
      <c r="C87" s="40" t="s">
        <v>323</v>
      </c>
      <c r="D87" s="204">
        <v>74967.677207516695</v>
      </c>
      <c r="E87" s="204">
        <v>70890.990760549801</v>
      </c>
      <c r="F87" s="204">
        <v>63770.340070032755</v>
      </c>
      <c r="G87" s="204">
        <v>62086.099121522777</v>
      </c>
      <c r="H87" s="204">
        <v>62656.898887358402</v>
      </c>
      <c r="I87" s="204">
        <v>57385.010033201666</v>
      </c>
      <c r="J87" s="204">
        <v>62229</v>
      </c>
      <c r="K87" s="204">
        <v>61706.994962995748</v>
      </c>
      <c r="L87" s="204">
        <v>70098.705410300478</v>
      </c>
      <c r="M87" s="204">
        <v>71174.584560701085</v>
      </c>
      <c r="N87" s="204">
        <v>72792.283778547033</v>
      </c>
      <c r="O87" s="204">
        <v>69378.435794676057</v>
      </c>
      <c r="P87" s="204">
        <v>65899.018708761709</v>
      </c>
      <c r="Q87" s="204">
        <v>65820.134598349716</v>
      </c>
      <c r="R87" s="204">
        <v>61932.996279025254</v>
      </c>
      <c r="S87" s="204">
        <v>67680.64729795116</v>
      </c>
      <c r="T87" s="204">
        <v>61673.017744915705</v>
      </c>
      <c r="U87" s="204">
        <v>59449.873586654998</v>
      </c>
      <c r="V87" s="204">
        <v>63526.992816612103</v>
      </c>
      <c r="W87" s="204">
        <v>58162.882135151216</v>
      </c>
      <c r="X87" s="204">
        <v>66197.953708477566</v>
      </c>
      <c r="Y87" s="204">
        <v>65545.046200741999</v>
      </c>
      <c r="Z87" s="204">
        <v>63741.579629595042</v>
      </c>
      <c r="AA87" s="204">
        <v>62074.831532005861</v>
      </c>
      <c r="AB87" s="204">
        <v>57481.100279035956</v>
      </c>
      <c r="AC87" s="204">
        <v>63794</v>
      </c>
      <c r="AD87" s="204">
        <v>53038</v>
      </c>
      <c r="AE87" s="204">
        <v>40127</v>
      </c>
      <c r="AF87" s="206">
        <v>39623</v>
      </c>
      <c r="AG87" s="204">
        <v>42670</v>
      </c>
      <c r="AH87" s="204">
        <v>41727</v>
      </c>
      <c r="AI87" s="204">
        <v>41956</v>
      </c>
      <c r="AJ87" s="204">
        <v>47710</v>
      </c>
      <c r="AK87" s="204">
        <v>46563.291879122706</v>
      </c>
      <c r="AL87" s="204">
        <v>49145</v>
      </c>
      <c r="AM87" s="204">
        <v>37821</v>
      </c>
      <c r="AN87" s="204">
        <v>34809</v>
      </c>
      <c r="AO87" s="204">
        <v>30831</v>
      </c>
      <c r="AP87" s="204">
        <v>33510</v>
      </c>
      <c r="AQ87" s="204">
        <v>39286</v>
      </c>
      <c r="AR87" s="204">
        <v>43338</v>
      </c>
      <c r="AS87" s="204">
        <v>46967</v>
      </c>
      <c r="AT87" s="204">
        <v>46478</v>
      </c>
      <c r="AU87" s="204">
        <v>54581</v>
      </c>
      <c r="AV87" s="204">
        <v>63722</v>
      </c>
      <c r="AW87" s="204">
        <v>61051</v>
      </c>
      <c r="AX87" s="204">
        <v>65029</v>
      </c>
      <c r="AY87" s="204">
        <v>51906</v>
      </c>
    </row>
    <row r="88" spans="1:51" ht="15" customHeight="1" x14ac:dyDescent="0.25">
      <c r="A88" s="62" t="s">
        <v>324</v>
      </c>
      <c r="B88" s="238" t="s">
        <v>325</v>
      </c>
      <c r="C88" s="218" t="s">
        <v>326</v>
      </c>
      <c r="D88" s="204">
        <v>1425.3416976568151</v>
      </c>
      <c r="E88" s="204">
        <v>1297.977933258868</v>
      </c>
      <c r="F88" s="204">
        <v>1268.6409796935084</v>
      </c>
      <c r="G88" s="204">
        <v>1256.9817514470253</v>
      </c>
      <c r="H88" s="204">
        <v>1404.0190490314567</v>
      </c>
      <c r="I88" s="204">
        <v>1277.0140396410552</v>
      </c>
      <c r="J88" s="204">
        <v>1360</v>
      </c>
      <c r="K88" s="204">
        <v>1407.9759454421228</v>
      </c>
      <c r="L88" s="204">
        <v>1320.9840814091588</v>
      </c>
      <c r="M88" s="204">
        <v>1260.9725348935922</v>
      </c>
      <c r="N88" s="204">
        <v>1374.6501193468523</v>
      </c>
      <c r="O88" s="204">
        <v>1327.4954714168359</v>
      </c>
      <c r="P88" s="204">
        <v>1206.0103936924133</v>
      </c>
      <c r="Q88" s="204">
        <v>1154.9748647536228</v>
      </c>
      <c r="R88" s="204">
        <v>1174.9953290151268</v>
      </c>
      <c r="S88" s="204">
        <v>1288.3208274067349</v>
      </c>
      <c r="T88" s="204">
        <v>1225.9754765487692</v>
      </c>
      <c r="U88" s="204">
        <v>1000.9957659801768</v>
      </c>
      <c r="V88" s="204">
        <v>1038.9867509141425</v>
      </c>
      <c r="W88" s="204">
        <v>939.00086746337445</v>
      </c>
      <c r="X88" s="204">
        <v>1010.9922061216797</v>
      </c>
      <c r="Y88" s="204">
        <v>1058.016394704945</v>
      </c>
      <c r="Z88" s="204">
        <v>979.34923563092013</v>
      </c>
      <c r="AA88" s="204">
        <v>1049.9978493265733</v>
      </c>
      <c r="AB88" s="204">
        <v>935.00078644418375</v>
      </c>
      <c r="AC88" s="204">
        <v>1027</v>
      </c>
      <c r="AD88" s="204">
        <v>900</v>
      </c>
      <c r="AE88" s="204">
        <v>935.00000000000011</v>
      </c>
      <c r="AF88" s="206">
        <v>933.00000000000011</v>
      </c>
      <c r="AG88" s="204">
        <v>976.00000000000011</v>
      </c>
      <c r="AH88" s="204">
        <v>942</v>
      </c>
      <c r="AI88" s="204">
        <v>929</v>
      </c>
      <c r="AJ88" s="204">
        <v>1019</v>
      </c>
      <c r="AK88" s="204">
        <v>970.50729706933612</v>
      </c>
      <c r="AL88" s="204">
        <v>1053</v>
      </c>
      <c r="AM88" s="204">
        <v>921</v>
      </c>
      <c r="AN88" s="204">
        <v>1029</v>
      </c>
      <c r="AO88" s="204">
        <v>966</v>
      </c>
      <c r="AP88" s="204">
        <v>899</v>
      </c>
      <c r="AQ88" s="204">
        <v>908</v>
      </c>
      <c r="AR88" s="204">
        <v>915</v>
      </c>
      <c r="AS88" s="204">
        <v>1027</v>
      </c>
      <c r="AT88" s="204">
        <v>989</v>
      </c>
      <c r="AU88" s="204">
        <v>992</v>
      </c>
      <c r="AV88" s="204">
        <v>1096</v>
      </c>
      <c r="AW88" s="204">
        <v>1047</v>
      </c>
      <c r="AX88" s="204">
        <v>1163</v>
      </c>
      <c r="AY88" s="204">
        <v>987</v>
      </c>
    </row>
    <row r="89" spans="1:51" ht="15" customHeight="1" x14ac:dyDescent="0.25">
      <c r="A89" s="38" t="s">
        <v>350</v>
      </c>
      <c r="B89" s="1" t="s">
        <v>351</v>
      </c>
      <c r="C89" s="258" t="s">
        <v>352</v>
      </c>
      <c r="D89" s="204">
        <v>0</v>
      </c>
      <c r="E89" s="204">
        <v>0</v>
      </c>
      <c r="F89" s="204">
        <v>0</v>
      </c>
      <c r="G89" s="204">
        <v>0</v>
      </c>
      <c r="H89" s="204">
        <v>0</v>
      </c>
      <c r="I89" s="204">
        <v>0</v>
      </c>
      <c r="J89" s="204">
        <v>0</v>
      </c>
      <c r="K89" s="204">
        <v>0</v>
      </c>
      <c r="L89" s="204">
        <v>0</v>
      </c>
      <c r="M89" s="204">
        <v>0</v>
      </c>
      <c r="N89" s="204">
        <v>0</v>
      </c>
      <c r="O89" s="204">
        <v>0</v>
      </c>
      <c r="P89" s="204">
        <v>0</v>
      </c>
      <c r="Q89" s="204">
        <v>0</v>
      </c>
      <c r="R89" s="204">
        <v>0</v>
      </c>
      <c r="S89" s="204">
        <v>0</v>
      </c>
      <c r="T89" s="204">
        <v>0</v>
      </c>
      <c r="U89" s="204">
        <v>0</v>
      </c>
      <c r="V89" s="204">
        <v>0</v>
      </c>
      <c r="W89" s="204">
        <v>0</v>
      </c>
      <c r="X89" s="204">
        <v>0</v>
      </c>
      <c r="Y89" s="204">
        <v>0</v>
      </c>
      <c r="Z89" s="204">
        <v>0</v>
      </c>
      <c r="AA89" s="204">
        <v>0</v>
      </c>
      <c r="AB89" s="204">
        <v>0</v>
      </c>
      <c r="AC89" s="204">
        <v>0</v>
      </c>
      <c r="AD89" s="204">
        <v>0</v>
      </c>
      <c r="AE89" s="204">
        <v>0</v>
      </c>
      <c r="AF89" s="206">
        <v>0</v>
      </c>
      <c r="AG89" s="204">
        <v>0</v>
      </c>
      <c r="AH89" s="204">
        <v>0</v>
      </c>
      <c r="AI89" s="204">
        <v>0</v>
      </c>
      <c r="AJ89" s="204">
        <v>0</v>
      </c>
      <c r="AK89" s="204">
        <v>0</v>
      </c>
      <c r="AL89" s="204">
        <v>0</v>
      </c>
      <c r="AM89" s="204">
        <v>0</v>
      </c>
      <c r="AN89" s="204">
        <v>0</v>
      </c>
      <c r="AO89" s="204">
        <v>0</v>
      </c>
      <c r="AP89" s="204">
        <v>0</v>
      </c>
      <c r="AQ89" s="204">
        <v>0</v>
      </c>
      <c r="AR89" s="204">
        <v>0</v>
      </c>
      <c r="AS89" s="204">
        <v>0</v>
      </c>
      <c r="AT89" s="204">
        <v>0</v>
      </c>
      <c r="AU89" s="204">
        <v>0</v>
      </c>
      <c r="AV89" s="204">
        <v>0</v>
      </c>
      <c r="AW89" s="204">
        <v>0</v>
      </c>
      <c r="AX89" s="204">
        <v>0</v>
      </c>
      <c r="AY89" s="204">
        <v>0</v>
      </c>
    </row>
    <row r="90" spans="1:51" ht="15" customHeight="1" x14ac:dyDescent="0.25">
      <c r="A90" s="38" t="s">
        <v>238</v>
      </c>
      <c r="B90" s="1" t="s">
        <v>239</v>
      </c>
      <c r="C90" s="40" t="s">
        <v>240</v>
      </c>
      <c r="D90" s="204">
        <v>31809.018960665711</v>
      </c>
      <c r="E90" s="204">
        <v>28826.967125239109</v>
      </c>
      <c r="F90" s="204">
        <v>28785.507968491507</v>
      </c>
      <c r="G90" s="204">
        <v>28826.939809896045</v>
      </c>
      <c r="H90" s="204">
        <v>31809.061090149982</v>
      </c>
      <c r="I90" s="204">
        <v>28826.925926291038</v>
      </c>
      <c r="J90" s="204">
        <v>22851</v>
      </c>
      <c r="K90" s="204">
        <v>26192.385061269175</v>
      </c>
      <c r="L90" s="204">
        <v>33392.945863099747</v>
      </c>
      <c r="M90" s="204">
        <v>31530.5531115228</v>
      </c>
      <c r="N90" s="204">
        <v>31070.700438853353</v>
      </c>
      <c r="O90" s="204">
        <v>22341.801493591651</v>
      </c>
      <c r="P90" s="204">
        <v>23899.714165461504</v>
      </c>
      <c r="Q90" s="204">
        <v>24640.528928841995</v>
      </c>
      <c r="R90" s="204">
        <v>23780.473133942425</v>
      </c>
      <c r="S90" s="204">
        <v>29612.06253889397</v>
      </c>
      <c r="T90" s="204">
        <v>19549.928283901347</v>
      </c>
      <c r="U90" s="204">
        <v>16226.134198056894</v>
      </c>
      <c r="V90" s="204">
        <v>21234.55654189079</v>
      </c>
      <c r="W90" s="204">
        <v>21915</v>
      </c>
      <c r="X90" s="204">
        <v>34622.460214237602</v>
      </c>
      <c r="Y90" s="204">
        <v>32646.4600782339</v>
      </c>
      <c r="Z90" s="204">
        <v>28182.167875125233</v>
      </c>
      <c r="AA90" s="204">
        <v>24481.321756601687</v>
      </c>
      <c r="AB90" s="204">
        <v>21617.408329220834</v>
      </c>
      <c r="AC90" s="204">
        <v>27112.999999999996</v>
      </c>
      <c r="AD90" s="204">
        <v>20652</v>
      </c>
      <c r="AE90" s="204">
        <v>4938.8500000000004</v>
      </c>
      <c r="AF90" s="206">
        <v>4599</v>
      </c>
      <c r="AG90" s="204">
        <v>4060</v>
      </c>
      <c r="AH90" s="204">
        <v>3825</v>
      </c>
      <c r="AI90" s="204">
        <v>3846</v>
      </c>
      <c r="AJ90" s="204">
        <v>3524</v>
      </c>
      <c r="AK90" s="204">
        <v>3507.42880286025</v>
      </c>
      <c r="AL90" s="204">
        <v>3815</v>
      </c>
      <c r="AM90" s="204">
        <v>3445</v>
      </c>
      <c r="AN90" s="204">
        <v>3653</v>
      </c>
      <c r="AO90" s="204">
        <v>3549</v>
      </c>
      <c r="AP90" s="204">
        <v>3000</v>
      </c>
      <c r="AQ90" s="204">
        <v>3098</v>
      </c>
      <c r="AR90" s="204">
        <v>3045</v>
      </c>
      <c r="AS90" s="204">
        <v>3421</v>
      </c>
      <c r="AT90" s="204">
        <v>3268</v>
      </c>
      <c r="AU90" s="204">
        <v>6229</v>
      </c>
      <c r="AV90" s="204">
        <v>13696</v>
      </c>
      <c r="AW90" s="204">
        <v>11402</v>
      </c>
      <c r="AX90" s="204">
        <v>11247</v>
      </c>
      <c r="AY90" s="204">
        <v>6722</v>
      </c>
    </row>
    <row r="91" spans="1:51" ht="15" customHeight="1" x14ac:dyDescent="0.25">
      <c r="A91" s="38" t="s">
        <v>251</v>
      </c>
      <c r="B91" s="1" t="s">
        <v>252</v>
      </c>
      <c r="C91" s="40" t="s">
        <v>253</v>
      </c>
      <c r="D91" s="204">
        <v>12975.01840961179</v>
      </c>
      <c r="E91" s="204">
        <v>13247.986153296268</v>
      </c>
      <c r="F91" s="204">
        <v>17268.985823703555</v>
      </c>
      <c r="G91" s="204">
        <v>19421.014492537281</v>
      </c>
      <c r="H91" s="204">
        <v>21901.097902566245</v>
      </c>
      <c r="I91" s="204">
        <v>20618.473812219385</v>
      </c>
      <c r="J91" s="204">
        <v>15886</v>
      </c>
      <c r="K91" s="204">
        <v>15886.018093985578</v>
      </c>
      <c r="L91" s="204">
        <v>14975.93453009252</v>
      </c>
      <c r="M91" s="204">
        <v>13084.611906756285</v>
      </c>
      <c r="N91" s="204">
        <v>12687.811302275693</v>
      </c>
      <c r="O91" s="204">
        <v>14843.096984565966</v>
      </c>
      <c r="P91" s="204">
        <v>12964.863911488559</v>
      </c>
      <c r="Q91" s="204">
        <v>12382.871463442891</v>
      </c>
      <c r="R91" s="204">
        <v>11895.98612577908</v>
      </c>
      <c r="S91" s="204">
        <v>12288.973561370702</v>
      </c>
      <c r="T91" s="204">
        <v>11159.013342994978</v>
      </c>
      <c r="U91" s="204">
        <v>11123.994869083843</v>
      </c>
      <c r="V91" s="204">
        <v>12857.990682728519</v>
      </c>
      <c r="W91" s="204">
        <v>12497.000820132547</v>
      </c>
      <c r="X91" s="204">
        <v>14406.98454251142</v>
      </c>
      <c r="Y91" s="204">
        <v>13112.017429256035</v>
      </c>
      <c r="Z91" s="204">
        <v>11522.978953294727</v>
      </c>
      <c r="AA91" s="204">
        <v>10370.912641924268</v>
      </c>
      <c r="AB91" s="204">
        <v>7937.433440617041</v>
      </c>
      <c r="AC91" s="204">
        <v>9596</v>
      </c>
      <c r="AD91" s="204">
        <v>8659</v>
      </c>
      <c r="AE91" s="204">
        <v>8832</v>
      </c>
      <c r="AF91" s="206">
        <v>8576</v>
      </c>
      <c r="AG91" s="204">
        <v>8598</v>
      </c>
      <c r="AH91" s="204">
        <v>8535</v>
      </c>
      <c r="AI91" s="204">
        <v>9111</v>
      </c>
      <c r="AJ91" s="204">
        <v>11955</v>
      </c>
      <c r="AK91" s="204">
        <v>7251.6975682833936</v>
      </c>
      <c r="AL91" s="204">
        <v>7097</v>
      </c>
      <c r="AM91" s="204">
        <v>5655</v>
      </c>
      <c r="AN91" s="204">
        <v>6374</v>
      </c>
      <c r="AO91" s="204">
        <v>5539</v>
      </c>
      <c r="AP91" s="204">
        <v>5534</v>
      </c>
      <c r="AQ91" s="204">
        <v>5812</v>
      </c>
      <c r="AR91" s="204">
        <v>6238</v>
      </c>
      <c r="AS91" s="204">
        <v>8252</v>
      </c>
      <c r="AT91" s="204">
        <v>10440</v>
      </c>
      <c r="AU91" s="204">
        <v>10736</v>
      </c>
      <c r="AV91" s="204">
        <v>12351</v>
      </c>
      <c r="AW91" s="204">
        <v>10792</v>
      </c>
      <c r="AX91" s="204">
        <v>10515</v>
      </c>
      <c r="AY91" s="204">
        <v>8097</v>
      </c>
    </row>
    <row r="92" spans="1:51" ht="15" customHeight="1" x14ac:dyDescent="0.25">
      <c r="A92" s="38" t="s">
        <v>28</v>
      </c>
      <c r="B92" s="1" t="s">
        <v>29</v>
      </c>
      <c r="C92" s="258" t="s">
        <v>30</v>
      </c>
      <c r="D92" s="204">
        <v>0</v>
      </c>
      <c r="E92" s="204">
        <v>0</v>
      </c>
      <c r="F92" s="204">
        <v>0</v>
      </c>
      <c r="G92" s="204">
        <v>0</v>
      </c>
      <c r="H92" s="204">
        <v>0</v>
      </c>
      <c r="I92" s="204">
        <v>0</v>
      </c>
      <c r="J92" s="204">
        <v>0</v>
      </c>
      <c r="K92" s="204">
        <v>0</v>
      </c>
      <c r="L92" s="204">
        <v>0</v>
      </c>
      <c r="M92" s="204">
        <v>0</v>
      </c>
      <c r="N92" s="204">
        <v>0</v>
      </c>
      <c r="O92" s="204">
        <v>0</v>
      </c>
      <c r="P92" s="204">
        <v>0</v>
      </c>
      <c r="Q92" s="204">
        <v>0</v>
      </c>
      <c r="R92" s="204">
        <v>0</v>
      </c>
      <c r="S92" s="204">
        <v>0</v>
      </c>
      <c r="T92" s="204">
        <v>0</v>
      </c>
      <c r="U92" s="204">
        <v>0</v>
      </c>
      <c r="V92" s="204">
        <v>0</v>
      </c>
      <c r="W92" s="204">
        <v>0</v>
      </c>
      <c r="X92" s="204">
        <v>0</v>
      </c>
      <c r="Y92" s="204">
        <v>0</v>
      </c>
      <c r="Z92" s="204">
        <v>0</v>
      </c>
      <c r="AA92" s="204">
        <v>0</v>
      </c>
      <c r="AB92" s="204">
        <v>0</v>
      </c>
      <c r="AC92" s="204">
        <v>0</v>
      </c>
      <c r="AD92" s="204">
        <v>0</v>
      </c>
      <c r="AE92" s="204">
        <v>0</v>
      </c>
      <c r="AF92" s="206">
        <v>0</v>
      </c>
      <c r="AG92" s="204">
        <v>0</v>
      </c>
      <c r="AH92" s="204">
        <v>0</v>
      </c>
      <c r="AI92" s="204">
        <v>0</v>
      </c>
      <c r="AJ92" s="204">
        <v>0</v>
      </c>
      <c r="AK92" s="204">
        <v>0</v>
      </c>
      <c r="AL92" s="204">
        <v>0</v>
      </c>
      <c r="AM92" s="204">
        <v>0</v>
      </c>
      <c r="AN92" s="204">
        <v>0</v>
      </c>
      <c r="AO92" s="204">
        <v>0</v>
      </c>
      <c r="AP92" s="204">
        <v>0</v>
      </c>
      <c r="AQ92" s="204">
        <v>0</v>
      </c>
      <c r="AR92" s="204">
        <v>0</v>
      </c>
      <c r="AS92" s="204">
        <v>0</v>
      </c>
      <c r="AT92" s="204">
        <v>0</v>
      </c>
      <c r="AU92" s="204">
        <v>0</v>
      </c>
      <c r="AV92" s="204">
        <v>0</v>
      </c>
      <c r="AW92" s="204">
        <v>0</v>
      </c>
      <c r="AX92" s="204">
        <v>0</v>
      </c>
      <c r="AY92" s="204">
        <v>0</v>
      </c>
    </row>
    <row r="93" spans="1:51" ht="15" customHeight="1" x14ac:dyDescent="0.25">
      <c r="A93" s="38" t="s">
        <v>595</v>
      </c>
      <c r="B93" s="1" t="s">
        <v>596</v>
      </c>
      <c r="C93" s="258" t="s">
        <v>597</v>
      </c>
      <c r="D93" s="204">
        <v>0</v>
      </c>
      <c r="E93" s="204">
        <v>0</v>
      </c>
      <c r="F93" s="204">
        <v>0</v>
      </c>
      <c r="G93" s="204">
        <v>0</v>
      </c>
      <c r="H93" s="204">
        <v>0</v>
      </c>
      <c r="I93" s="204">
        <v>0</v>
      </c>
      <c r="J93" s="204">
        <v>0</v>
      </c>
      <c r="K93" s="204">
        <v>0</v>
      </c>
      <c r="L93" s="204">
        <v>0</v>
      </c>
      <c r="M93" s="204">
        <v>0</v>
      </c>
      <c r="N93" s="204">
        <v>0</v>
      </c>
      <c r="O93" s="204">
        <v>0</v>
      </c>
      <c r="P93" s="204">
        <v>0</v>
      </c>
      <c r="Q93" s="204">
        <v>0</v>
      </c>
      <c r="R93" s="204">
        <v>0</v>
      </c>
      <c r="S93" s="204">
        <v>0</v>
      </c>
      <c r="T93" s="204">
        <v>0</v>
      </c>
      <c r="U93" s="204">
        <v>0</v>
      </c>
      <c r="V93" s="204">
        <v>0</v>
      </c>
      <c r="W93" s="204">
        <v>0</v>
      </c>
      <c r="X93" s="204">
        <v>0</v>
      </c>
      <c r="Y93" s="204">
        <v>0</v>
      </c>
      <c r="Z93" s="204">
        <v>0</v>
      </c>
      <c r="AA93" s="204">
        <v>0</v>
      </c>
      <c r="AB93" s="204">
        <v>0</v>
      </c>
      <c r="AC93" s="204">
        <v>0</v>
      </c>
      <c r="AD93" s="204">
        <v>0</v>
      </c>
      <c r="AE93" s="204">
        <v>0</v>
      </c>
      <c r="AF93" s="206">
        <v>0</v>
      </c>
      <c r="AG93" s="204">
        <v>0</v>
      </c>
      <c r="AH93" s="204">
        <v>0</v>
      </c>
      <c r="AI93" s="204">
        <v>0</v>
      </c>
      <c r="AJ93" s="204">
        <v>0</v>
      </c>
      <c r="AK93" s="204">
        <v>0</v>
      </c>
      <c r="AL93" s="204">
        <v>0</v>
      </c>
      <c r="AM93" s="204">
        <v>0</v>
      </c>
      <c r="AN93" s="204">
        <v>0</v>
      </c>
      <c r="AO93" s="204">
        <v>0</v>
      </c>
      <c r="AP93" s="204">
        <v>0</v>
      </c>
      <c r="AQ93" s="204">
        <v>0</v>
      </c>
      <c r="AR93" s="204">
        <v>0</v>
      </c>
      <c r="AS93" s="204">
        <v>0</v>
      </c>
      <c r="AT93" s="204">
        <v>0</v>
      </c>
      <c r="AU93" s="204">
        <v>0</v>
      </c>
      <c r="AV93" s="204">
        <v>0</v>
      </c>
      <c r="AW93" s="204">
        <v>0</v>
      </c>
      <c r="AX93" s="204">
        <v>0</v>
      </c>
      <c r="AY93" s="204">
        <v>0</v>
      </c>
    </row>
    <row r="94" spans="1:51" ht="15" customHeight="1" x14ac:dyDescent="0.25">
      <c r="A94" s="38" t="s">
        <v>367</v>
      </c>
      <c r="B94" s="1" t="s">
        <v>368</v>
      </c>
      <c r="C94" s="258" t="s">
        <v>369</v>
      </c>
      <c r="D94" s="204">
        <v>0</v>
      </c>
      <c r="E94" s="204">
        <v>0</v>
      </c>
      <c r="F94" s="204">
        <v>0</v>
      </c>
      <c r="G94" s="204">
        <v>0</v>
      </c>
      <c r="H94" s="204">
        <v>0</v>
      </c>
      <c r="I94" s="204">
        <v>0</v>
      </c>
      <c r="J94" s="204">
        <v>0</v>
      </c>
      <c r="K94" s="204">
        <v>0</v>
      </c>
      <c r="L94" s="204">
        <v>0</v>
      </c>
      <c r="M94" s="204">
        <v>0</v>
      </c>
      <c r="N94" s="204">
        <v>0</v>
      </c>
      <c r="O94" s="204">
        <v>0</v>
      </c>
      <c r="P94" s="204">
        <v>0</v>
      </c>
      <c r="Q94" s="204">
        <v>0</v>
      </c>
      <c r="R94" s="204">
        <v>0</v>
      </c>
      <c r="S94" s="204">
        <v>0</v>
      </c>
      <c r="T94" s="204">
        <v>0</v>
      </c>
      <c r="U94" s="204">
        <v>0</v>
      </c>
      <c r="V94" s="204">
        <v>0</v>
      </c>
      <c r="W94" s="204">
        <v>0</v>
      </c>
      <c r="X94" s="204">
        <v>0</v>
      </c>
      <c r="Y94" s="204">
        <v>0</v>
      </c>
      <c r="Z94" s="204">
        <v>0</v>
      </c>
      <c r="AA94" s="204">
        <v>0</v>
      </c>
      <c r="AB94" s="204">
        <v>0</v>
      </c>
      <c r="AC94" s="204">
        <v>0</v>
      </c>
      <c r="AD94" s="204">
        <v>0</v>
      </c>
      <c r="AE94" s="204">
        <v>0</v>
      </c>
      <c r="AF94" s="206">
        <v>0</v>
      </c>
      <c r="AG94" s="204">
        <v>0</v>
      </c>
      <c r="AH94" s="204">
        <v>0</v>
      </c>
      <c r="AI94" s="204">
        <v>0</v>
      </c>
      <c r="AJ94" s="204">
        <v>0</v>
      </c>
      <c r="AK94" s="204">
        <v>0</v>
      </c>
      <c r="AL94" s="204">
        <v>0</v>
      </c>
      <c r="AM94" s="204">
        <v>0</v>
      </c>
      <c r="AN94" s="204">
        <v>0</v>
      </c>
      <c r="AO94" s="204">
        <v>0</v>
      </c>
      <c r="AP94" s="204">
        <v>0</v>
      </c>
      <c r="AQ94" s="204">
        <v>0</v>
      </c>
      <c r="AR94" s="204">
        <v>0</v>
      </c>
      <c r="AS94" s="204">
        <v>0</v>
      </c>
      <c r="AT94" s="204">
        <v>0</v>
      </c>
      <c r="AU94" s="204">
        <v>0</v>
      </c>
      <c r="AV94" s="204">
        <v>0</v>
      </c>
      <c r="AW94" s="204">
        <v>0</v>
      </c>
      <c r="AX94" s="204">
        <v>0</v>
      </c>
      <c r="AY94" s="204">
        <v>0</v>
      </c>
    </row>
    <row r="95" spans="1:51" ht="15" customHeight="1" x14ac:dyDescent="0.25">
      <c r="A95" s="130" t="s">
        <v>507</v>
      </c>
      <c r="B95" s="102" t="s">
        <v>508</v>
      </c>
      <c r="C95" s="40" t="s">
        <v>509</v>
      </c>
      <c r="D95" s="204">
        <v>180373.52670200157</v>
      </c>
      <c r="E95" s="204">
        <v>186855.43273813097</v>
      </c>
      <c r="F95" s="204">
        <v>162633.75221302683</v>
      </c>
      <c r="G95" s="204">
        <v>154997.93428679695</v>
      </c>
      <c r="H95" s="204">
        <v>136914.0470453192</v>
      </c>
      <c r="I95" s="204">
        <v>98944.998973253314</v>
      </c>
      <c r="J95" s="204">
        <v>109604.06848882826</v>
      </c>
      <c r="K95" s="204">
        <v>142460.41571001933</v>
      </c>
      <c r="L95" s="204">
        <v>143732.77932199783</v>
      </c>
      <c r="M95" s="204">
        <v>145612.73445408471</v>
      </c>
      <c r="N95" s="204">
        <v>160374.92541839273</v>
      </c>
      <c r="O95" s="204">
        <v>159999.70725043816</v>
      </c>
      <c r="P95" s="204">
        <v>153721.19993603349</v>
      </c>
      <c r="Q95" s="204">
        <v>168493.77857368012</v>
      </c>
      <c r="R95" s="204">
        <v>116551.6600406384</v>
      </c>
      <c r="S95" s="204">
        <v>113769.97422981288</v>
      </c>
      <c r="T95" s="204">
        <v>81771.012713451753</v>
      </c>
      <c r="U95" s="204">
        <v>60658.865608310669</v>
      </c>
      <c r="V95" s="204">
        <v>68844.970344485439</v>
      </c>
      <c r="W95" s="204">
        <v>71324.866444540821</v>
      </c>
      <c r="X95" s="204">
        <v>113009.88441119324</v>
      </c>
      <c r="Y95" s="204">
        <v>115837.11049877424</v>
      </c>
      <c r="Z95" s="204">
        <v>103196.836002959</v>
      </c>
      <c r="AA95" s="204">
        <v>95272.697418289827</v>
      </c>
      <c r="AB95" s="204">
        <v>84409.145565132174</v>
      </c>
      <c r="AC95" s="204">
        <v>103309.99999999999</v>
      </c>
      <c r="AD95" s="204">
        <v>77341</v>
      </c>
      <c r="AE95" s="204">
        <v>61030.999999999993</v>
      </c>
      <c r="AF95" s="206">
        <v>61672</v>
      </c>
      <c r="AG95" s="204">
        <v>59247</v>
      </c>
      <c r="AH95" s="204">
        <v>59622</v>
      </c>
      <c r="AI95" s="204">
        <v>56586</v>
      </c>
      <c r="AJ95" s="204">
        <v>54329</v>
      </c>
      <c r="AK95" s="204">
        <v>50123.868596603883</v>
      </c>
      <c r="AL95" s="204">
        <v>54699</v>
      </c>
      <c r="AM95" s="204">
        <v>53906</v>
      </c>
      <c r="AN95" s="204">
        <v>62375</v>
      </c>
      <c r="AO95" s="204">
        <v>46440</v>
      </c>
      <c r="AP95" s="204">
        <v>46630</v>
      </c>
      <c r="AQ95" s="204">
        <v>47328</v>
      </c>
      <c r="AR95" s="204">
        <v>38539</v>
      </c>
      <c r="AS95" s="204">
        <v>68617</v>
      </c>
      <c r="AT95" s="204">
        <v>65029</v>
      </c>
      <c r="AU95" s="204">
        <v>69212</v>
      </c>
      <c r="AV95" s="204">
        <v>116797</v>
      </c>
      <c r="AW95" s="204">
        <v>88766</v>
      </c>
      <c r="AX95" s="204">
        <v>90117</v>
      </c>
      <c r="AY95" s="204">
        <v>75212</v>
      </c>
    </row>
    <row r="96" spans="1:51" ht="15" customHeight="1" x14ac:dyDescent="0.25">
      <c r="A96" s="59" t="s">
        <v>510</v>
      </c>
      <c r="B96" s="134" t="s">
        <v>511</v>
      </c>
      <c r="C96" s="40" t="s">
        <v>512</v>
      </c>
      <c r="D96" s="204">
        <v>19101</v>
      </c>
      <c r="E96" s="204">
        <v>50841.918190234508</v>
      </c>
      <c r="F96" s="204">
        <v>47845.097823356176</v>
      </c>
      <c r="G96" s="204">
        <v>50605.982411728473</v>
      </c>
      <c r="H96" s="204">
        <v>47554.931485450696</v>
      </c>
      <c r="I96" s="204">
        <v>32479.971972359825</v>
      </c>
      <c r="J96" s="204">
        <v>33600.052120733766</v>
      </c>
      <c r="K96" s="204">
        <v>34719.982039510076</v>
      </c>
      <c r="L96" s="204">
        <v>33599.895434306927</v>
      </c>
      <c r="M96" s="204">
        <v>33599.783900586481</v>
      </c>
      <c r="N96" s="204">
        <v>37006.126773744334</v>
      </c>
      <c r="O96" s="204">
        <v>36919.532672635018</v>
      </c>
      <c r="P96" s="204">
        <v>49855.965316654147</v>
      </c>
      <c r="Q96" s="204">
        <v>50841.94</v>
      </c>
      <c r="R96" s="204">
        <v>47173.074476804853</v>
      </c>
      <c r="S96" s="204">
        <v>48408.970097207282</v>
      </c>
      <c r="T96" s="204">
        <v>36927.013648546905</v>
      </c>
      <c r="U96" s="204">
        <v>37783.909426073427</v>
      </c>
      <c r="V96" s="204">
        <v>44211.963739519233</v>
      </c>
      <c r="W96" s="204">
        <v>37259.920427166158</v>
      </c>
      <c r="X96" s="204">
        <v>49972.974812705601</v>
      </c>
      <c r="Y96" s="204">
        <v>53325.009514471807</v>
      </c>
      <c r="Z96" s="204">
        <v>49231.914617432783</v>
      </c>
      <c r="AA96" s="204">
        <v>48808.875233120176</v>
      </c>
      <c r="AB96" s="204">
        <v>45223.037372044353</v>
      </c>
      <c r="AC96" s="204">
        <v>53399</v>
      </c>
      <c r="AD96" s="204">
        <v>40600</v>
      </c>
      <c r="AE96" s="204">
        <v>26910.000000000004</v>
      </c>
      <c r="AF96" s="206">
        <v>32306</v>
      </c>
      <c r="AG96" s="204">
        <v>34897</v>
      </c>
      <c r="AH96" s="204">
        <v>28288</v>
      </c>
      <c r="AI96" s="204">
        <v>23925</v>
      </c>
      <c r="AJ96" s="204">
        <v>27640</v>
      </c>
      <c r="AK96" s="204">
        <v>25777.643295419522</v>
      </c>
      <c r="AL96" s="204">
        <v>29137</v>
      </c>
      <c r="AM96" s="204">
        <v>25568</v>
      </c>
      <c r="AN96" s="204">
        <v>26507</v>
      </c>
      <c r="AO96" s="204">
        <v>23901</v>
      </c>
      <c r="AP96" s="204">
        <v>22897</v>
      </c>
      <c r="AQ96" s="204">
        <v>22272</v>
      </c>
      <c r="AR96" s="204">
        <v>22961</v>
      </c>
      <c r="AS96" s="204">
        <v>29198</v>
      </c>
      <c r="AT96" s="204">
        <v>31334</v>
      </c>
      <c r="AU96" s="204">
        <v>39328</v>
      </c>
      <c r="AV96" s="204">
        <v>52582</v>
      </c>
      <c r="AW96" s="204">
        <v>50573</v>
      </c>
      <c r="AX96" s="204">
        <v>51354</v>
      </c>
      <c r="AY96" s="204">
        <v>42514</v>
      </c>
    </row>
    <row r="97" spans="1:51" ht="15" customHeight="1" x14ac:dyDescent="0.25">
      <c r="A97" s="59" t="s">
        <v>513</v>
      </c>
      <c r="B97" s="134" t="s">
        <v>514</v>
      </c>
      <c r="C97" s="40" t="s">
        <v>515</v>
      </c>
      <c r="D97" s="204">
        <v>0</v>
      </c>
      <c r="E97" s="204">
        <v>0</v>
      </c>
      <c r="F97" s="204">
        <v>0</v>
      </c>
      <c r="G97" s="204">
        <v>0</v>
      </c>
      <c r="H97" s="204">
        <v>0</v>
      </c>
      <c r="I97" s="204">
        <v>0</v>
      </c>
      <c r="J97" s="204">
        <v>0</v>
      </c>
      <c r="K97" s="204">
        <v>0</v>
      </c>
      <c r="L97" s="204">
        <v>0</v>
      </c>
      <c r="M97" s="204">
        <v>0</v>
      </c>
      <c r="N97" s="204">
        <v>0</v>
      </c>
      <c r="O97" s="204">
        <v>0</v>
      </c>
      <c r="P97" s="204">
        <v>0</v>
      </c>
      <c r="Q97" s="204">
        <v>0</v>
      </c>
      <c r="R97" s="204">
        <v>0</v>
      </c>
      <c r="S97" s="204">
        <v>0</v>
      </c>
      <c r="T97" s="204">
        <v>0</v>
      </c>
      <c r="U97" s="204">
        <v>0</v>
      </c>
      <c r="V97" s="204">
        <v>0</v>
      </c>
      <c r="W97" s="204">
        <v>0</v>
      </c>
      <c r="X97" s="204">
        <v>0</v>
      </c>
      <c r="Y97" s="204">
        <v>0</v>
      </c>
      <c r="Z97" s="204">
        <v>0</v>
      </c>
      <c r="AA97" s="204">
        <v>0</v>
      </c>
      <c r="AB97" s="204">
        <v>0</v>
      </c>
      <c r="AC97" s="204">
        <v>0</v>
      </c>
      <c r="AD97" s="204">
        <v>0</v>
      </c>
      <c r="AE97" s="204">
        <v>0</v>
      </c>
      <c r="AF97" s="206">
        <v>0</v>
      </c>
      <c r="AG97" s="204">
        <v>0</v>
      </c>
      <c r="AH97" s="204">
        <v>0</v>
      </c>
      <c r="AI97" s="204">
        <v>0</v>
      </c>
      <c r="AJ97" s="204">
        <v>0</v>
      </c>
      <c r="AK97" s="204">
        <v>0</v>
      </c>
      <c r="AL97" s="204">
        <v>0</v>
      </c>
      <c r="AM97" s="204">
        <v>0</v>
      </c>
      <c r="AN97" s="204">
        <v>0</v>
      </c>
      <c r="AO97" s="204">
        <v>0</v>
      </c>
      <c r="AP97" s="204">
        <v>0</v>
      </c>
      <c r="AQ97" s="204">
        <v>0</v>
      </c>
      <c r="AR97" s="204">
        <v>0</v>
      </c>
      <c r="AS97" s="204">
        <v>0</v>
      </c>
      <c r="AT97" s="204">
        <v>0</v>
      </c>
      <c r="AU97" s="204">
        <v>0</v>
      </c>
      <c r="AV97" s="204">
        <v>0</v>
      </c>
      <c r="AW97" s="204">
        <v>0</v>
      </c>
      <c r="AX97" s="204">
        <v>0</v>
      </c>
      <c r="AY97" s="204">
        <v>0</v>
      </c>
    </row>
    <row r="98" spans="1:51" ht="15" customHeight="1" x14ac:dyDescent="0.25">
      <c r="A98" s="62">
        <v>3570</v>
      </c>
      <c r="B98" s="207" t="s">
        <v>581</v>
      </c>
      <c r="C98" s="40" t="s">
        <v>582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>
        <v>0</v>
      </c>
      <c r="U98" s="204">
        <v>0</v>
      </c>
      <c r="V98" s="204">
        <v>0</v>
      </c>
      <c r="W98" s="204">
        <v>29473.0625</v>
      </c>
      <c r="X98" s="204">
        <v>31419.998767793859</v>
      </c>
      <c r="Y98" s="204">
        <v>29795.001134611026</v>
      </c>
      <c r="Z98" s="204">
        <v>27919.986770648055</v>
      </c>
      <c r="AA98" s="204">
        <v>27157.919580006233</v>
      </c>
      <c r="AB98" s="204">
        <v>23710.039916264352</v>
      </c>
      <c r="AC98" s="204">
        <v>29512</v>
      </c>
      <c r="AD98" s="204">
        <v>21427</v>
      </c>
      <c r="AE98" s="204">
        <v>17584</v>
      </c>
      <c r="AF98" s="206">
        <v>18260</v>
      </c>
      <c r="AG98" s="204">
        <v>17326</v>
      </c>
      <c r="AH98" s="204">
        <v>18261</v>
      </c>
      <c r="AI98" s="204">
        <v>19084</v>
      </c>
      <c r="AJ98" s="204">
        <v>23422</v>
      </c>
      <c r="AK98" s="204">
        <v>21490.888228023541</v>
      </c>
      <c r="AL98" s="204">
        <v>23248</v>
      </c>
      <c r="AM98" s="204">
        <v>19102</v>
      </c>
      <c r="AN98" s="204">
        <v>20150</v>
      </c>
      <c r="AO98" s="204">
        <v>18790</v>
      </c>
      <c r="AP98" s="204">
        <v>17895</v>
      </c>
      <c r="AQ98" s="204">
        <v>18610</v>
      </c>
      <c r="AR98" s="204">
        <v>19715</v>
      </c>
      <c r="AS98" s="204">
        <v>21828</v>
      </c>
      <c r="AT98" s="204">
        <v>22550</v>
      </c>
      <c r="AU98" s="204">
        <v>23262</v>
      </c>
      <c r="AV98" s="204">
        <v>28515</v>
      </c>
      <c r="AW98" s="204">
        <v>27808</v>
      </c>
      <c r="AX98" s="204">
        <v>29517</v>
      </c>
      <c r="AY98" s="204">
        <v>23342</v>
      </c>
    </row>
    <row r="99" spans="1:51" ht="15" customHeight="1" x14ac:dyDescent="0.25">
      <c r="A99" s="38" t="s">
        <v>301</v>
      </c>
      <c r="B99" s="1" t="s">
        <v>302</v>
      </c>
      <c r="C99" s="40" t="s">
        <v>303</v>
      </c>
      <c r="D99" s="204">
        <v>21289.011385625348</v>
      </c>
      <c r="E99" s="204">
        <v>19941.034703045822</v>
      </c>
      <c r="F99" s="204">
        <v>18502.974201469515</v>
      </c>
      <c r="G99" s="204">
        <v>19498.982189336737</v>
      </c>
      <c r="H99" s="204">
        <v>20325.024881793015</v>
      </c>
      <c r="I99" s="204">
        <v>21500.01630037326</v>
      </c>
      <c r="J99" s="204">
        <v>30579.000193514865</v>
      </c>
      <c r="K99" s="204">
        <v>31521.97423498776</v>
      </c>
      <c r="L99" s="204">
        <v>25928.896638693295</v>
      </c>
      <c r="M99" s="204">
        <v>22690.841828957189</v>
      </c>
      <c r="N99" s="204">
        <v>21847.703844598076</v>
      </c>
      <c r="O99" s="204">
        <v>21991.070295379242</v>
      </c>
      <c r="P99" s="204">
        <v>21187.985702871738</v>
      </c>
      <c r="Q99" s="204">
        <v>24410.042859664034</v>
      </c>
      <c r="R99" s="204">
        <v>18871.00530214655</v>
      </c>
      <c r="S99" s="204">
        <v>18936.996697923827</v>
      </c>
      <c r="T99" s="204">
        <v>16616.989901951343</v>
      </c>
      <c r="U99" s="204">
        <v>17907.970305719286</v>
      </c>
      <c r="V99" s="204">
        <v>23466.014188667912</v>
      </c>
      <c r="W99" s="204">
        <v>21016.98672250838</v>
      </c>
      <c r="X99" s="204">
        <v>25663.984343912438</v>
      </c>
      <c r="Y99" s="204">
        <v>22051.021085326614</v>
      </c>
      <c r="Z99" s="204">
        <v>18278.001424502181</v>
      </c>
      <c r="AA99" s="204">
        <v>23292.944025424473</v>
      </c>
      <c r="AB99" s="204">
        <v>18488.024871480218</v>
      </c>
      <c r="AC99" s="204">
        <v>19130</v>
      </c>
      <c r="AD99" s="204">
        <v>16008</v>
      </c>
      <c r="AE99" s="204">
        <v>14483</v>
      </c>
      <c r="AF99" s="206">
        <v>15872</v>
      </c>
      <c r="AG99" s="204">
        <v>17719</v>
      </c>
      <c r="AH99" s="204">
        <v>17791</v>
      </c>
      <c r="AI99" s="204">
        <v>18583</v>
      </c>
      <c r="AJ99" s="204">
        <v>17457</v>
      </c>
      <c r="AK99" s="204">
        <v>15751.482686356605</v>
      </c>
      <c r="AL99" s="204">
        <v>14881</v>
      </c>
      <c r="AM99" s="204">
        <v>14694</v>
      </c>
      <c r="AN99" s="204">
        <v>16559</v>
      </c>
      <c r="AO99" s="204">
        <v>13170</v>
      </c>
      <c r="AP99" s="204">
        <v>12314</v>
      </c>
      <c r="AQ99" s="204">
        <v>12099</v>
      </c>
      <c r="AR99" s="204">
        <v>13068</v>
      </c>
      <c r="AS99" s="204">
        <v>16994</v>
      </c>
      <c r="AT99" s="204">
        <v>16040</v>
      </c>
      <c r="AU99" s="204">
        <v>21014</v>
      </c>
      <c r="AV99" s="204">
        <v>18473</v>
      </c>
      <c r="AW99" s="204">
        <v>14948</v>
      </c>
      <c r="AX99" s="204">
        <v>16743</v>
      </c>
      <c r="AY99" s="204">
        <v>18437</v>
      </c>
    </row>
    <row r="100" spans="1:51" ht="15" customHeight="1" x14ac:dyDescent="0.25">
      <c r="A100" s="38" t="s">
        <v>124</v>
      </c>
      <c r="B100" s="1" t="s">
        <v>125</v>
      </c>
      <c r="C100" s="40" t="s">
        <v>126</v>
      </c>
      <c r="D100" s="204">
        <v>4505.5445268062404</v>
      </c>
      <c r="E100" s="204">
        <v>3100.0442600926272</v>
      </c>
      <c r="F100" s="204">
        <v>4463.6635809904792</v>
      </c>
      <c r="G100" s="204">
        <v>5736.8921540118963</v>
      </c>
      <c r="H100" s="204">
        <v>3660.8447325908955</v>
      </c>
      <c r="I100" s="204">
        <v>2528.7144509280793</v>
      </c>
      <c r="J100" s="204">
        <v>4073.015195292945</v>
      </c>
      <c r="K100" s="204">
        <v>4557.83</v>
      </c>
      <c r="L100" s="204">
        <v>4737.3925914682577</v>
      </c>
      <c r="M100" s="204">
        <v>4070.88</v>
      </c>
      <c r="N100" s="204">
        <v>4507.9799967954959</v>
      </c>
      <c r="O100" s="204">
        <v>5134.3436504595757</v>
      </c>
      <c r="P100" s="204">
        <v>3751.5378667258469</v>
      </c>
      <c r="Q100" s="204">
        <v>3687.3628828462183</v>
      </c>
      <c r="R100" s="204">
        <v>3282.3128987091595</v>
      </c>
      <c r="S100" s="204">
        <v>3737.8302507280937</v>
      </c>
      <c r="T100" s="204">
        <v>3280.2922673267258</v>
      </c>
      <c r="U100" s="204">
        <v>4119.61618909343</v>
      </c>
      <c r="V100" s="204">
        <v>5570.8110176455748</v>
      </c>
      <c r="W100" s="204">
        <v>7345.7881388586675</v>
      </c>
      <c r="X100" s="204">
        <v>7366.3691264288991</v>
      </c>
      <c r="Y100" s="204">
        <v>5517.9201096341603</v>
      </c>
      <c r="Z100" s="204">
        <v>4284.7184365990142</v>
      </c>
      <c r="AA100" s="204">
        <v>6872.481791107416</v>
      </c>
      <c r="AB100" s="204">
        <v>7119.8595172567266</v>
      </c>
      <c r="AC100" s="204">
        <v>5043</v>
      </c>
      <c r="AD100" s="204">
        <v>4306</v>
      </c>
      <c r="AE100" s="204">
        <v>2579.2800000000002</v>
      </c>
      <c r="AF100" s="206">
        <v>1976.0000000000002</v>
      </c>
      <c r="AG100" s="204">
        <v>2160</v>
      </c>
      <c r="AH100" s="204">
        <v>2310</v>
      </c>
      <c r="AI100" s="204">
        <v>2061</v>
      </c>
      <c r="AJ100" s="204">
        <v>1974</v>
      </c>
      <c r="AK100" s="204">
        <v>2015.1233014325824</v>
      </c>
      <c r="AL100" s="204">
        <v>2192</v>
      </c>
      <c r="AM100" s="204">
        <v>2769</v>
      </c>
      <c r="AN100" s="204">
        <v>3049</v>
      </c>
      <c r="AO100" s="204">
        <v>3612</v>
      </c>
      <c r="AP100" s="204">
        <v>2475</v>
      </c>
      <c r="AQ100" s="204">
        <v>1493</v>
      </c>
      <c r="AR100" s="204">
        <v>1432</v>
      </c>
      <c r="AS100" s="204">
        <v>2110</v>
      </c>
      <c r="AT100" s="204">
        <v>1998</v>
      </c>
      <c r="AU100" s="204">
        <v>2271</v>
      </c>
      <c r="AV100" s="204">
        <v>2565</v>
      </c>
      <c r="AW100" s="204">
        <v>2252</v>
      </c>
      <c r="AX100" s="204">
        <v>2565</v>
      </c>
      <c r="AY100" s="204">
        <v>3366</v>
      </c>
    </row>
    <row r="101" spans="1:51" ht="15" customHeight="1" x14ac:dyDescent="0.25">
      <c r="A101" s="62">
        <v>3360</v>
      </c>
      <c r="B101" s="207" t="s">
        <v>573</v>
      </c>
      <c r="C101" s="40" t="s">
        <v>574</v>
      </c>
      <c r="D101" s="204">
        <v>84132.97984178258</v>
      </c>
      <c r="E101" s="204">
        <v>85461.99366612875</v>
      </c>
      <c r="F101" s="204">
        <v>82837.967220401522</v>
      </c>
      <c r="G101" s="204">
        <v>89449.000834579681</v>
      </c>
      <c r="H101" s="204">
        <v>88374.369783571048</v>
      </c>
      <c r="I101" s="204">
        <v>72401.657958111668</v>
      </c>
      <c r="J101" s="204">
        <v>71894.06914424042</v>
      </c>
      <c r="K101" s="204">
        <v>80429</v>
      </c>
      <c r="L101" s="204">
        <v>92263.676712574597</v>
      </c>
      <c r="M101" s="204">
        <v>92784.437011198446</v>
      </c>
      <c r="N101" s="204">
        <v>93546.288810710626</v>
      </c>
      <c r="O101" s="204">
        <v>77942.844531816489</v>
      </c>
      <c r="P101" s="204">
        <v>82143.044164998981</v>
      </c>
      <c r="Q101" s="204">
        <v>82243.169443852938</v>
      </c>
      <c r="R101" s="204">
        <v>80954.026338458963</v>
      </c>
      <c r="S101" s="204">
        <v>92273.988178502957</v>
      </c>
      <c r="T101" s="204">
        <v>75285.031977185688</v>
      </c>
      <c r="U101" s="204">
        <v>69711.830951768803</v>
      </c>
      <c r="V101" s="204">
        <v>75475.953719685378</v>
      </c>
      <c r="W101" s="204">
        <v>72686</v>
      </c>
      <c r="X101" s="204">
        <v>91034.918447579214</v>
      </c>
      <c r="Y101" s="204">
        <v>96228.048372904639</v>
      </c>
      <c r="Z101" s="204">
        <v>93558.86987392242</v>
      </c>
      <c r="AA101" s="204">
        <v>86517.740144147334</v>
      </c>
      <c r="AB101" s="204">
        <v>80886.113307578838</v>
      </c>
      <c r="AC101" s="204">
        <v>96350</v>
      </c>
      <c r="AD101" s="204">
        <v>72117</v>
      </c>
      <c r="AE101" s="204">
        <v>48830</v>
      </c>
      <c r="AF101" s="206">
        <v>42626</v>
      </c>
      <c r="AG101" s="204">
        <v>36917</v>
      </c>
      <c r="AH101" s="204">
        <v>35008</v>
      </c>
      <c r="AI101" s="204">
        <v>36261</v>
      </c>
      <c r="AJ101" s="204">
        <v>75285</v>
      </c>
      <c r="AK101" s="204">
        <v>75754.094477361112</v>
      </c>
      <c r="AL101" s="204">
        <v>75285</v>
      </c>
      <c r="AM101" s="204">
        <v>75285</v>
      </c>
      <c r="AN101" s="204">
        <v>75285</v>
      </c>
      <c r="AO101" s="204">
        <v>75285</v>
      </c>
      <c r="AP101" s="204">
        <v>75285</v>
      </c>
      <c r="AQ101" s="204">
        <v>75285</v>
      </c>
      <c r="AR101" s="204">
        <v>75285</v>
      </c>
      <c r="AS101" s="204">
        <v>75285</v>
      </c>
      <c r="AT101" s="204">
        <v>75285</v>
      </c>
      <c r="AU101" s="204">
        <v>75285</v>
      </c>
      <c r="AV101" s="204">
        <v>86500</v>
      </c>
      <c r="AW101" s="204">
        <v>81450</v>
      </c>
      <c r="AX101" s="204">
        <v>17474</v>
      </c>
      <c r="AY101" s="204">
        <v>79350</v>
      </c>
    </row>
    <row r="102" spans="1:51" ht="15" customHeight="1" x14ac:dyDescent="0.25">
      <c r="A102" s="38" t="s">
        <v>220</v>
      </c>
      <c r="B102" s="63" t="s">
        <v>221</v>
      </c>
      <c r="C102" s="64" t="s">
        <v>222</v>
      </c>
      <c r="D102" s="204">
        <v>32592.960229445747</v>
      </c>
      <c r="E102" s="204">
        <v>33770.875317467166</v>
      </c>
      <c r="F102" s="204">
        <v>34744.306151660108</v>
      </c>
      <c r="G102" s="204">
        <v>36984.92024083445</v>
      </c>
      <c r="H102" s="204">
        <v>38247.82448035945</v>
      </c>
      <c r="I102" s="204">
        <v>31080.269982156169</v>
      </c>
      <c r="J102" s="204">
        <v>34948.020251899594</v>
      </c>
      <c r="K102" s="204">
        <v>38333.528629341134</v>
      </c>
      <c r="L102" s="204">
        <v>34255.375790209939</v>
      </c>
      <c r="M102" s="204">
        <v>35631.152194607712</v>
      </c>
      <c r="N102" s="204">
        <v>35796.40198534559</v>
      </c>
      <c r="O102" s="204">
        <v>36926.075939072558</v>
      </c>
      <c r="P102" s="204">
        <v>32150.189993326465</v>
      </c>
      <c r="Q102" s="204">
        <v>34270.645205612389</v>
      </c>
      <c r="R102" s="204">
        <v>33424.598377406881</v>
      </c>
      <c r="S102" s="204">
        <v>37727.2474961029</v>
      </c>
      <c r="T102" s="204">
        <v>34352.628471199874</v>
      </c>
      <c r="U102" s="204">
        <v>31355.21497441073</v>
      </c>
      <c r="V102" s="204">
        <v>33595.912003695114</v>
      </c>
      <c r="W102" s="204">
        <v>34943.68580166404</v>
      </c>
      <c r="X102" s="204">
        <v>34442.634876256547</v>
      </c>
      <c r="Y102" s="204">
        <v>36083.520971487138</v>
      </c>
      <c r="Z102" s="204">
        <v>33965.937794443671</v>
      </c>
      <c r="AA102" s="204">
        <v>36594.594466075141</v>
      </c>
      <c r="AB102" s="204">
        <v>31738.358919345344</v>
      </c>
      <c r="AC102" s="204">
        <v>36428</v>
      </c>
      <c r="AD102" s="204">
        <v>27183</v>
      </c>
      <c r="AE102" s="204">
        <v>23938.28</v>
      </c>
      <c r="AF102" s="206">
        <v>22145</v>
      </c>
      <c r="AG102" s="204">
        <v>23045.000000000004</v>
      </c>
      <c r="AH102" s="204">
        <v>22505.000000000004</v>
      </c>
      <c r="AI102" s="204">
        <v>23497</v>
      </c>
      <c r="AJ102" s="204">
        <v>25640</v>
      </c>
      <c r="AK102" s="204">
        <v>23929.002119862376</v>
      </c>
      <c r="AL102" s="204">
        <v>28008</v>
      </c>
      <c r="AM102" s="204">
        <v>26050</v>
      </c>
      <c r="AN102" s="204">
        <v>27755</v>
      </c>
      <c r="AO102" s="204">
        <v>24394</v>
      </c>
      <c r="AP102" s="204">
        <v>25210</v>
      </c>
      <c r="AQ102" s="204">
        <v>20206</v>
      </c>
      <c r="AR102" s="204">
        <v>21107</v>
      </c>
      <c r="AS102" s="204">
        <v>22329</v>
      </c>
      <c r="AT102" s="204">
        <v>25883</v>
      </c>
      <c r="AU102" s="204">
        <v>27171</v>
      </c>
      <c r="AV102" s="204">
        <v>29443</v>
      </c>
      <c r="AW102" s="204">
        <v>29648</v>
      </c>
      <c r="AX102" s="204">
        <v>30643</v>
      </c>
      <c r="AY102" s="204">
        <v>28958</v>
      </c>
    </row>
    <row r="103" spans="1:51" ht="15" customHeight="1" x14ac:dyDescent="0.25">
      <c r="A103" s="62">
        <v>3210</v>
      </c>
      <c r="B103" s="207" t="s">
        <v>553</v>
      </c>
      <c r="C103" s="40" t="s">
        <v>554</v>
      </c>
      <c r="D103" s="204">
        <v>166252.91216448226</v>
      </c>
      <c r="E103" s="204">
        <v>167774.99151857069</v>
      </c>
      <c r="F103" s="204">
        <v>159018.02330771973</v>
      </c>
      <c r="G103" s="204">
        <v>167260.9601279895</v>
      </c>
      <c r="H103" s="204">
        <v>164116.03319422866</v>
      </c>
      <c r="I103" s="204">
        <v>157367.00550425745</v>
      </c>
      <c r="J103" s="204">
        <v>158080.1138865368</v>
      </c>
      <c r="K103" s="204">
        <v>182932.9125265383</v>
      </c>
      <c r="L103" s="204">
        <v>176818.30183715004</v>
      </c>
      <c r="M103" s="204">
        <v>178033.93460898998</v>
      </c>
      <c r="N103" s="204">
        <v>194510.19494503876</v>
      </c>
      <c r="O103" s="204">
        <v>171789.21931168344</v>
      </c>
      <c r="P103" s="204">
        <v>156154.10710268424</v>
      </c>
      <c r="Q103" s="204">
        <v>152518.283173926</v>
      </c>
      <c r="R103" s="204">
        <v>153547.06213279272</v>
      </c>
      <c r="S103" s="204">
        <v>166392.97066877902</v>
      </c>
      <c r="T103" s="204">
        <v>153551.00775154639</v>
      </c>
      <c r="U103" s="204">
        <v>156609.65581064628</v>
      </c>
      <c r="V103" s="204">
        <v>171243.92749215689</v>
      </c>
      <c r="W103" s="204">
        <v>170075.72674319209</v>
      </c>
      <c r="X103" s="204">
        <v>166381.84565533171</v>
      </c>
      <c r="Y103" s="204">
        <v>179859.10001980604</v>
      </c>
      <c r="Z103" s="204">
        <v>170247.7458011081</v>
      </c>
      <c r="AA103" s="204">
        <v>178260.47785057992</v>
      </c>
      <c r="AB103" s="204">
        <v>160517.25884853219</v>
      </c>
      <c r="AC103" s="204">
        <v>178539</v>
      </c>
      <c r="AD103" s="204">
        <v>121193</v>
      </c>
      <c r="AE103" s="204">
        <v>52697</v>
      </c>
      <c r="AF103" s="206">
        <v>77499</v>
      </c>
      <c r="AG103" s="204">
        <v>84811</v>
      </c>
      <c r="AH103" s="204">
        <v>83991</v>
      </c>
      <c r="AI103" s="204">
        <v>80342</v>
      </c>
      <c r="AJ103" s="204">
        <v>112002</v>
      </c>
      <c r="AK103" s="204">
        <v>146679.51680555841</v>
      </c>
      <c r="AL103" s="204">
        <v>154987</v>
      </c>
      <c r="AM103" s="204">
        <v>136351</v>
      </c>
      <c r="AN103" s="204">
        <v>119079</v>
      </c>
      <c r="AO103" s="204">
        <v>124120</v>
      </c>
      <c r="AP103" s="204">
        <v>106684</v>
      </c>
      <c r="AQ103" s="204">
        <v>106796</v>
      </c>
      <c r="AR103" s="204">
        <v>106452</v>
      </c>
      <c r="AS103" s="204">
        <v>131190</v>
      </c>
      <c r="AT103" s="204">
        <v>138240</v>
      </c>
      <c r="AU103" s="204">
        <v>159557</v>
      </c>
      <c r="AV103" s="204">
        <v>144478</v>
      </c>
      <c r="AW103" s="204">
        <v>150430</v>
      </c>
      <c r="AX103" s="204">
        <v>166392</v>
      </c>
      <c r="AY103" s="204">
        <v>150686</v>
      </c>
    </row>
    <row r="104" spans="1:51" ht="15" customHeight="1" x14ac:dyDescent="0.25">
      <c r="A104" s="38" t="s">
        <v>491</v>
      </c>
      <c r="B104" s="63" t="s">
        <v>492</v>
      </c>
      <c r="C104" s="40" t="s">
        <v>3025</v>
      </c>
      <c r="D104" s="204">
        <v>80247.958213254286</v>
      </c>
      <c r="E104" s="204">
        <v>78366.999206758643</v>
      </c>
      <c r="F104" s="204">
        <v>67291.993090258955</v>
      </c>
      <c r="G104" s="204">
        <v>74773.989544005744</v>
      </c>
      <c r="H104" s="204">
        <v>67245.982127448486</v>
      </c>
      <c r="I104" s="204">
        <v>53236.900861318529</v>
      </c>
      <c r="J104" s="204">
        <v>55099.169201474135</v>
      </c>
      <c r="K104" s="204">
        <v>67322.974702721956</v>
      </c>
      <c r="L104" s="204">
        <v>79020.704760633133</v>
      </c>
      <c r="M104" s="204">
        <v>79759.496396629052</v>
      </c>
      <c r="N104" s="204">
        <v>79744.854408686981</v>
      </c>
      <c r="O104" s="204">
        <v>58355.152350427219</v>
      </c>
      <c r="P104" s="204">
        <v>55075.008672029478</v>
      </c>
      <c r="Q104" s="204">
        <v>57426.121915689291</v>
      </c>
      <c r="R104" s="204">
        <v>57353.010936426355</v>
      </c>
      <c r="S104" s="204">
        <v>59870.127987599895</v>
      </c>
      <c r="T104" s="204">
        <v>50038.908281619573</v>
      </c>
      <c r="U104" s="204">
        <v>49409.863445585164</v>
      </c>
      <c r="V104" s="204">
        <v>55470.441120910189</v>
      </c>
      <c r="W104" s="204">
        <v>53832.909444518198</v>
      </c>
      <c r="X104" s="204">
        <v>63559.077700134359</v>
      </c>
      <c r="Y104" s="204">
        <v>65262.896790471365</v>
      </c>
      <c r="Z104" s="204">
        <v>59761.91394663899</v>
      </c>
      <c r="AA104" s="204">
        <v>43580.869412533815</v>
      </c>
      <c r="AB104" s="204">
        <v>36584.947549817007</v>
      </c>
      <c r="AC104" s="204">
        <v>19423</v>
      </c>
      <c r="AD104" s="204">
        <v>14654.000000000002</v>
      </c>
      <c r="AE104" s="204">
        <v>5028</v>
      </c>
      <c r="AF104" s="206">
        <v>4578</v>
      </c>
      <c r="AG104" s="204">
        <v>4673</v>
      </c>
      <c r="AH104" s="204">
        <v>6572.0000000000009</v>
      </c>
      <c r="AI104" s="204">
        <v>7352</v>
      </c>
      <c r="AJ104" s="204">
        <v>9095</v>
      </c>
      <c r="AK104" s="204">
        <v>12122.0943080534</v>
      </c>
      <c r="AL104" s="204">
        <v>11902</v>
      </c>
      <c r="AM104" s="204">
        <v>7604</v>
      </c>
      <c r="AN104" s="204">
        <v>8321</v>
      </c>
      <c r="AO104" s="204">
        <v>7159</v>
      </c>
      <c r="AP104" s="204">
        <v>6952</v>
      </c>
      <c r="AQ104" s="204">
        <v>6888</v>
      </c>
      <c r="AR104" s="204">
        <v>9956</v>
      </c>
      <c r="AS104" s="204">
        <v>10701</v>
      </c>
      <c r="AT104" s="204">
        <v>9958</v>
      </c>
      <c r="AU104" s="204">
        <v>17254</v>
      </c>
      <c r="AV104" s="204">
        <v>21700</v>
      </c>
      <c r="AW104" s="204">
        <v>20671</v>
      </c>
      <c r="AX104" s="204">
        <v>22810</v>
      </c>
      <c r="AY104" s="204">
        <v>16790</v>
      </c>
    </row>
    <row r="105" spans="1:51" ht="15" customHeight="1" x14ac:dyDescent="0.25">
      <c r="A105" s="38" t="s">
        <v>493</v>
      </c>
      <c r="B105" s="63" t="s">
        <v>494</v>
      </c>
      <c r="C105" s="40" t="s">
        <v>3025</v>
      </c>
      <c r="D105" s="204">
        <v>4844.9878278205852</v>
      </c>
      <c r="E105" s="204">
        <v>4560.973237792261</v>
      </c>
      <c r="F105" s="204">
        <v>4385.9916842745497</v>
      </c>
      <c r="G105" s="204">
        <v>4696.993050760303</v>
      </c>
      <c r="H105" s="204">
        <v>4578.0216756791242</v>
      </c>
      <c r="I105" s="204">
        <v>4170.0969220592706</v>
      </c>
      <c r="J105" s="204">
        <v>4380</v>
      </c>
      <c r="K105" s="204">
        <v>4820.9885913794678</v>
      </c>
      <c r="L105" s="204">
        <v>4802.9946452180975</v>
      </c>
      <c r="M105" s="204">
        <v>4963.9851300367927</v>
      </c>
      <c r="N105" s="204">
        <v>5217.9005810405088</v>
      </c>
      <c r="O105" s="204">
        <v>4092.6313992824921</v>
      </c>
      <c r="P105" s="204">
        <v>4123.9918515330928</v>
      </c>
      <c r="Q105" s="204">
        <v>4225.0256362610871</v>
      </c>
      <c r="R105" s="204">
        <v>4116.9820110347473</v>
      </c>
      <c r="S105" s="204">
        <v>4768.8554118751981</v>
      </c>
      <c r="T105" s="204">
        <v>4189.1286884945994</v>
      </c>
      <c r="U105" s="204">
        <v>4202.9911462995124</v>
      </c>
      <c r="V105" s="204">
        <v>4285.848223319048</v>
      </c>
      <c r="W105" s="204">
        <v>4484.9839045837562</v>
      </c>
      <c r="X105" s="204">
        <v>5187.0098950299134</v>
      </c>
      <c r="Y105" s="204">
        <v>5518.9735610726311</v>
      </c>
      <c r="Z105" s="204">
        <v>4961.9856442764485</v>
      </c>
      <c r="AA105" s="204">
        <v>4770.9819633037196</v>
      </c>
      <c r="AB105" s="204">
        <v>4298.1061451661881</v>
      </c>
      <c r="AC105" s="204">
        <v>4975</v>
      </c>
      <c r="AD105" s="204">
        <v>3537</v>
      </c>
      <c r="AE105" s="204">
        <v>3609</v>
      </c>
      <c r="AF105" s="206">
        <v>3608</v>
      </c>
      <c r="AG105" s="204">
        <v>2948.9999999999995</v>
      </c>
      <c r="AH105" s="204">
        <v>2906.0000000000005</v>
      </c>
      <c r="AI105" s="204">
        <v>2996</v>
      </c>
      <c r="AJ105" s="204">
        <v>3017</v>
      </c>
      <c r="AK105" s="204">
        <v>2732.173721057758</v>
      </c>
      <c r="AL105" s="204">
        <v>2946</v>
      </c>
      <c r="AM105" s="204">
        <v>2232</v>
      </c>
      <c r="AN105" s="204">
        <v>2509</v>
      </c>
      <c r="AO105" s="204">
        <v>2690</v>
      </c>
      <c r="AP105" s="204">
        <v>2701</v>
      </c>
      <c r="AQ105" s="204">
        <v>2876</v>
      </c>
      <c r="AR105" s="204">
        <v>2579</v>
      </c>
      <c r="AS105" s="204">
        <v>3174</v>
      </c>
      <c r="AT105" s="204">
        <v>3117</v>
      </c>
      <c r="AU105" s="204">
        <v>4129</v>
      </c>
      <c r="AV105" s="204">
        <v>4907</v>
      </c>
      <c r="AW105" s="204">
        <v>4537</v>
      </c>
      <c r="AX105" s="204">
        <v>4782</v>
      </c>
      <c r="AY105" s="204">
        <v>3884</v>
      </c>
    </row>
    <row r="106" spans="1:51" ht="15" customHeight="1" x14ac:dyDescent="0.25">
      <c r="A106" s="38" t="s">
        <v>451</v>
      </c>
      <c r="B106" s="1" t="s">
        <v>452</v>
      </c>
      <c r="C106" s="258" t="s">
        <v>453</v>
      </c>
      <c r="D106" s="204">
        <v>0</v>
      </c>
      <c r="E106" s="204">
        <v>0</v>
      </c>
      <c r="F106" s="204">
        <v>0</v>
      </c>
      <c r="G106" s="204">
        <v>0</v>
      </c>
      <c r="H106" s="204">
        <v>0</v>
      </c>
      <c r="I106" s="204">
        <v>0</v>
      </c>
      <c r="J106" s="204">
        <v>0</v>
      </c>
      <c r="K106" s="204">
        <v>0</v>
      </c>
      <c r="L106" s="204">
        <v>0</v>
      </c>
      <c r="M106" s="204">
        <v>0</v>
      </c>
      <c r="N106" s="204">
        <v>0</v>
      </c>
      <c r="O106" s="204">
        <v>0</v>
      </c>
      <c r="P106" s="204">
        <v>0</v>
      </c>
      <c r="Q106" s="204">
        <v>0</v>
      </c>
      <c r="R106" s="204">
        <v>0</v>
      </c>
      <c r="S106" s="204">
        <v>0</v>
      </c>
      <c r="T106" s="204">
        <v>0</v>
      </c>
      <c r="U106" s="204">
        <v>0</v>
      </c>
      <c r="V106" s="204">
        <v>0</v>
      </c>
      <c r="W106" s="204">
        <v>0</v>
      </c>
      <c r="X106" s="204">
        <v>0</v>
      </c>
      <c r="Y106" s="204">
        <v>0</v>
      </c>
      <c r="Z106" s="204">
        <v>0</v>
      </c>
      <c r="AA106" s="204">
        <v>0</v>
      </c>
      <c r="AB106" s="204">
        <v>0</v>
      </c>
      <c r="AC106" s="204">
        <v>0</v>
      </c>
      <c r="AD106" s="204">
        <v>0</v>
      </c>
      <c r="AE106" s="204">
        <v>0</v>
      </c>
      <c r="AF106" s="206">
        <v>0</v>
      </c>
      <c r="AG106" s="204">
        <v>0</v>
      </c>
      <c r="AH106" s="204">
        <v>0</v>
      </c>
      <c r="AI106" s="204">
        <v>0</v>
      </c>
      <c r="AJ106" s="204">
        <v>0</v>
      </c>
      <c r="AK106" s="204">
        <v>0</v>
      </c>
      <c r="AL106" s="204">
        <v>0</v>
      </c>
      <c r="AM106" s="204">
        <v>0</v>
      </c>
      <c r="AN106" s="204">
        <v>0</v>
      </c>
      <c r="AO106" s="204">
        <v>0</v>
      </c>
      <c r="AP106" s="204">
        <v>0</v>
      </c>
      <c r="AQ106" s="204">
        <v>0</v>
      </c>
      <c r="AR106" s="204">
        <v>0</v>
      </c>
      <c r="AS106" s="204">
        <v>0</v>
      </c>
      <c r="AT106" s="204">
        <v>0</v>
      </c>
      <c r="AU106" s="204">
        <v>0</v>
      </c>
      <c r="AV106" s="204">
        <v>0</v>
      </c>
      <c r="AW106" s="204">
        <v>0</v>
      </c>
      <c r="AX106" s="204">
        <v>0</v>
      </c>
      <c r="AY106" s="204">
        <v>0</v>
      </c>
    </row>
    <row r="107" spans="1:51" ht="15" customHeight="1" x14ac:dyDescent="0.25">
      <c r="A107" s="38" t="s">
        <v>457</v>
      </c>
      <c r="B107" s="1" t="s">
        <v>458</v>
      </c>
      <c r="C107" s="40" t="s">
        <v>459</v>
      </c>
      <c r="D107" s="204">
        <v>103543.94729277247</v>
      </c>
      <c r="E107" s="204">
        <v>103367.7963202142</v>
      </c>
      <c r="F107" s="204">
        <v>102101.19052119405</v>
      </c>
      <c r="G107" s="204">
        <v>102069.27967565872</v>
      </c>
      <c r="H107" s="204">
        <v>109486.69818051864</v>
      </c>
      <c r="I107" s="204">
        <v>92574.772046175349</v>
      </c>
      <c r="J107" s="204">
        <v>102810.31391674287</v>
      </c>
      <c r="K107" s="204">
        <v>99467.984651075138</v>
      </c>
      <c r="L107" s="204">
        <v>95471.635146994915</v>
      </c>
      <c r="M107" s="204">
        <v>97477.144936755125</v>
      </c>
      <c r="N107" s="204">
        <v>101877.09216075536</v>
      </c>
      <c r="O107" s="204">
        <v>95079.356402741483</v>
      </c>
      <c r="P107" s="204">
        <v>95294.046064434064</v>
      </c>
      <c r="Q107" s="204">
        <v>94908.186626895447</v>
      </c>
      <c r="R107" s="204">
        <v>93443.021363872307</v>
      </c>
      <c r="S107" s="204">
        <v>96934.968414988631</v>
      </c>
      <c r="T107" s="204">
        <v>86084.033870886764</v>
      </c>
      <c r="U107" s="204">
        <v>81445.808477343176</v>
      </c>
      <c r="V107" s="204">
        <v>90904.985022995388</v>
      </c>
      <c r="W107" s="204">
        <v>82036.883086703441</v>
      </c>
      <c r="X107" s="204">
        <v>98272.943598161219</v>
      </c>
      <c r="Y107" s="204">
        <v>98629.039776421079</v>
      </c>
      <c r="Z107" s="204">
        <v>94223.846432178674</v>
      </c>
      <c r="AA107" s="204">
        <v>90121.749291108586</v>
      </c>
      <c r="AB107" s="204">
        <v>85781.1440560263</v>
      </c>
      <c r="AC107" s="204">
        <v>96422</v>
      </c>
      <c r="AD107" s="204">
        <v>87888</v>
      </c>
      <c r="AE107" s="204">
        <v>86266.75</v>
      </c>
      <c r="AF107" s="206">
        <v>78436</v>
      </c>
      <c r="AG107" s="204">
        <v>80726</v>
      </c>
      <c r="AH107" s="204">
        <v>77433</v>
      </c>
      <c r="AI107" s="204">
        <v>76355</v>
      </c>
      <c r="AJ107" s="204">
        <v>79784</v>
      </c>
      <c r="AK107" s="204">
        <v>76759.411086571767</v>
      </c>
      <c r="AL107" s="204">
        <v>100804</v>
      </c>
      <c r="AM107" s="204">
        <v>75717</v>
      </c>
      <c r="AN107" s="204">
        <v>92901</v>
      </c>
      <c r="AO107" s="204">
        <v>79356</v>
      </c>
      <c r="AP107" s="204">
        <v>82327</v>
      </c>
      <c r="AQ107" s="204">
        <v>82686</v>
      </c>
      <c r="AR107" s="204">
        <v>78204</v>
      </c>
      <c r="AS107" s="204">
        <v>82923</v>
      </c>
      <c r="AT107" s="204">
        <v>77524</v>
      </c>
      <c r="AU107" s="204">
        <v>79001</v>
      </c>
      <c r="AV107" s="204">
        <v>107221</v>
      </c>
      <c r="AW107" s="204">
        <v>80441</v>
      </c>
      <c r="AX107" s="204">
        <v>79456</v>
      </c>
      <c r="AY107" s="204">
        <v>85079.356402741498</v>
      </c>
    </row>
    <row r="108" spans="1:51" ht="15" customHeight="1" x14ac:dyDescent="0.25">
      <c r="A108" s="38" t="s">
        <v>232</v>
      </c>
      <c r="B108" s="1" t="s">
        <v>233</v>
      </c>
      <c r="C108" s="40" t="s">
        <v>234</v>
      </c>
      <c r="D108" s="204">
        <v>0</v>
      </c>
      <c r="E108" s="204">
        <v>0</v>
      </c>
      <c r="F108" s="204">
        <v>0</v>
      </c>
      <c r="G108" s="204">
        <v>0</v>
      </c>
      <c r="H108" s="204">
        <v>0</v>
      </c>
      <c r="I108" s="204">
        <v>0</v>
      </c>
      <c r="J108" s="204">
        <v>0</v>
      </c>
      <c r="K108" s="204">
        <v>0</v>
      </c>
      <c r="L108" s="204">
        <v>0</v>
      </c>
      <c r="M108" s="204">
        <v>0</v>
      </c>
      <c r="N108" s="204">
        <v>0</v>
      </c>
      <c r="O108" s="204">
        <v>0</v>
      </c>
      <c r="P108" s="204">
        <v>0</v>
      </c>
      <c r="Q108" s="204">
        <v>0</v>
      </c>
      <c r="R108" s="204">
        <v>0</v>
      </c>
      <c r="S108" s="204">
        <v>0</v>
      </c>
      <c r="T108" s="204">
        <v>0</v>
      </c>
      <c r="U108" s="204">
        <v>0</v>
      </c>
      <c r="V108" s="204">
        <v>0</v>
      </c>
      <c r="W108" s="204">
        <v>0</v>
      </c>
      <c r="X108" s="204">
        <v>0</v>
      </c>
      <c r="Y108" s="204">
        <v>0</v>
      </c>
      <c r="Z108" s="204">
        <v>0</v>
      </c>
      <c r="AA108" s="204">
        <v>0</v>
      </c>
      <c r="AB108" s="204">
        <v>0</v>
      </c>
      <c r="AC108" s="204">
        <v>0</v>
      </c>
      <c r="AD108" s="204">
        <v>0</v>
      </c>
      <c r="AE108" s="204">
        <v>0</v>
      </c>
      <c r="AF108" s="206">
        <v>0</v>
      </c>
      <c r="AG108" s="204">
        <v>0</v>
      </c>
      <c r="AH108" s="204">
        <v>0</v>
      </c>
      <c r="AI108" s="204">
        <v>0</v>
      </c>
      <c r="AJ108" s="204">
        <v>0</v>
      </c>
      <c r="AK108" s="204">
        <v>0</v>
      </c>
      <c r="AL108" s="204">
        <v>0</v>
      </c>
      <c r="AM108" s="204">
        <v>0</v>
      </c>
      <c r="AN108" s="204">
        <v>0</v>
      </c>
      <c r="AO108" s="204">
        <v>0</v>
      </c>
      <c r="AP108" s="204">
        <v>0</v>
      </c>
      <c r="AQ108" s="204">
        <v>0</v>
      </c>
      <c r="AR108" s="204">
        <v>0</v>
      </c>
      <c r="AS108" s="204">
        <v>0</v>
      </c>
      <c r="AT108" s="204">
        <v>0</v>
      </c>
      <c r="AU108" s="204">
        <v>0</v>
      </c>
      <c r="AV108" s="204">
        <v>0</v>
      </c>
      <c r="AW108" s="204">
        <v>0</v>
      </c>
      <c r="AX108" s="204">
        <v>0</v>
      </c>
      <c r="AY108" s="204">
        <v>0</v>
      </c>
    </row>
    <row r="109" spans="1:51" ht="15" customHeight="1" x14ac:dyDescent="0.25">
      <c r="A109" s="62">
        <v>3520</v>
      </c>
      <c r="B109" s="207" t="s">
        <v>577</v>
      </c>
      <c r="C109" s="40" t="s">
        <v>578</v>
      </c>
      <c r="D109" s="204">
        <v>32814.008588565717</v>
      </c>
      <c r="E109" s="204">
        <v>31859.976240220331</v>
      </c>
      <c r="F109" s="204">
        <v>35010.986251665265</v>
      </c>
      <c r="G109" s="204">
        <v>36529.976751134091</v>
      </c>
      <c r="H109" s="204">
        <v>38485.98129484633</v>
      </c>
      <c r="I109" s="204">
        <v>44543.979159332514</v>
      </c>
      <c r="J109" s="204">
        <v>34112.00438028491</v>
      </c>
      <c r="K109" s="204">
        <v>29976.010107741968</v>
      </c>
      <c r="L109" s="204">
        <v>32399.852010085255</v>
      </c>
      <c r="M109" s="204">
        <v>32255.816776559845</v>
      </c>
      <c r="N109" s="204">
        <v>32763.510628802087</v>
      </c>
      <c r="O109" s="204">
        <v>27731.998978919255</v>
      </c>
      <c r="P109" s="204">
        <v>28569.00665748824</v>
      </c>
      <c r="Q109" s="204">
        <v>31286.042928044066</v>
      </c>
      <c r="R109" s="204">
        <v>29611.002412482623</v>
      </c>
      <c r="S109" s="204">
        <v>32450.992430067745</v>
      </c>
      <c r="T109" s="204">
        <v>26374.980075699728</v>
      </c>
      <c r="U109" s="204">
        <v>25143.946089059929</v>
      </c>
      <c r="V109" s="204">
        <v>27470.985869214619</v>
      </c>
      <c r="W109" s="204">
        <v>26863.936078342853</v>
      </c>
      <c r="X109" s="204">
        <v>33313.970985256725</v>
      </c>
      <c r="Y109" s="204">
        <v>34397.003743574074</v>
      </c>
      <c r="Z109" s="204">
        <v>34073.932410684662</v>
      </c>
      <c r="AA109" s="204">
        <v>29654.889672162353</v>
      </c>
      <c r="AB109" s="204">
        <v>29475.048094200163</v>
      </c>
      <c r="AC109" s="204">
        <v>37661</v>
      </c>
      <c r="AD109" s="204">
        <v>25427</v>
      </c>
      <c r="AE109" s="204">
        <v>18444</v>
      </c>
      <c r="AF109" s="206">
        <v>19482</v>
      </c>
      <c r="AG109" s="204">
        <v>20791</v>
      </c>
      <c r="AH109" s="204">
        <v>21556</v>
      </c>
      <c r="AI109" s="204">
        <v>23185</v>
      </c>
      <c r="AJ109" s="204">
        <v>25537</v>
      </c>
      <c r="AK109" s="204">
        <v>24698.975860409486</v>
      </c>
      <c r="AL109" s="204">
        <v>25920</v>
      </c>
      <c r="AM109" s="204">
        <v>28521</v>
      </c>
      <c r="AN109" s="204">
        <v>27078</v>
      </c>
      <c r="AO109" s="204">
        <v>28577</v>
      </c>
      <c r="AP109" s="204">
        <v>29224</v>
      </c>
      <c r="AQ109" s="204">
        <v>25415</v>
      </c>
      <c r="AR109" s="204">
        <v>23264</v>
      </c>
      <c r="AS109" s="204">
        <v>26325</v>
      </c>
      <c r="AT109" s="204">
        <v>26492</v>
      </c>
      <c r="AU109" s="204">
        <v>29134</v>
      </c>
      <c r="AV109" s="204">
        <v>36837</v>
      </c>
      <c r="AW109" s="204">
        <v>37389</v>
      </c>
      <c r="AX109" s="204">
        <v>40412</v>
      </c>
      <c r="AY109" s="204">
        <v>33401</v>
      </c>
    </row>
    <row r="110" spans="1:51" ht="15" customHeight="1" x14ac:dyDescent="0.25">
      <c r="A110" s="38" t="s">
        <v>112</v>
      </c>
      <c r="B110" s="1" t="s">
        <v>113</v>
      </c>
      <c r="C110" s="40" t="s">
        <v>114</v>
      </c>
      <c r="D110" s="204">
        <v>16760.844000000001</v>
      </c>
      <c r="E110" s="204">
        <v>16062.132</v>
      </c>
      <c r="F110" s="204">
        <v>16720.716</v>
      </c>
      <c r="G110" s="204">
        <v>17891.531999999999</v>
      </c>
      <c r="H110" s="204">
        <v>17818.356</v>
      </c>
      <c r="I110" s="204">
        <v>16062.132</v>
      </c>
      <c r="J110" s="204">
        <v>18513.528000000002</v>
      </c>
      <c r="K110" s="204">
        <v>11269.103999999999</v>
      </c>
      <c r="L110" s="204">
        <v>17745.18</v>
      </c>
      <c r="M110" s="204">
        <v>17635.416000000001</v>
      </c>
      <c r="N110" s="204">
        <v>19537.992000000002</v>
      </c>
      <c r="O110" s="204">
        <v>15476.724</v>
      </c>
      <c r="P110" s="204">
        <v>16062.132</v>
      </c>
      <c r="Q110" s="204">
        <v>15988.956</v>
      </c>
      <c r="R110" s="204">
        <v>15330.371999999999</v>
      </c>
      <c r="S110" s="204">
        <v>17489.063999999998</v>
      </c>
      <c r="T110" s="204">
        <v>16757.304</v>
      </c>
      <c r="U110" s="204">
        <v>17818.356</v>
      </c>
      <c r="V110" s="204">
        <v>20306.34</v>
      </c>
      <c r="W110" s="204">
        <v>18294</v>
      </c>
      <c r="X110" s="204">
        <v>20159.988000000001</v>
      </c>
      <c r="Y110" s="204">
        <v>19611.168000000001</v>
      </c>
      <c r="Z110" s="204">
        <v>19537.992000000002</v>
      </c>
      <c r="AA110" s="204">
        <v>14488.848</v>
      </c>
      <c r="AB110" s="204">
        <v>15366.960000000001</v>
      </c>
      <c r="AC110" s="204">
        <v>17159.772000000001</v>
      </c>
      <c r="AD110" s="204">
        <v>14598.612000000001</v>
      </c>
      <c r="AE110" s="204">
        <v>11269.103999999999</v>
      </c>
      <c r="AF110" s="206">
        <v>17562.240000000002</v>
      </c>
      <c r="AG110" s="204">
        <v>9403.116</v>
      </c>
      <c r="AH110" s="204">
        <v>14927.904</v>
      </c>
      <c r="AI110" s="204">
        <v>17379.3</v>
      </c>
      <c r="AJ110" s="204">
        <v>17306.124</v>
      </c>
      <c r="AK110" s="204">
        <v>16256.717344231447</v>
      </c>
      <c r="AL110" s="204">
        <v>16867.067999999999</v>
      </c>
      <c r="AM110" s="204">
        <v>15696.252</v>
      </c>
      <c r="AN110" s="204">
        <v>12952.152</v>
      </c>
      <c r="AO110" s="204">
        <v>15257.196</v>
      </c>
      <c r="AP110" s="204">
        <v>13464.384</v>
      </c>
      <c r="AQ110" s="204">
        <v>14671.788</v>
      </c>
      <c r="AR110" s="204">
        <v>14232.732</v>
      </c>
      <c r="AS110" s="204">
        <v>15330.371999999999</v>
      </c>
      <c r="AT110" s="204">
        <v>17818.356</v>
      </c>
      <c r="AU110" s="204">
        <v>20013.635999999999</v>
      </c>
      <c r="AV110" s="204">
        <v>20635.632000000001</v>
      </c>
      <c r="AW110" s="204">
        <v>19172.112000000001</v>
      </c>
      <c r="AX110" s="204">
        <v>17891.531999999999</v>
      </c>
      <c r="AY110" s="204">
        <v>16940.243999999999</v>
      </c>
    </row>
    <row r="111" spans="1:51" ht="15" customHeight="1" x14ac:dyDescent="0.25">
      <c r="A111" s="38" t="s">
        <v>432</v>
      </c>
      <c r="B111" s="63" t="s">
        <v>433</v>
      </c>
      <c r="C111" s="40" t="s">
        <v>434</v>
      </c>
      <c r="D111" s="204">
        <v>24538.574700000001</v>
      </c>
      <c r="E111" s="204">
        <v>22643.566500000001</v>
      </c>
      <c r="F111" s="204">
        <v>22251.6387</v>
      </c>
      <c r="G111" s="204">
        <v>24955.774799999999</v>
      </c>
      <c r="H111" s="204">
        <v>25014.1911</v>
      </c>
      <c r="I111" s="204">
        <v>23214.0576</v>
      </c>
      <c r="J111" s="204">
        <v>27008.217000000001</v>
      </c>
      <c r="K111" s="204">
        <v>29425.243200000001</v>
      </c>
      <c r="L111" s="204">
        <v>27646.653300000002</v>
      </c>
      <c r="M111" s="204">
        <v>25684.5285</v>
      </c>
      <c r="N111" s="204">
        <v>18623.1993</v>
      </c>
      <c r="O111" s="204">
        <v>18623.1993</v>
      </c>
      <c r="P111" s="204">
        <v>21681.1476</v>
      </c>
      <c r="Q111" s="204">
        <v>20707.1283</v>
      </c>
      <c r="R111" s="204">
        <v>20606.039100000002</v>
      </c>
      <c r="S111" s="204">
        <v>24929.673900000002</v>
      </c>
      <c r="T111" s="204">
        <v>20760.987300000001</v>
      </c>
      <c r="U111" s="204">
        <v>21043.5399</v>
      </c>
      <c r="V111" s="204">
        <v>25601.254199999999</v>
      </c>
      <c r="W111" s="204">
        <v>23862.437099999999</v>
      </c>
      <c r="X111" s="204">
        <v>27464.775600000001</v>
      </c>
      <c r="Y111" s="204">
        <v>26430.268499999998</v>
      </c>
      <c r="Z111" s="204">
        <v>23678.4879</v>
      </c>
      <c r="AA111" s="204">
        <v>23976.369600000002</v>
      </c>
      <c r="AB111" s="204">
        <v>20766.787499999999</v>
      </c>
      <c r="AC111" s="204">
        <v>24830.241900000001</v>
      </c>
      <c r="AD111" s="204">
        <v>20594.852999999999</v>
      </c>
      <c r="AE111" s="204">
        <v>20451.5052</v>
      </c>
      <c r="AF111" s="206">
        <v>17954.104800000001</v>
      </c>
      <c r="AG111" s="204">
        <v>20494.178100000001</v>
      </c>
      <c r="AH111" s="204">
        <v>23431.5651</v>
      </c>
      <c r="AI111" s="204">
        <v>25366.346099999999</v>
      </c>
      <c r="AJ111" s="204">
        <v>25671.6852</v>
      </c>
      <c r="AK111" s="204">
        <v>24087.560011300131</v>
      </c>
      <c r="AL111" s="204">
        <v>23574.084299999999</v>
      </c>
      <c r="AM111" s="204">
        <v>19933.215899999999</v>
      </c>
      <c r="AN111" s="204">
        <v>20613.910800000001</v>
      </c>
      <c r="AO111" s="204">
        <v>17618.107499999998</v>
      </c>
      <c r="AP111" s="204">
        <v>18832.8351</v>
      </c>
      <c r="AQ111" s="204">
        <v>21645.932100000002</v>
      </c>
      <c r="AR111" s="204">
        <v>22653.923999999999</v>
      </c>
      <c r="AS111" s="204">
        <v>23545.497599999999</v>
      </c>
      <c r="AT111" s="204">
        <v>22352.727900000002</v>
      </c>
      <c r="AU111" s="204">
        <v>23937.0111</v>
      </c>
      <c r="AV111" s="204">
        <v>31323.980100000001</v>
      </c>
      <c r="AW111" s="204">
        <v>18702.330600000001</v>
      </c>
      <c r="AX111" s="204">
        <v>16117.5129</v>
      </c>
      <c r="AY111" s="204">
        <v>15754.1718</v>
      </c>
    </row>
    <row r="112" spans="1:51" ht="15" customHeight="1" x14ac:dyDescent="0.25">
      <c r="A112" s="38" t="s">
        <v>429</v>
      </c>
      <c r="B112" s="63" t="s">
        <v>430</v>
      </c>
      <c r="C112" s="64" t="s">
        <v>431</v>
      </c>
      <c r="D112" s="204">
        <v>34690.425300000003</v>
      </c>
      <c r="E112" s="204">
        <v>32011.433499999999</v>
      </c>
      <c r="F112" s="204">
        <v>31457.3613</v>
      </c>
      <c r="G112" s="204">
        <v>35280.225200000001</v>
      </c>
      <c r="H112" s="204">
        <v>35362.808899999996</v>
      </c>
      <c r="I112" s="204">
        <v>32817.9424</v>
      </c>
      <c r="J112" s="204">
        <v>38181.783000000003</v>
      </c>
      <c r="K112" s="204">
        <v>41598.756800000003</v>
      </c>
      <c r="L112" s="204">
        <v>39084.346700000002</v>
      </c>
      <c r="M112" s="204">
        <v>36310.4715</v>
      </c>
      <c r="N112" s="204">
        <v>26327.8007</v>
      </c>
      <c r="O112" s="204">
        <v>26327.8007</v>
      </c>
      <c r="P112" s="204">
        <v>30650.8524</v>
      </c>
      <c r="Q112" s="204">
        <v>29273.8717</v>
      </c>
      <c r="R112" s="204">
        <v>29130.960899999998</v>
      </c>
      <c r="S112" s="204">
        <v>35243.326099999998</v>
      </c>
      <c r="T112" s="204">
        <v>29350.012699999999</v>
      </c>
      <c r="U112" s="204">
        <v>29749.4601</v>
      </c>
      <c r="V112" s="204">
        <v>36192.745799999997</v>
      </c>
      <c r="W112" s="204">
        <v>33734.562899999997</v>
      </c>
      <c r="X112" s="204">
        <v>38827.224399999999</v>
      </c>
      <c r="Y112" s="204">
        <v>37364.731500000002</v>
      </c>
      <c r="Z112" s="204">
        <v>33474.5121</v>
      </c>
      <c r="AA112" s="204">
        <v>33895.630400000002</v>
      </c>
      <c r="AB112" s="204">
        <v>29358.212500000001</v>
      </c>
      <c r="AC112" s="204">
        <v>35102.758099999999</v>
      </c>
      <c r="AD112" s="204">
        <v>29115.147000000001</v>
      </c>
      <c r="AE112" s="204">
        <v>28912.4948</v>
      </c>
      <c r="AF112" s="206">
        <v>25381.895199999999</v>
      </c>
      <c r="AG112" s="204">
        <v>28972.821899999999</v>
      </c>
      <c r="AH112" s="204">
        <v>33125.4349</v>
      </c>
      <c r="AI112" s="204">
        <v>35860.653899999998</v>
      </c>
      <c r="AJ112" s="204">
        <v>36292.3148</v>
      </c>
      <c r="AK112" s="204">
        <v>34052.821382134891</v>
      </c>
      <c r="AL112" s="204">
        <v>33326.915699999998</v>
      </c>
      <c r="AM112" s="204">
        <v>28179.784100000001</v>
      </c>
      <c r="AN112" s="204">
        <v>29142.089199999999</v>
      </c>
      <c r="AO112" s="204">
        <v>24906.892500000002</v>
      </c>
      <c r="AP112" s="204">
        <v>26624.1649</v>
      </c>
      <c r="AQ112" s="204">
        <v>30601.067899999998</v>
      </c>
      <c r="AR112" s="204">
        <v>32026.076000000001</v>
      </c>
      <c r="AS112" s="204">
        <v>33286.502399999998</v>
      </c>
      <c r="AT112" s="204">
        <v>31600.272099999998</v>
      </c>
      <c r="AU112" s="204">
        <v>33839.988899999997</v>
      </c>
      <c r="AV112" s="204">
        <v>44283.019899999999</v>
      </c>
      <c r="AW112" s="204">
        <v>26439.669399999999</v>
      </c>
      <c r="AX112" s="204">
        <v>22785.487099999998</v>
      </c>
      <c r="AY112" s="204">
        <v>22271.8282</v>
      </c>
    </row>
    <row r="113" spans="1:51" ht="15" customHeight="1" x14ac:dyDescent="0.25">
      <c r="A113" s="38" t="s">
        <v>344</v>
      </c>
      <c r="B113" s="1" t="s">
        <v>345</v>
      </c>
      <c r="C113" s="40" t="s">
        <v>346</v>
      </c>
      <c r="D113" s="204">
        <v>45872.003509567141</v>
      </c>
      <c r="E113" s="204">
        <v>44606.987292254191</v>
      </c>
      <c r="F113" s="204">
        <v>43189.988498636696</v>
      </c>
      <c r="G113" s="204">
        <v>49377.958205877861</v>
      </c>
      <c r="H113" s="204">
        <v>51202.982119445769</v>
      </c>
      <c r="I113" s="204">
        <v>47812.024011140842</v>
      </c>
      <c r="J113" s="204">
        <v>57011.061180022713</v>
      </c>
      <c r="K113" s="204">
        <v>61601.94472366738</v>
      </c>
      <c r="L113" s="204">
        <v>55708.807891016222</v>
      </c>
      <c r="M113" s="204">
        <v>58061.621217657019</v>
      </c>
      <c r="N113" s="204">
        <v>61296.095703956271</v>
      </c>
      <c r="O113" s="204">
        <v>48744.548012883984</v>
      </c>
      <c r="P113" s="204">
        <v>42977.048172685871</v>
      </c>
      <c r="Q113" s="204">
        <v>48096.081340279983</v>
      </c>
      <c r="R113" s="204">
        <v>53408.992336989955</v>
      </c>
      <c r="S113" s="204">
        <v>58797.973558480589</v>
      </c>
      <c r="T113" s="204">
        <v>50444.008656756654</v>
      </c>
      <c r="U113" s="204">
        <v>53148.888394839712</v>
      </c>
      <c r="V113" s="204">
        <v>63769.568012642769</v>
      </c>
      <c r="W113" s="204">
        <v>60734.887970818643</v>
      </c>
      <c r="X113" s="204">
        <v>66509.938504568927</v>
      </c>
      <c r="Y113" s="204">
        <v>58465.676958973316</v>
      </c>
      <c r="Z113" s="204">
        <v>52704.285201768151</v>
      </c>
      <c r="AA113" s="204">
        <v>47624.836336031083</v>
      </c>
      <c r="AB113" s="204">
        <v>42602.069788012399</v>
      </c>
      <c r="AC113" s="204">
        <v>48136.999999999993</v>
      </c>
      <c r="AD113" s="204">
        <v>39075</v>
      </c>
      <c r="AE113" s="204">
        <v>30629</v>
      </c>
      <c r="AF113" s="206">
        <v>22075</v>
      </c>
      <c r="AG113" s="204">
        <v>24979</v>
      </c>
      <c r="AH113" s="204">
        <v>29170.000000000004</v>
      </c>
      <c r="AI113" s="204">
        <v>31519</v>
      </c>
      <c r="AJ113" s="204">
        <v>32678</v>
      </c>
      <c r="AK113" s="204">
        <v>23024.530655019022</v>
      </c>
      <c r="AL113" s="204">
        <v>19337</v>
      </c>
      <c r="AM113" s="204">
        <v>13973</v>
      </c>
      <c r="AN113" s="204">
        <v>16126</v>
      </c>
      <c r="AO113" s="204">
        <v>13935</v>
      </c>
      <c r="AP113" s="204">
        <v>13642</v>
      </c>
      <c r="AQ113" s="204">
        <v>15339</v>
      </c>
      <c r="AR113" s="204">
        <v>19631</v>
      </c>
      <c r="AS113" s="204">
        <v>27726</v>
      </c>
      <c r="AT113" s="204">
        <v>34593</v>
      </c>
      <c r="AU113" s="204">
        <v>44611</v>
      </c>
      <c r="AV113" s="204">
        <v>52169</v>
      </c>
      <c r="AW113" s="204">
        <v>46076</v>
      </c>
      <c r="AX113" s="204">
        <v>42387</v>
      </c>
      <c r="AY113" s="204">
        <v>32997</v>
      </c>
    </row>
    <row r="114" spans="1:51" ht="15" customHeight="1" x14ac:dyDescent="0.25">
      <c r="A114" s="38" t="s">
        <v>31</v>
      </c>
      <c r="B114" s="1" t="s">
        <v>32</v>
      </c>
      <c r="C114" s="40" t="s">
        <v>33</v>
      </c>
      <c r="D114" s="204">
        <v>135571.6133630324</v>
      </c>
      <c r="E114" s="204">
        <v>139915.99334146691</v>
      </c>
      <c r="F114" s="204">
        <v>143164.06264903859</v>
      </c>
      <c r="G114" s="204">
        <v>142862.94169390202</v>
      </c>
      <c r="H114" s="204">
        <v>147042.04207437902</v>
      </c>
      <c r="I114" s="204">
        <v>131041.01678707536</v>
      </c>
      <c r="J114" s="204">
        <v>131078.06459559605</v>
      </c>
      <c r="K114" s="204">
        <v>137013.36402085575</v>
      </c>
      <c r="L114" s="204">
        <v>137564.44568437227</v>
      </c>
      <c r="M114" s="204">
        <v>136440.19669509801</v>
      </c>
      <c r="N114" s="204">
        <v>150107.50648253501</v>
      </c>
      <c r="O114" s="204">
        <v>139482.0836195132</v>
      </c>
      <c r="P114" s="204">
        <v>132559.08486202519</v>
      </c>
      <c r="Q114" s="204">
        <v>130527.84105434349</v>
      </c>
      <c r="R114" s="204">
        <v>131367.05167964764</v>
      </c>
      <c r="S114" s="204">
        <v>137188.6346881066</v>
      </c>
      <c r="T114" s="204">
        <v>126308.37208475033</v>
      </c>
      <c r="U114" s="204">
        <v>119746.34487039002</v>
      </c>
      <c r="V114" s="204">
        <v>130924.98622756967</v>
      </c>
      <c r="W114" s="204">
        <v>117900.78215847112</v>
      </c>
      <c r="X114" s="204">
        <v>130688.89383040062</v>
      </c>
      <c r="Y114" s="204">
        <v>140127.06704133246</v>
      </c>
      <c r="Z114" s="204">
        <v>132349.55743569336</v>
      </c>
      <c r="AA114" s="204">
        <v>140587.88559252949</v>
      </c>
      <c r="AB114" s="204">
        <v>127483.18645585274</v>
      </c>
      <c r="AC114" s="204">
        <v>143663</v>
      </c>
      <c r="AD114" s="204">
        <v>123219.00000000001</v>
      </c>
      <c r="AE114" s="204">
        <v>112529</v>
      </c>
      <c r="AF114" s="206">
        <v>109849.00000000001</v>
      </c>
      <c r="AG114" s="204">
        <v>111703</v>
      </c>
      <c r="AH114" s="204">
        <v>110064</v>
      </c>
      <c r="AI114" s="204">
        <v>99652</v>
      </c>
      <c r="AJ114" s="204">
        <v>116140</v>
      </c>
      <c r="AK114" s="204">
        <v>107911.88870065371</v>
      </c>
      <c r="AL114" s="204">
        <v>128388</v>
      </c>
      <c r="AM114" s="204">
        <v>113561</v>
      </c>
      <c r="AN114" s="204">
        <v>120167</v>
      </c>
      <c r="AO114" s="204">
        <v>109762</v>
      </c>
      <c r="AP114" s="204">
        <v>104136</v>
      </c>
      <c r="AQ114" s="204">
        <v>103039</v>
      </c>
      <c r="AR114" s="204">
        <v>114812</v>
      </c>
      <c r="AS114" s="204">
        <v>125948</v>
      </c>
      <c r="AT114" s="204">
        <v>116443</v>
      </c>
      <c r="AU114" s="204">
        <v>119829</v>
      </c>
      <c r="AV114" s="204">
        <v>141970</v>
      </c>
      <c r="AW114" s="204">
        <v>141248</v>
      </c>
      <c r="AX114" s="204">
        <v>165219</v>
      </c>
      <c r="AY114" s="204">
        <v>138851</v>
      </c>
    </row>
    <row r="115" spans="1:51" ht="15" customHeight="1" x14ac:dyDescent="0.25">
      <c r="A115" s="38" t="s">
        <v>34</v>
      </c>
      <c r="B115" s="63" t="s">
        <v>35</v>
      </c>
      <c r="C115" s="205" t="s">
        <v>36</v>
      </c>
      <c r="D115" s="204">
        <v>78234.310381789939</v>
      </c>
      <c r="E115" s="204">
        <v>53870.025525830111</v>
      </c>
      <c r="F115" s="204">
        <v>49454.99446461755</v>
      </c>
      <c r="G115" s="204">
        <v>67750.960205395066</v>
      </c>
      <c r="H115" s="204">
        <v>111084.82769418361</v>
      </c>
      <c r="I115" s="204">
        <v>84541.975572166208</v>
      </c>
      <c r="J115" s="204">
        <v>184758.10860869035</v>
      </c>
      <c r="K115" s="204">
        <v>86394</v>
      </c>
      <c r="L115" s="204">
        <v>73023.728729097056</v>
      </c>
      <c r="M115" s="204">
        <v>52433.679374555904</v>
      </c>
      <c r="N115" s="204">
        <v>23786.016451727955</v>
      </c>
      <c r="O115" s="204">
        <v>4199.5047510957047</v>
      </c>
      <c r="P115" s="204">
        <v>8498.0268912098436</v>
      </c>
      <c r="Q115" s="204">
        <v>2347.3482393199461</v>
      </c>
      <c r="R115" s="204">
        <v>23546.022212606054</v>
      </c>
      <c r="S115" s="204">
        <v>28604.336038216672</v>
      </c>
      <c r="T115" s="204">
        <v>19252.679686104577</v>
      </c>
      <c r="U115" s="204">
        <v>43568.267650915303</v>
      </c>
      <c r="V115" s="204">
        <v>57530.964373058494</v>
      </c>
      <c r="W115" s="204">
        <v>66445.884424721473</v>
      </c>
      <c r="X115" s="204">
        <v>93958.904985636531</v>
      </c>
      <c r="Y115" s="204">
        <v>48372.032001257983</v>
      </c>
      <c r="Z115" s="204">
        <v>32013.180774560788</v>
      </c>
      <c r="AA115" s="204">
        <v>10170.689911537531</v>
      </c>
      <c r="AB115" s="204">
        <v>3322.0201044574792</v>
      </c>
      <c r="AC115" s="204">
        <v>16381</v>
      </c>
      <c r="AD115" s="204">
        <v>5636</v>
      </c>
      <c r="AE115" s="204">
        <v>9216</v>
      </c>
      <c r="AF115" s="206">
        <v>14981</v>
      </c>
      <c r="AG115" s="204">
        <v>25045</v>
      </c>
      <c r="AH115" s="204">
        <v>23862</v>
      </c>
      <c r="AI115" s="204">
        <v>33366</v>
      </c>
      <c r="AJ115" s="204">
        <v>39773</v>
      </c>
      <c r="AK115" s="204">
        <v>33206.958344109255</v>
      </c>
      <c r="AL115" s="204">
        <v>8082</v>
      </c>
      <c r="AM115" s="204">
        <v>4357</v>
      </c>
      <c r="AN115" s="204">
        <v>5258</v>
      </c>
      <c r="AO115" s="204">
        <v>6755</v>
      </c>
      <c r="AP115" s="204">
        <v>3972</v>
      </c>
      <c r="AQ115" s="204">
        <v>11018</v>
      </c>
      <c r="AR115" s="204">
        <v>20692</v>
      </c>
      <c r="AS115" s="204">
        <v>27306</v>
      </c>
      <c r="AT115" s="204">
        <v>32393</v>
      </c>
      <c r="AU115" s="204">
        <v>34890</v>
      </c>
      <c r="AV115" s="204">
        <v>25721</v>
      </c>
      <c r="AW115" s="204">
        <v>19040</v>
      </c>
      <c r="AX115" s="204">
        <v>19007</v>
      </c>
      <c r="AY115" s="204">
        <v>4206</v>
      </c>
    </row>
    <row r="116" spans="1:51" ht="15" customHeight="1" x14ac:dyDescent="0.25">
      <c r="A116" s="38" t="s">
        <v>364</v>
      </c>
      <c r="B116" s="1" t="s">
        <v>365</v>
      </c>
      <c r="C116" s="40" t="s">
        <v>366</v>
      </c>
      <c r="D116" s="204">
        <v>132124.35286332257</v>
      </c>
      <c r="E116" s="204">
        <v>120777.4594121609</v>
      </c>
      <c r="F116" s="204">
        <v>121561.32756183721</v>
      </c>
      <c r="G116" s="204">
        <v>115395.95112674226</v>
      </c>
      <c r="H116" s="204">
        <v>126977.03059217408</v>
      </c>
      <c r="I116" s="204">
        <v>113907.26263092096</v>
      </c>
      <c r="J116" s="204">
        <v>116371.0833129619</v>
      </c>
      <c r="K116" s="204">
        <v>120172.20614277499</v>
      </c>
      <c r="L116" s="204">
        <v>116515.06941690903</v>
      </c>
      <c r="M116" s="204">
        <v>114422.27741803118</v>
      </c>
      <c r="N116" s="204">
        <v>124280.22479711735</v>
      </c>
      <c r="O116" s="204">
        <v>120252.87761878084</v>
      </c>
      <c r="P116" s="204">
        <v>108676.10353449832</v>
      </c>
      <c r="Q116" s="204">
        <v>107409.17110550631</v>
      </c>
      <c r="R116" s="204">
        <v>109258.0021025665</v>
      </c>
      <c r="S116" s="204">
        <v>119763.73294174462</v>
      </c>
      <c r="T116" s="204">
        <v>113039.27867399668</v>
      </c>
      <c r="U116" s="204">
        <v>111317.47857829329</v>
      </c>
      <c r="V116" s="204">
        <v>123726.22859441147</v>
      </c>
      <c r="W116" s="204">
        <v>111230.80609524398</v>
      </c>
      <c r="X116" s="204">
        <v>111974.89337460299</v>
      </c>
      <c r="Y116" s="204">
        <v>118075.05102964726</v>
      </c>
      <c r="Z116" s="204">
        <v>113224.84094016692</v>
      </c>
      <c r="AA116" s="204">
        <v>133204.63625256784</v>
      </c>
      <c r="AB116" s="204">
        <v>119259.17487805174</v>
      </c>
      <c r="AC116" s="204">
        <v>138307</v>
      </c>
      <c r="AD116" s="204">
        <v>120915</v>
      </c>
      <c r="AE116" s="204">
        <v>115143</v>
      </c>
      <c r="AF116" s="206">
        <v>117867</v>
      </c>
      <c r="AG116" s="204">
        <v>112155</v>
      </c>
      <c r="AH116" s="204">
        <v>105369.99999999999</v>
      </c>
      <c r="AI116" s="204">
        <v>103020</v>
      </c>
      <c r="AJ116" s="204">
        <v>112473</v>
      </c>
      <c r="AK116" s="204">
        <v>103810.8099444601</v>
      </c>
      <c r="AL116" s="204">
        <v>116379</v>
      </c>
      <c r="AM116" s="204">
        <v>112719</v>
      </c>
      <c r="AN116" s="204">
        <v>128279</v>
      </c>
      <c r="AO116" s="204">
        <v>103065</v>
      </c>
      <c r="AP116" s="204">
        <v>100162</v>
      </c>
      <c r="AQ116" s="204">
        <v>99748</v>
      </c>
      <c r="AR116" s="204">
        <v>100767</v>
      </c>
      <c r="AS116" s="204">
        <v>112320</v>
      </c>
      <c r="AT116" s="204">
        <v>102708</v>
      </c>
      <c r="AU116" s="204">
        <v>110780</v>
      </c>
      <c r="AV116" s="204">
        <v>114799</v>
      </c>
      <c r="AW116" s="204">
        <v>94117</v>
      </c>
      <c r="AX116" s="204">
        <v>100834</v>
      </c>
      <c r="AY116" s="204">
        <v>100474</v>
      </c>
    </row>
    <row r="117" spans="1:51" ht="15" customHeight="1" x14ac:dyDescent="0.25">
      <c r="A117" s="38" t="s">
        <v>106</v>
      </c>
      <c r="B117" s="1" t="s">
        <v>107</v>
      </c>
      <c r="C117" s="40" t="s">
        <v>108</v>
      </c>
      <c r="D117" s="204">
        <v>32971.95744625917</v>
      </c>
      <c r="E117" s="204">
        <v>43366.903347955173</v>
      </c>
      <c r="F117" s="204">
        <v>45292.992982916498</v>
      </c>
      <c r="G117" s="204">
        <v>43996.999801383601</v>
      </c>
      <c r="H117" s="204">
        <v>42494.998762662151</v>
      </c>
      <c r="I117" s="204">
        <v>45104.020090289203</v>
      </c>
      <c r="J117" s="204">
        <v>48795.00382619103</v>
      </c>
      <c r="K117" s="204">
        <v>53166.98570863824</v>
      </c>
      <c r="L117" s="204">
        <v>51851.791259660167</v>
      </c>
      <c r="M117" s="204">
        <v>50918.694932921557</v>
      </c>
      <c r="N117" s="204">
        <v>46630.311777847848</v>
      </c>
      <c r="O117" s="204">
        <v>33518.064083718244</v>
      </c>
      <c r="P117" s="204">
        <v>31843.005943725202</v>
      </c>
      <c r="Q117" s="204">
        <v>32828.080534387678</v>
      </c>
      <c r="R117" s="204">
        <v>38211.031608806414</v>
      </c>
      <c r="S117" s="204">
        <v>41619.015324935048</v>
      </c>
      <c r="T117" s="204">
        <v>39027.994269434246</v>
      </c>
      <c r="U117" s="204">
        <v>41291.888693652392</v>
      </c>
      <c r="V117" s="204">
        <v>46055.00001402662</v>
      </c>
      <c r="W117" s="204">
        <v>42025.906148167771</v>
      </c>
      <c r="X117" s="204">
        <v>45727.946661989146</v>
      </c>
      <c r="Y117" s="204">
        <v>44255.026729551268</v>
      </c>
      <c r="Z117" s="204">
        <v>42058.951816382243</v>
      </c>
      <c r="AA117" s="204">
        <v>44787.875204729389</v>
      </c>
      <c r="AB117" s="204">
        <v>35448.029150127884</v>
      </c>
      <c r="AC117" s="204">
        <v>46808</v>
      </c>
      <c r="AD117" s="204">
        <v>33552</v>
      </c>
      <c r="AE117" s="204">
        <v>24963</v>
      </c>
      <c r="AF117" s="206">
        <v>25131</v>
      </c>
      <c r="AG117" s="204">
        <v>27018</v>
      </c>
      <c r="AH117" s="204">
        <v>30679</v>
      </c>
      <c r="AI117" s="204">
        <v>33450</v>
      </c>
      <c r="AJ117" s="204">
        <v>38372</v>
      </c>
      <c r="AK117" s="204">
        <v>40411.719388296413</v>
      </c>
      <c r="AL117" s="204">
        <v>46608</v>
      </c>
      <c r="AM117" s="204">
        <v>35562</v>
      </c>
      <c r="AN117" s="204">
        <v>35067</v>
      </c>
      <c r="AO117" s="204">
        <v>37690</v>
      </c>
      <c r="AP117" s="204">
        <v>36908</v>
      </c>
      <c r="AQ117" s="204">
        <v>35670</v>
      </c>
      <c r="AR117" s="204">
        <v>36617</v>
      </c>
      <c r="AS117" s="204">
        <v>43915</v>
      </c>
      <c r="AT117" s="204">
        <v>44625</v>
      </c>
      <c r="AU117" s="204">
        <v>42028</v>
      </c>
      <c r="AV117" s="204">
        <v>48244</v>
      </c>
      <c r="AW117" s="204">
        <v>40207</v>
      </c>
      <c r="AX117" s="204">
        <v>38414</v>
      </c>
      <c r="AY117" s="204">
        <v>35078</v>
      </c>
    </row>
    <row r="118" spans="1:51" ht="15" customHeight="1" x14ac:dyDescent="0.25">
      <c r="A118" s="38" t="s">
        <v>418</v>
      </c>
      <c r="B118" s="1" t="s">
        <v>419</v>
      </c>
      <c r="C118" s="258" t="s">
        <v>420</v>
      </c>
      <c r="D118" s="204">
        <v>23675.986816967328</v>
      </c>
      <c r="E118" s="204">
        <v>23034.984859037413</v>
      </c>
      <c r="F118" s="204">
        <v>21676.981251407386</v>
      </c>
      <c r="G118" s="204">
        <v>22456.015928611436</v>
      </c>
      <c r="H118" s="204">
        <v>23679.011155874661</v>
      </c>
      <c r="I118" s="204">
        <v>19105.014470264159</v>
      </c>
      <c r="J118" s="204">
        <v>20428.987571344864</v>
      </c>
      <c r="K118" s="204">
        <v>25621.965289100503</v>
      </c>
      <c r="L118" s="204">
        <v>28499.920951985259</v>
      </c>
      <c r="M118" s="204">
        <v>28970.018586788356</v>
      </c>
      <c r="N118" s="204">
        <v>30246.576605243736</v>
      </c>
      <c r="O118" s="204">
        <v>30722.271740876684</v>
      </c>
      <c r="P118" s="204">
        <v>29113.001899277759</v>
      </c>
      <c r="Q118" s="204">
        <v>28154.036080944992</v>
      </c>
      <c r="R118" s="204">
        <v>27568.985531425096</v>
      </c>
      <c r="S118" s="204">
        <v>29579.967445389651</v>
      </c>
      <c r="T118" s="204">
        <v>26896.973345260812</v>
      </c>
      <c r="U118" s="204">
        <v>26321.948212600641</v>
      </c>
      <c r="V118" s="204">
        <v>30285.995475737309</v>
      </c>
      <c r="W118" s="204">
        <v>27349.977177761561</v>
      </c>
      <c r="X118" s="204">
        <v>31291.986573013368</v>
      </c>
      <c r="Y118" s="204">
        <v>31645.037435806847</v>
      </c>
      <c r="Z118" s="204">
        <v>19477.999854480924</v>
      </c>
      <c r="AA118" s="204">
        <v>18577.961947418171</v>
      </c>
      <c r="AB118" s="204">
        <v>17038.043625246537</v>
      </c>
      <c r="AC118" s="204">
        <v>19224</v>
      </c>
      <c r="AD118" s="204">
        <v>14909</v>
      </c>
      <c r="AE118" s="204">
        <v>10311</v>
      </c>
      <c r="AF118" s="206">
        <v>12997</v>
      </c>
      <c r="AG118" s="204">
        <v>13409</v>
      </c>
      <c r="AH118" s="204">
        <v>12723.000000000002</v>
      </c>
      <c r="AI118" s="204">
        <v>12707</v>
      </c>
      <c r="AJ118" s="204">
        <v>14098</v>
      </c>
      <c r="AK118" s="204">
        <v>13357.431921310163</v>
      </c>
      <c r="AL118" s="204">
        <v>14986</v>
      </c>
      <c r="AM118" s="204">
        <v>13075</v>
      </c>
      <c r="AN118" s="204">
        <v>14016</v>
      </c>
      <c r="AO118" s="204">
        <v>14209</v>
      </c>
      <c r="AP118" s="204">
        <v>12586</v>
      </c>
      <c r="AQ118" s="204">
        <v>11997</v>
      </c>
      <c r="AR118" s="204">
        <v>10623</v>
      </c>
      <c r="AS118" s="204">
        <v>6954</v>
      </c>
      <c r="AT118" s="204">
        <v>5760</v>
      </c>
      <c r="AU118" s="204">
        <v>17400</v>
      </c>
      <c r="AV118" s="204">
        <v>18848</v>
      </c>
      <c r="AW118" s="204">
        <v>18044</v>
      </c>
      <c r="AX118" s="204">
        <v>18892</v>
      </c>
      <c r="AY118" s="204">
        <v>16421</v>
      </c>
    </row>
    <row r="119" spans="1:51" ht="15" customHeight="1" x14ac:dyDescent="0.25">
      <c r="A119" s="38" t="s">
        <v>448</v>
      </c>
      <c r="B119" s="1" t="s">
        <v>449</v>
      </c>
      <c r="C119" s="40" t="s">
        <v>450</v>
      </c>
      <c r="D119" s="204">
        <v>125478.96150219893</v>
      </c>
      <c r="E119" s="204">
        <v>117349.98953716147</v>
      </c>
      <c r="F119" s="204">
        <v>121966.02515431044</v>
      </c>
      <c r="G119" s="204">
        <v>129033.0421896179</v>
      </c>
      <c r="H119" s="204">
        <v>141304.95502903435</v>
      </c>
      <c r="I119" s="204">
        <v>126102.02610255449</v>
      </c>
      <c r="J119" s="204">
        <v>167003.0958325183</v>
      </c>
      <c r="K119" s="204">
        <v>184667.84598919845</v>
      </c>
      <c r="L119" s="204">
        <v>164889.41164623233</v>
      </c>
      <c r="M119" s="204">
        <v>140463.13222835184</v>
      </c>
      <c r="N119" s="204">
        <v>138018.99511569767</v>
      </c>
      <c r="O119" s="204">
        <v>126978.56790117116</v>
      </c>
      <c r="P119" s="204">
        <v>113158.01197617916</v>
      </c>
      <c r="Q119" s="204">
        <v>107155.19261798079</v>
      </c>
      <c r="R119" s="204">
        <v>114540.14859076873</v>
      </c>
      <c r="S119" s="204">
        <v>125697.87798925997</v>
      </c>
      <c r="T119" s="204">
        <v>115787.01998020007</v>
      </c>
      <c r="U119" s="204">
        <v>120574.58022570441</v>
      </c>
      <c r="V119" s="204">
        <v>148332.08417192032</v>
      </c>
      <c r="W119" s="204">
        <v>136202.77156223703</v>
      </c>
      <c r="X119" s="204">
        <v>138305.86825563951</v>
      </c>
      <c r="Y119" s="204">
        <v>145744.07011126284</v>
      </c>
      <c r="Z119" s="204">
        <v>133407.83477542707</v>
      </c>
      <c r="AA119" s="204">
        <v>131462.62329174572</v>
      </c>
      <c r="AB119" s="204">
        <v>118348.1687855582</v>
      </c>
      <c r="AC119" s="204">
        <v>127425</v>
      </c>
      <c r="AD119" s="204">
        <v>113579.99999999999</v>
      </c>
      <c r="AE119" s="204">
        <v>117336.00000000001</v>
      </c>
      <c r="AF119" s="206">
        <v>111264</v>
      </c>
      <c r="AG119" s="204">
        <v>119317</v>
      </c>
      <c r="AH119" s="204">
        <v>115025.00000000001</v>
      </c>
      <c r="AI119" s="204">
        <v>122733</v>
      </c>
      <c r="AJ119" s="204">
        <v>135493</v>
      </c>
      <c r="AK119" s="204">
        <v>103455.16191582207</v>
      </c>
      <c r="AL119" s="204">
        <v>102437</v>
      </c>
      <c r="AM119" s="204">
        <v>90243</v>
      </c>
      <c r="AN119" s="204">
        <v>86087</v>
      </c>
      <c r="AO119" s="204">
        <v>107993</v>
      </c>
      <c r="AP119" s="204">
        <v>104886</v>
      </c>
      <c r="AQ119" s="204">
        <v>121184</v>
      </c>
      <c r="AR119" s="204">
        <v>124918</v>
      </c>
      <c r="AS119" s="204">
        <v>148617</v>
      </c>
      <c r="AT119" s="204">
        <v>155520</v>
      </c>
      <c r="AU119" s="204">
        <v>356476</v>
      </c>
      <c r="AV119" s="204">
        <v>381723</v>
      </c>
      <c r="AW119" s="204">
        <v>158158</v>
      </c>
      <c r="AX119" s="204">
        <v>184068</v>
      </c>
      <c r="AY119" s="204">
        <v>108631</v>
      </c>
    </row>
    <row r="120" spans="1:51" ht="15" customHeight="1" x14ac:dyDescent="0.25">
      <c r="A120" s="59">
        <v>2830</v>
      </c>
      <c r="B120" s="102" t="s">
        <v>522</v>
      </c>
      <c r="C120" s="40" t="s">
        <v>450</v>
      </c>
      <c r="D120" s="204">
        <v>18132</v>
      </c>
      <c r="E120" s="204">
        <v>18132</v>
      </c>
      <c r="F120" s="204">
        <v>18132</v>
      </c>
      <c r="G120" s="204">
        <v>18132</v>
      </c>
      <c r="H120" s="204">
        <v>18132</v>
      </c>
      <c r="I120" s="204">
        <v>9144.0093274481169</v>
      </c>
      <c r="J120" s="204">
        <v>18132</v>
      </c>
      <c r="K120" s="204">
        <v>18132</v>
      </c>
      <c r="L120" s="204">
        <v>18132</v>
      </c>
      <c r="M120" s="204">
        <v>18132</v>
      </c>
      <c r="N120" s="204">
        <v>18132</v>
      </c>
      <c r="O120" s="204">
        <v>18132</v>
      </c>
      <c r="P120" s="204">
        <v>18132</v>
      </c>
      <c r="Q120" s="204">
        <v>18132</v>
      </c>
      <c r="R120" s="204">
        <v>9821.9742905264775</v>
      </c>
      <c r="S120" s="204">
        <v>10039.999037093001</v>
      </c>
      <c r="T120" s="204">
        <v>8642</v>
      </c>
      <c r="U120" s="204">
        <v>8655.9968798823465</v>
      </c>
      <c r="V120" s="204">
        <v>9618.9901854190666</v>
      </c>
      <c r="W120" s="204">
        <v>9476.0959363108923</v>
      </c>
      <c r="X120" s="204">
        <v>10183.853942176414</v>
      </c>
      <c r="Y120" s="204">
        <v>10349.984807743414</v>
      </c>
      <c r="Z120" s="204">
        <v>9470.9647456693165</v>
      </c>
      <c r="AA120" s="204">
        <v>9747</v>
      </c>
      <c r="AB120" s="204">
        <v>8640.0139250441407</v>
      </c>
      <c r="AC120" s="204">
        <v>9213</v>
      </c>
      <c r="AD120" s="204">
        <v>6620</v>
      </c>
      <c r="AE120" s="204">
        <v>3929</v>
      </c>
      <c r="AF120" s="206">
        <v>5054</v>
      </c>
      <c r="AG120" s="204">
        <v>5089</v>
      </c>
      <c r="AH120" s="204">
        <v>5281</v>
      </c>
      <c r="AI120" s="204">
        <v>5238</v>
      </c>
      <c r="AJ120" s="204">
        <v>6933</v>
      </c>
      <c r="AK120" s="204">
        <v>6927.5808817003781</v>
      </c>
      <c r="AL120" s="204">
        <v>7878</v>
      </c>
      <c r="AM120" s="204">
        <v>6470</v>
      </c>
      <c r="AN120" s="204">
        <v>7213</v>
      </c>
      <c r="AO120" s="204">
        <v>6381</v>
      </c>
      <c r="AP120" s="204">
        <v>7342</v>
      </c>
      <c r="AQ120" s="204">
        <v>6520</v>
      </c>
      <c r="AR120" s="204">
        <v>6925</v>
      </c>
      <c r="AS120" s="204">
        <v>8667</v>
      </c>
      <c r="AT120" s="204">
        <v>7608</v>
      </c>
      <c r="AU120" s="204">
        <v>7939</v>
      </c>
      <c r="AV120" s="204">
        <v>10496</v>
      </c>
      <c r="AW120" s="204">
        <v>9842</v>
      </c>
      <c r="AX120" s="204">
        <v>10265</v>
      </c>
      <c r="AY120" s="204">
        <v>9078</v>
      </c>
    </row>
    <row r="121" spans="1:51" ht="15" customHeight="1" x14ac:dyDescent="0.25">
      <c r="A121" s="59" t="s">
        <v>504</v>
      </c>
      <c r="B121" s="102" t="s">
        <v>505</v>
      </c>
      <c r="C121" s="40" t="s">
        <v>506</v>
      </c>
      <c r="D121" s="204">
        <v>22348.962947114629</v>
      </c>
      <c r="E121" s="204">
        <v>23730.573849961191</v>
      </c>
      <c r="F121" s="204">
        <v>23481.419971550979</v>
      </c>
      <c r="G121" s="204">
        <v>21368.821699636315</v>
      </c>
      <c r="H121" s="204">
        <v>19406.182040450123</v>
      </c>
      <c r="I121" s="204">
        <v>11565.002279614153</v>
      </c>
      <c r="J121" s="204">
        <v>10494.991343502388</v>
      </c>
      <c r="K121" s="204">
        <v>12822.971086848245</v>
      </c>
      <c r="L121" s="204">
        <v>19855.935062740664</v>
      </c>
      <c r="M121" s="204">
        <v>22547.509567724508</v>
      </c>
      <c r="N121" s="204">
        <v>26208.985776442012</v>
      </c>
      <c r="O121" s="204">
        <v>29011.268153259378</v>
      </c>
      <c r="P121" s="204">
        <v>19949.75569570946</v>
      </c>
      <c r="Q121" s="204">
        <v>23412.295590752732</v>
      </c>
      <c r="R121" s="204">
        <v>21629.006102314401</v>
      </c>
      <c r="S121" s="204">
        <v>19183.237387531968</v>
      </c>
      <c r="T121" s="204">
        <v>14233.751438689871</v>
      </c>
      <c r="U121" s="204">
        <v>9218.998409693264</v>
      </c>
      <c r="V121" s="204">
        <v>10559.017852684754</v>
      </c>
      <c r="W121" s="204">
        <v>11226.970067201199</v>
      </c>
      <c r="X121" s="204">
        <v>19704.975204247356</v>
      </c>
      <c r="Y121" s="204">
        <v>22519.982550686207</v>
      </c>
      <c r="Z121" s="204">
        <v>23455.976301260605</v>
      </c>
      <c r="AA121" s="204">
        <v>21419.956126262095</v>
      </c>
      <c r="AB121" s="204">
        <v>18117.01257539451</v>
      </c>
      <c r="AC121" s="204">
        <v>20793</v>
      </c>
      <c r="AD121" s="204">
        <v>17162</v>
      </c>
      <c r="AE121" s="204">
        <v>14932</v>
      </c>
      <c r="AF121" s="206">
        <v>10903</v>
      </c>
      <c r="AG121" s="204">
        <v>6501.66</v>
      </c>
      <c r="AH121" s="204">
        <v>6741</v>
      </c>
      <c r="AI121" s="204">
        <v>7693</v>
      </c>
      <c r="AJ121" s="204">
        <v>9419</v>
      </c>
      <c r="AK121" s="204">
        <v>9861.3025471205528</v>
      </c>
      <c r="AL121" s="204">
        <v>12804</v>
      </c>
      <c r="AM121" s="204">
        <v>9143</v>
      </c>
      <c r="AN121" s="204">
        <v>11818</v>
      </c>
      <c r="AO121" s="204">
        <v>9893</v>
      </c>
      <c r="AP121" s="204">
        <v>9955</v>
      </c>
      <c r="AQ121" s="204">
        <v>8352</v>
      </c>
      <c r="AR121" s="204">
        <v>8352</v>
      </c>
      <c r="AS121" s="204">
        <v>9216</v>
      </c>
      <c r="AT121" s="204">
        <v>8640</v>
      </c>
      <c r="AU121" s="204">
        <v>11229</v>
      </c>
      <c r="AV121" s="204">
        <v>13940</v>
      </c>
      <c r="AW121" s="204">
        <v>19894</v>
      </c>
      <c r="AX121" s="204">
        <v>23215</v>
      </c>
      <c r="AY121" s="204">
        <v>21593</v>
      </c>
    </row>
    <row r="122" spans="1:51" ht="15" customHeight="1" x14ac:dyDescent="0.25">
      <c r="A122" s="38" t="s">
        <v>421</v>
      </c>
      <c r="B122" s="1" t="s">
        <v>422</v>
      </c>
      <c r="C122" s="258" t="s">
        <v>423</v>
      </c>
      <c r="D122" s="204">
        <v>0</v>
      </c>
      <c r="E122" s="204">
        <v>0</v>
      </c>
      <c r="F122" s="204">
        <v>0</v>
      </c>
      <c r="G122" s="204">
        <v>0</v>
      </c>
      <c r="H122" s="204">
        <v>0</v>
      </c>
      <c r="I122" s="204">
        <v>0</v>
      </c>
      <c r="J122" s="204">
        <v>0</v>
      </c>
      <c r="K122" s="204">
        <v>0</v>
      </c>
      <c r="L122" s="204">
        <v>0</v>
      </c>
      <c r="M122" s="204">
        <v>0</v>
      </c>
      <c r="N122" s="204">
        <v>0</v>
      </c>
      <c r="O122" s="204">
        <v>0</v>
      </c>
      <c r="P122" s="204">
        <v>0</v>
      </c>
      <c r="Q122" s="204">
        <v>0</v>
      </c>
      <c r="R122" s="204">
        <v>0</v>
      </c>
      <c r="S122" s="204">
        <v>0</v>
      </c>
      <c r="T122" s="204">
        <v>0</v>
      </c>
      <c r="U122" s="204">
        <v>0</v>
      </c>
      <c r="V122" s="204">
        <v>0</v>
      </c>
      <c r="W122" s="204">
        <v>0</v>
      </c>
      <c r="X122" s="204">
        <v>0</v>
      </c>
      <c r="Y122" s="204">
        <v>0</v>
      </c>
      <c r="Z122" s="204">
        <v>0</v>
      </c>
      <c r="AA122" s="204">
        <v>0</v>
      </c>
      <c r="AB122" s="204">
        <v>0</v>
      </c>
      <c r="AC122" s="204">
        <v>0</v>
      </c>
      <c r="AD122" s="204">
        <v>0</v>
      </c>
      <c r="AE122" s="204">
        <v>0</v>
      </c>
      <c r="AF122" s="206">
        <v>0</v>
      </c>
      <c r="AG122" s="204">
        <v>0</v>
      </c>
      <c r="AH122" s="204">
        <v>0</v>
      </c>
      <c r="AI122" s="204">
        <v>0</v>
      </c>
      <c r="AJ122" s="204">
        <v>0</v>
      </c>
      <c r="AK122" s="204">
        <v>0</v>
      </c>
      <c r="AL122" s="204">
        <v>0</v>
      </c>
      <c r="AM122" s="204">
        <v>0</v>
      </c>
      <c r="AN122" s="204">
        <v>0</v>
      </c>
      <c r="AO122" s="204">
        <v>0</v>
      </c>
      <c r="AP122" s="204">
        <v>0</v>
      </c>
      <c r="AQ122" s="204">
        <v>0</v>
      </c>
      <c r="AR122" s="204">
        <v>0</v>
      </c>
      <c r="AS122" s="204">
        <v>0</v>
      </c>
      <c r="AT122" s="204">
        <v>0</v>
      </c>
      <c r="AU122" s="204">
        <v>0</v>
      </c>
      <c r="AV122" s="204">
        <v>0</v>
      </c>
      <c r="AW122" s="204">
        <v>0</v>
      </c>
      <c r="AX122" s="204">
        <v>0</v>
      </c>
      <c r="AY122" s="204">
        <v>0</v>
      </c>
    </row>
    <row r="123" spans="1:51" ht="15" customHeight="1" x14ac:dyDescent="0.25">
      <c r="A123" s="38" t="s">
        <v>475</v>
      </c>
      <c r="B123" s="1" t="s">
        <v>476</v>
      </c>
      <c r="C123" s="40" t="s">
        <v>477</v>
      </c>
      <c r="D123" s="204">
        <v>162845.93929570436</v>
      </c>
      <c r="E123" s="204">
        <v>171488.02316291328</v>
      </c>
      <c r="F123" s="204">
        <v>165556.03380295489</v>
      </c>
      <c r="G123" s="204">
        <v>177617.93303625731</v>
      </c>
      <c r="H123" s="204">
        <v>174940.04051408748</v>
      </c>
      <c r="I123" s="204">
        <v>162550.01710249775</v>
      </c>
      <c r="J123" s="204">
        <v>200356.13503495362</v>
      </c>
      <c r="K123" s="204">
        <v>209583.88577954992</v>
      </c>
      <c r="L123" s="204">
        <v>207295.22740804282</v>
      </c>
      <c r="M123" s="204">
        <v>195856.810595338</v>
      </c>
      <c r="N123" s="204">
        <v>187397.28722677051</v>
      </c>
      <c r="O123" s="204">
        <v>147209.13601004909</v>
      </c>
      <c r="P123" s="204">
        <v>142304.12353349777</v>
      </c>
      <c r="Q123" s="204">
        <v>130520.26667260926</v>
      </c>
      <c r="R123" s="204">
        <v>143712.03962072302</v>
      </c>
      <c r="S123" s="204">
        <v>180196.00054853683</v>
      </c>
      <c r="T123" s="204">
        <v>149105.98628468948</v>
      </c>
      <c r="U123" s="204">
        <v>158081.62082893937</v>
      </c>
      <c r="V123" s="204">
        <v>195587.91782127318</v>
      </c>
      <c r="W123" s="204">
        <v>190205.68981283464</v>
      </c>
      <c r="X123" s="204">
        <v>244713.80711735657</v>
      </c>
      <c r="Y123" s="204">
        <v>213798.37911336421</v>
      </c>
      <c r="Z123" s="204">
        <v>197429.41986363611</v>
      </c>
      <c r="AA123" s="204">
        <v>152319.57230673256</v>
      </c>
      <c r="AB123" s="204">
        <v>140870.18839496971</v>
      </c>
      <c r="AC123" s="204">
        <v>164936</v>
      </c>
      <c r="AD123" s="204">
        <v>112604</v>
      </c>
      <c r="AE123" s="204">
        <v>69154</v>
      </c>
      <c r="AF123" s="206">
        <v>79128</v>
      </c>
      <c r="AG123" s="204">
        <v>99410</v>
      </c>
      <c r="AH123" s="204">
        <v>113228</v>
      </c>
      <c r="AI123" s="204">
        <v>145584</v>
      </c>
      <c r="AJ123" s="204">
        <v>163246</v>
      </c>
      <c r="AK123" s="204">
        <v>113382.64946067755</v>
      </c>
      <c r="AL123" s="204">
        <v>108208</v>
      </c>
      <c r="AM123" s="204">
        <v>97042</v>
      </c>
      <c r="AN123" s="204">
        <v>98434</v>
      </c>
      <c r="AO123" s="204">
        <v>92152</v>
      </c>
      <c r="AP123" s="204">
        <v>92730</v>
      </c>
      <c r="AQ123" s="204">
        <v>107854</v>
      </c>
      <c r="AR123" s="204">
        <v>126110</v>
      </c>
      <c r="AS123" s="204">
        <v>152316</v>
      </c>
      <c r="AT123" s="204">
        <v>158468</v>
      </c>
      <c r="AU123" s="204">
        <v>159716</v>
      </c>
      <c r="AV123" s="204">
        <v>196718</v>
      </c>
      <c r="AW123" s="204">
        <v>153742</v>
      </c>
      <c r="AX123" s="204">
        <v>160786</v>
      </c>
      <c r="AY123" s="204">
        <v>125946</v>
      </c>
    </row>
    <row r="124" spans="1:51" ht="15" customHeight="1" x14ac:dyDescent="0.25">
      <c r="A124" s="38" t="s">
        <v>298</v>
      </c>
      <c r="B124" s="1" t="s">
        <v>299</v>
      </c>
      <c r="C124" s="258" t="s">
        <v>300</v>
      </c>
      <c r="D124" s="204">
        <v>0</v>
      </c>
      <c r="E124" s="204">
        <v>0</v>
      </c>
      <c r="F124" s="204">
        <v>0</v>
      </c>
      <c r="G124" s="204">
        <v>0</v>
      </c>
      <c r="H124" s="204">
        <v>0</v>
      </c>
      <c r="I124" s="204">
        <v>0</v>
      </c>
      <c r="J124" s="204">
        <v>0</v>
      </c>
      <c r="K124" s="204">
        <v>0</v>
      </c>
      <c r="L124" s="204">
        <v>0</v>
      </c>
      <c r="M124" s="204">
        <v>0</v>
      </c>
      <c r="N124" s="204">
        <v>0</v>
      </c>
      <c r="O124" s="204">
        <v>0</v>
      </c>
      <c r="P124" s="204">
        <v>0</v>
      </c>
      <c r="Q124" s="204">
        <v>0</v>
      </c>
      <c r="R124" s="204">
        <v>0</v>
      </c>
      <c r="S124" s="204">
        <v>0</v>
      </c>
      <c r="T124" s="204">
        <v>0</v>
      </c>
      <c r="U124" s="204">
        <v>0</v>
      </c>
      <c r="V124" s="204">
        <v>0</v>
      </c>
      <c r="W124" s="204">
        <v>0</v>
      </c>
      <c r="X124" s="204">
        <v>0</v>
      </c>
      <c r="Y124" s="204">
        <v>0</v>
      </c>
      <c r="Z124" s="204">
        <v>0</v>
      </c>
      <c r="AA124" s="204">
        <v>0</v>
      </c>
      <c r="AB124" s="204">
        <v>0</v>
      </c>
      <c r="AC124" s="204">
        <v>0</v>
      </c>
      <c r="AD124" s="204">
        <v>0</v>
      </c>
      <c r="AE124" s="204">
        <v>0</v>
      </c>
      <c r="AF124" s="206">
        <v>0</v>
      </c>
      <c r="AG124" s="204">
        <v>0</v>
      </c>
      <c r="AH124" s="204">
        <v>0</v>
      </c>
      <c r="AI124" s="204">
        <v>0</v>
      </c>
      <c r="AJ124" s="204">
        <v>0</v>
      </c>
      <c r="AK124" s="204">
        <v>0</v>
      </c>
      <c r="AL124" s="204">
        <v>0</v>
      </c>
      <c r="AM124" s="204">
        <v>0</v>
      </c>
      <c r="AN124" s="204">
        <v>0</v>
      </c>
      <c r="AO124" s="204">
        <v>0</v>
      </c>
      <c r="AP124" s="204">
        <v>0</v>
      </c>
      <c r="AQ124" s="204">
        <v>0</v>
      </c>
      <c r="AR124" s="204">
        <v>0</v>
      </c>
      <c r="AS124" s="204">
        <v>0</v>
      </c>
      <c r="AT124" s="204">
        <v>0</v>
      </c>
      <c r="AU124" s="204">
        <v>0</v>
      </c>
      <c r="AV124" s="204">
        <v>0</v>
      </c>
      <c r="AW124" s="204">
        <v>0</v>
      </c>
      <c r="AX124" s="204">
        <v>0</v>
      </c>
      <c r="AY124" s="204">
        <v>0</v>
      </c>
    </row>
    <row r="125" spans="1:51" ht="15" customHeight="1" x14ac:dyDescent="0.25">
      <c r="A125" s="62">
        <v>3500</v>
      </c>
      <c r="B125" s="207" t="s">
        <v>575</v>
      </c>
      <c r="C125" s="40" t="s">
        <v>576</v>
      </c>
      <c r="D125" s="204">
        <v>332909.90126304684</v>
      </c>
      <c r="E125" s="204">
        <v>313954.00162909226</v>
      </c>
      <c r="F125" s="204">
        <v>363636.10381429573</v>
      </c>
      <c r="G125" s="204">
        <v>435235.86806519242</v>
      </c>
      <c r="H125" s="204">
        <v>439679.19363506546</v>
      </c>
      <c r="I125" s="204">
        <v>423526.99685687223</v>
      </c>
      <c r="J125" s="204">
        <v>478179.29838759376</v>
      </c>
      <c r="K125" s="204">
        <v>495236.79929971509</v>
      </c>
      <c r="L125" s="204">
        <v>434239.32026726461</v>
      </c>
      <c r="M125" s="204">
        <v>408533.53482834768</v>
      </c>
      <c r="N125" s="204">
        <v>467206.24738228694</v>
      </c>
      <c r="O125" s="204">
        <v>401929.28938196937</v>
      </c>
      <c r="P125" s="204">
        <v>375104.24085813289</v>
      </c>
      <c r="Q125" s="204">
        <v>360215.64140734245</v>
      </c>
      <c r="R125" s="204">
        <v>387147.10834651714</v>
      </c>
      <c r="S125" s="204">
        <v>433125.96143192163</v>
      </c>
      <c r="T125" s="204">
        <v>422514.55824666505</v>
      </c>
      <c r="U125" s="204">
        <v>440401.46748991398</v>
      </c>
      <c r="V125" s="204">
        <v>519330.85955350206</v>
      </c>
      <c r="W125" s="204">
        <v>468319.19738702662</v>
      </c>
      <c r="X125" s="204">
        <v>505386.56001208816</v>
      </c>
      <c r="Y125" s="204">
        <v>490208.23479672661</v>
      </c>
      <c r="Z125" s="204">
        <v>430550.4196501621</v>
      </c>
      <c r="AA125" s="204">
        <v>393903.88739548699</v>
      </c>
      <c r="AB125" s="204">
        <v>390599.60616943124</v>
      </c>
      <c r="AC125" s="204">
        <v>423452</v>
      </c>
      <c r="AD125" s="204">
        <v>382760</v>
      </c>
      <c r="AE125" s="204">
        <v>415350.00000000006</v>
      </c>
      <c r="AF125" s="206">
        <v>461557.99999999994</v>
      </c>
      <c r="AG125" s="204">
        <v>468163.00000000006</v>
      </c>
      <c r="AH125" s="204">
        <v>492006.00000000006</v>
      </c>
      <c r="AI125" s="204">
        <v>559029</v>
      </c>
      <c r="AJ125" s="204">
        <v>617850</v>
      </c>
      <c r="AK125" s="204">
        <v>559936.7058631368</v>
      </c>
      <c r="AL125" s="204">
        <v>507542</v>
      </c>
      <c r="AM125" s="204">
        <v>442629</v>
      </c>
      <c r="AN125" s="204">
        <v>485694</v>
      </c>
      <c r="AO125" s="204">
        <v>467366</v>
      </c>
      <c r="AP125" s="204">
        <v>467566</v>
      </c>
      <c r="AQ125" s="204">
        <v>529128</v>
      </c>
      <c r="AR125" s="204">
        <v>586654</v>
      </c>
      <c r="AS125" s="204">
        <v>685196</v>
      </c>
      <c r="AT125" s="204">
        <v>675032</v>
      </c>
      <c r="AU125" s="204">
        <v>655136</v>
      </c>
      <c r="AV125" s="204">
        <v>719566</v>
      </c>
      <c r="AW125" s="204">
        <v>614370</v>
      </c>
      <c r="AX125" s="204">
        <v>574714</v>
      </c>
      <c r="AY125" s="204">
        <v>520990</v>
      </c>
    </row>
    <row r="126" spans="1:51" ht="15" customHeight="1" x14ac:dyDescent="0.25">
      <c r="A126" s="38" t="s">
        <v>79</v>
      </c>
      <c r="B126" s="1" t="s">
        <v>80</v>
      </c>
      <c r="C126" s="40" t="s">
        <v>81</v>
      </c>
      <c r="D126" s="204">
        <v>58014.988958508278</v>
      </c>
      <c r="E126" s="204">
        <v>54096.037299664218</v>
      </c>
      <c r="F126" s="204">
        <v>53578.522335053029</v>
      </c>
      <c r="G126" s="204">
        <v>56494.456433122039</v>
      </c>
      <c r="H126" s="204">
        <v>61174.982435938815</v>
      </c>
      <c r="I126" s="204">
        <v>55262.976575027038</v>
      </c>
      <c r="J126" s="204">
        <v>55985.058250206726</v>
      </c>
      <c r="K126" s="204">
        <v>56557.958996007546</v>
      </c>
      <c r="L126" s="204">
        <v>56902.789277334203</v>
      </c>
      <c r="M126" s="204">
        <v>57494.653071893423</v>
      </c>
      <c r="N126" s="204">
        <v>63648.104396566501</v>
      </c>
      <c r="O126" s="204">
        <v>61616.910083742368</v>
      </c>
      <c r="P126" s="204">
        <v>57494.031143372762</v>
      </c>
      <c r="Q126" s="204">
        <v>56357.128118590503</v>
      </c>
      <c r="R126" s="204">
        <v>53278.986768919829</v>
      </c>
      <c r="S126" s="204">
        <v>58325.997377892061</v>
      </c>
      <c r="T126" s="204">
        <v>54027.032521918001</v>
      </c>
      <c r="U126" s="204">
        <v>51488.888585493201</v>
      </c>
      <c r="V126" s="204">
        <v>57385.954470765748</v>
      </c>
      <c r="W126" s="204">
        <v>49086.902465377512</v>
      </c>
      <c r="X126" s="204">
        <v>52260.937046501509</v>
      </c>
      <c r="Y126" s="204">
        <v>57150.033162482156</v>
      </c>
      <c r="Z126" s="204">
        <v>54348.90224327195</v>
      </c>
      <c r="AA126" s="204">
        <v>55500.861526161534</v>
      </c>
      <c r="AB126" s="204">
        <v>47208.088975125254</v>
      </c>
      <c r="AC126" s="204">
        <v>49877</v>
      </c>
      <c r="AD126" s="204">
        <v>43844</v>
      </c>
      <c r="AE126" s="204">
        <v>46713.999999999993</v>
      </c>
      <c r="AF126" s="206">
        <v>41043</v>
      </c>
      <c r="AG126" s="204">
        <v>41446</v>
      </c>
      <c r="AH126" s="204">
        <v>44365</v>
      </c>
      <c r="AI126" s="204">
        <v>44805</v>
      </c>
      <c r="AJ126" s="204">
        <v>47095</v>
      </c>
      <c r="AK126" s="204">
        <v>43885.078282627364</v>
      </c>
      <c r="AL126" s="204">
        <v>47956</v>
      </c>
      <c r="AM126" s="204">
        <v>35411</v>
      </c>
      <c r="AN126" s="204">
        <v>40050</v>
      </c>
      <c r="AO126" s="204">
        <v>35939</v>
      </c>
      <c r="AP126" s="204">
        <v>36084</v>
      </c>
      <c r="AQ126" s="204">
        <v>39435</v>
      </c>
      <c r="AR126" s="204">
        <v>38447</v>
      </c>
      <c r="AS126" s="204">
        <v>42761</v>
      </c>
      <c r="AT126" s="204">
        <v>43200</v>
      </c>
      <c r="AU126" s="204">
        <v>42755</v>
      </c>
      <c r="AV126" s="204">
        <v>40234</v>
      </c>
      <c r="AW126" s="204">
        <v>39096</v>
      </c>
      <c r="AX126" s="204">
        <v>45340</v>
      </c>
      <c r="AY126" s="204">
        <v>39775</v>
      </c>
    </row>
    <row r="127" spans="1:51" ht="15" customHeight="1" x14ac:dyDescent="0.25">
      <c r="A127" s="38" t="s">
        <v>118</v>
      </c>
      <c r="B127" s="1" t="s">
        <v>119</v>
      </c>
      <c r="C127" s="40" t="s">
        <v>120</v>
      </c>
      <c r="D127" s="204">
        <v>12417.661714136084</v>
      </c>
      <c r="E127" s="204">
        <v>12168.932285840949</v>
      </c>
      <c r="F127" s="204">
        <v>12614.996449996943</v>
      </c>
      <c r="G127" s="204">
        <v>13563.015154664306</v>
      </c>
      <c r="H127" s="204">
        <v>13295.00088303793</v>
      </c>
      <c r="I127" s="204">
        <v>11741.02746169644</v>
      </c>
      <c r="J127" s="204">
        <v>13459.026453900453</v>
      </c>
      <c r="K127" s="204">
        <v>14177.967804963377</v>
      </c>
      <c r="L127" s="204">
        <v>14483.949137057356</v>
      </c>
      <c r="M127" s="204">
        <v>14119.923971196906</v>
      </c>
      <c r="N127" s="204">
        <v>14471.820674848555</v>
      </c>
      <c r="O127" s="204">
        <v>14234.876134876147</v>
      </c>
      <c r="P127" s="204">
        <v>12200.018943483874</v>
      </c>
      <c r="Q127" s="204">
        <v>11734.255852593189</v>
      </c>
      <c r="R127" s="204">
        <v>11627.75282263897</v>
      </c>
      <c r="S127" s="204">
        <v>13204.991304127327</v>
      </c>
      <c r="T127" s="204">
        <v>11613.985686561464</v>
      </c>
      <c r="U127" s="204">
        <v>10751.950665201935</v>
      </c>
      <c r="V127" s="204">
        <v>11711.013089545611</v>
      </c>
      <c r="W127" s="204">
        <v>10949.9748277419</v>
      </c>
      <c r="X127" s="204">
        <v>13691.001001251039</v>
      </c>
      <c r="Y127" s="204">
        <v>14208.660376704938</v>
      </c>
      <c r="Z127" s="204">
        <v>12909.958353140553</v>
      </c>
      <c r="AA127" s="204">
        <v>12329.983009395071</v>
      </c>
      <c r="AB127" s="204">
        <v>11032.013273877379</v>
      </c>
      <c r="AC127" s="204">
        <v>12697</v>
      </c>
      <c r="AD127" s="204">
        <v>9405</v>
      </c>
      <c r="AE127" s="204">
        <v>7644</v>
      </c>
      <c r="AF127" s="206">
        <v>7125</v>
      </c>
      <c r="AG127" s="204">
        <v>6962</v>
      </c>
      <c r="AH127" s="204">
        <v>7769</v>
      </c>
      <c r="AI127" s="204">
        <v>8687</v>
      </c>
      <c r="AJ127" s="204">
        <v>9668</v>
      </c>
      <c r="AK127" s="204">
        <v>9271.9416541642004</v>
      </c>
      <c r="AL127" s="204">
        <v>12536</v>
      </c>
      <c r="AM127" s="204">
        <v>11659</v>
      </c>
      <c r="AN127" s="204">
        <v>12051</v>
      </c>
      <c r="AO127" s="204">
        <v>14635</v>
      </c>
      <c r="AP127" s="204">
        <v>10680</v>
      </c>
      <c r="AQ127" s="204">
        <v>10193</v>
      </c>
      <c r="AR127" s="204">
        <v>10079</v>
      </c>
      <c r="AS127" s="204">
        <v>12158</v>
      </c>
      <c r="AT127" s="204">
        <v>11719</v>
      </c>
      <c r="AU127" s="204">
        <v>11033</v>
      </c>
      <c r="AV127" s="204">
        <v>12288</v>
      </c>
      <c r="AW127" s="204">
        <v>12535</v>
      </c>
      <c r="AX127" s="204">
        <v>13462</v>
      </c>
      <c r="AY127" s="204">
        <v>12081</v>
      </c>
    </row>
    <row r="128" spans="1:51" ht="15" customHeight="1" x14ac:dyDescent="0.25">
      <c r="A128" s="62">
        <v>3340</v>
      </c>
      <c r="B128" s="207" t="s">
        <v>571</v>
      </c>
      <c r="C128" s="258" t="s">
        <v>572</v>
      </c>
      <c r="D128" s="204">
        <v>0</v>
      </c>
      <c r="E128" s="204">
        <v>0</v>
      </c>
      <c r="F128" s="204">
        <v>0</v>
      </c>
      <c r="G128" s="204">
        <v>0</v>
      </c>
      <c r="H128" s="204">
        <v>0</v>
      </c>
      <c r="I128" s="204">
        <v>0</v>
      </c>
      <c r="J128" s="204">
        <v>0</v>
      </c>
      <c r="K128" s="204">
        <v>0</v>
      </c>
      <c r="L128" s="204">
        <v>0</v>
      </c>
      <c r="M128" s="204">
        <v>0</v>
      </c>
      <c r="N128" s="204">
        <v>0</v>
      </c>
      <c r="O128" s="204">
        <v>0</v>
      </c>
      <c r="P128" s="204">
        <v>0</v>
      </c>
      <c r="Q128" s="204">
        <v>0</v>
      </c>
      <c r="R128" s="204">
        <v>0</v>
      </c>
      <c r="S128" s="204">
        <v>0</v>
      </c>
      <c r="T128" s="204">
        <v>0</v>
      </c>
      <c r="U128" s="204">
        <v>0</v>
      </c>
      <c r="V128" s="204">
        <v>0</v>
      </c>
      <c r="W128" s="204">
        <v>0</v>
      </c>
      <c r="X128" s="204">
        <v>0</v>
      </c>
      <c r="Y128" s="204">
        <v>0</v>
      </c>
      <c r="Z128" s="204">
        <v>0</v>
      </c>
      <c r="AA128" s="204">
        <v>0</v>
      </c>
      <c r="AB128" s="204">
        <v>0</v>
      </c>
      <c r="AC128" s="204">
        <v>0</v>
      </c>
      <c r="AD128" s="204">
        <v>0</v>
      </c>
      <c r="AE128" s="204">
        <v>0</v>
      </c>
      <c r="AF128" s="206">
        <v>0</v>
      </c>
      <c r="AG128" s="204">
        <v>0</v>
      </c>
      <c r="AH128" s="204">
        <v>0</v>
      </c>
      <c r="AI128" s="204">
        <v>0</v>
      </c>
      <c r="AJ128" s="204">
        <v>0</v>
      </c>
      <c r="AK128" s="204">
        <v>0</v>
      </c>
      <c r="AL128" s="204">
        <v>0</v>
      </c>
      <c r="AM128" s="204">
        <v>0</v>
      </c>
      <c r="AN128" s="204">
        <v>0</v>
      </c>
      <c r="AO128" s="204">
        <v>0</v>
      </c>
      <c r="AP128" s="204">
        <v>0</v>
      </c>
      <c r="AQ128" s="204">
        <v>0</v>
      </c>
      <c r="AR128" s="204">
        <v>0</v>
      </c>
      <c r="AS128" s="204">
        <v>0</v>
      </c>
      <c r="AT128" s="204">
        <v>0</v>
      </c>
      <c r="AU128" s="204">
        <v>0</v>
      </c>
      <c r="AV128" s="204">
        <v>0</v>
      </c>
      <c r="AW128" s="204">
        <v>0</v>
      </c>
      <c r="AX128" s="204">
        <v>0</v>
      </c>
      <c r="AY128" s="204">
        <v>0</v>
      </c>
    </row>
    <row r="129" spans="1:51" ht="15" customHeight="1" x14ac:dyDescent="0.25">
      <c r="A129" s="38" t="s">
        <v>109</v>
      </c>
      <c r="B129" s="1" t="s">
        <v>3771</v>
      </c>
      <c r="C129" s="40" t="s">
        <v>111</v>
      </c>
      <c r="D129" s="204">
        <v>35450.980776088043</v>
      </c>
      <c r="E129" s="204">
        <v>32104.005365309673</v>
      </c>
      <c r="F129" s="204">
        <v>32778.98976249167</v>
      </c>
      <c r="G129" s="204">
        <v>38651.990969440696</v>
      </c>
      <c r="H129" s="204">
        <v>31044.013975677739</v>
      </c>
      <c r="I129" s="204">
        <v>30120.015043791951</v>
      </c>
      <c r="J129" s="204">
        <v>35395.032645233303</v>
      </c>
      <c r="K129" s="204">
        <v>39622.831105570796</v>
      </c>
      <c r="L129" s="204">
        <v>39122.952146164382</v>
      </c>
      <c r="M129" s="204">
        <v>35088.779525623693</v>
      </c>
      <c r="N129" s="204">
        <v>34318.484976232066</v>
      </c>
      <c r="O129" s="204">
        <v>22541.249948336037</v>
      </c>
      <c r="P129" s="204">
        <v>26613.044708279052</v>
      </c>
      <c r="Q129" s="204">
        <v>28064.03112299386</v>
      </c>
      <c r="R129" s="204">
        <v>32579.979251393062</v>
      </c>
      <c r="S129" s="204">
        <v>34147.990781429486</v>
      </c>
      <c r="T129" s="204">
        <v>28663.549293626791</v>
      </c>
      <c r="U129" s="204">
        <v>30727.917677336391</v>
      </c>
      <c r="V129" s="204">
        <v>33464.338236139985</v>
      </c>
      <c r="W129" s="204">
        <v>35509.96672611768</v>
      </c>
      <c r="X129" s="204">
        <v>36329.086722881337</v>
      </c>
      <c r="Y129" s="204">
        <v>41346</v>
      </c>
      <c r="Z129" s="204">
        <v>32319</v>
      </c>
      <c r="AA129" s="204">
        <v>23941.249948336001</v>
      </c>
      <c r="AB129" s="204">
        <v>29956</v>
      </c>
      <c r="AC129" s="204">
        <v>28699.999999999996</v>
      </c>
      <c r="AD129" s="204">
        <v>26500</v>
      </c>
      <c r="AE129" s="204">
        <v>10692</v>
      </c>
      <c r="AF129" s="206">
        <v>13933</v>
      </c>
      <c r="AG129" s="204">
        <v>17593</v>
      </c>
      <c r="AH129" s="204">
        <v>25231</v>
      </c>
      <c r="AI129" s="204">
        <v>33928</v>
      </c>
      <c r="AJ129" s="204">
        <v>46987</v>
      </c>
      <c r="AK129" s="204">
        <v>24036.317512321788</v>
      </c>
      <c r="AL129" s="204">
        <v>20542</v>
      </c>
      <c r="AM129" s="204">
        <v>17060</v>
      </c>
      <c r="AN129" s="204">
        <v>18026</v>
      </c>
      <c r="AO129" s="204">
        <v>16797</v>
      </c>
      <c r="AP129" s="204">
        <v>23547</v>
      </c>
      <c r="AQ129" s="204">
        <v>25429</v>
      </c>
      <c r="AR129" s="204">
        <v>25398</v>
      </c>
      <c r="AS129" s="204">
        <v>30395</v>
      </c>
      <c r="AT129" s="204">
        <v>31383</v>
      </c>
      <c r="AU129" s="204">
        <v>29209</v>
      </c>
      <c r="AV129" s="204">
        <v>39485</v>
      </c>
      <c r="AW129" s="204">
        <v>35058</v>
      </c>
      <c r="AX129" s="204">
        <v>34512</v>
      </c>
      <c r="AY129" s="204">
        <v>28945</v>
      </c>
    </row>
    <row r="130" spans="1:51" ht="15" customHeight="1" x14ac:dyDescent="0.25">
      <c r="A130" s="38" t="s">
        <v>226</v>
      </c>
      <c r="B130" s="1" t="s">
        <v>227</v>
      </c>
      <c r="C130" s="40" t="s">
        <v>3772</v>
      </c>
      <c r="D130" s="204">
        <v>25663.687813278484</v>
      </c>
      <c r="E130" s="204">
        <v>15613.028466594285</v>
      </c>
      <c r="F130" s="204">
        <v>15755.668487434168</v>
      </c>
      <c r="G130" s="204">
        <v>13627.658422738301</v>
      </c>
      <c r="H130" s="204">
        <v>15194.991160448179</v>
      </c>
      <c r="I130" s="204">
        <v>13452.007013217059</v>
      </c>
      <c r="J130" s="204">
        <v>23743.996862257318</v>
      </c>
      <c r="K130" s="204">
        <v>32736.015934568906</v>
      </c>
      <c r="L130" s="204">
        <v>31679.849963623161</v>
      </c>
      <c r="M130" s="204">
        <v>31679.822211978135</v>
      </c>
      <c r="N130" s="204">
        <v>34891.512507578838</v>
      </c>
      <c r="O130" s="204">
        <v>34809.874518730328</v>
      </c>
      <c r="P130" s="204">
        <v>31680.009114624441</v>
      </c>
      <c r="Q130" s="204">
        <v>30624.05379944489</v>
      </c>
      <c r="R130" s="204">
        <v>30580.026500059423</v>
      </c>
      <c r="S130" s="204">
        <v>32735.984973314437</v>
      </c>
      <c r="T130" s="204">
        <v>31680.015931472586</v>
      </c>
      <c r="U130" s="204">
        <v>30623.919549498645</v>
      </c>
      <c r="V130" s="204">
        <v>33791.990368310115</v>
      </c>
      <c r="W130" s="204">
        <v>29166.959828468094</v>
      </c>
      <c r="X130" s="204">
        <v>19506.957204459479</v>
      </c>
      <c r="Y130" s="204">
        <v>18394.022941752479</v>
      </c>
      <c r="Z130" s="204">
        <v>21225.951550359863</v>
      </c>
      <c r="AA130" s="204">
        <v>18392.954061900462</v>
      </c>
      <c r="AB130" s="204">
        <v>20871.026210081971</v>
      </c>
      <c r="AC130" s="204">
        <v>20953</v>
      </c>
      <c r="AD130" s="204">
        <v>14246</v>
      </c>
      <c r="AE130" s="204">
        <v>10522</v>
      </c>
      <c r="AF130" s="206">
        <v>13362</v>
      </c>
      <c r="AG130" s="204">
        <v>13524</v>
      </c>
      <c r="AH130" s="204">
        <v>13897</v>
      </c>
      <c r="AI130" s="204">
        <v>14340</v>
      </c>
      <c r="AJ130" s="204">
        <v>16963</v>
      </c>
      <c r="AK130" s="204">
        <v>14059.716627290236</v>
      </c>
      <c r="AL130" s="204">
        <v>12580</v>
      </c>
      <c r="AM130" s="204">
        <v>14932</v>
      </c>
      <c r="AN130" s="204">
        <v>21276</v>
      </c>
      <c r="AO130" s="204">
        <v>19420</v>
      </c>
      <c r="AP130" s="204">
        <v>18579</v>
      </c>
      <c r="AQ130" s="204">
        <v>17392</v>
      </c>
      <c r="AR130" s="204">
        <v>16092</v>
      </c>
      <c r="AS130" s="204">
        <v>16222</v>
      </c>
      <c r="AT130" s="204">
        <v>15644</v>
      </c>
      <c r="AU130" s="204">
        <v>14928</v>
      </c>
      <c r="AV130" s="204">
        <v>16315</v>
      </c>
      <c r="AW130" s="204">
        <v>14579</v>
      </c>
      <c r="AX130" s="204">
        <v>15734</v>
      </c>
      <c r="AY130" s="204">
        <v>13579</v>
      </c>
    </row>
    <row r="131" spans="1:51" ht="15" customHeight="1" x14ac:dyDescent="0.25">
      <c r="A131" s="38" t="s">
        <v>199</v>
      </c>
      <c r="B131" s="1" t="s">
        <v>200</v>
      </c>
      <c r="C131" s="40" t="s">
        <v>201</v>
      </c>
      <c r="D131" s="204">
        <v>46525.009977818358</v>
      </c>
      <c r="E131" s="204">
        <v>41998.975698058319</v>
      </c>
      <c r="F131" s="204">
        <v>40059.000743487202</v>
      </c>
      <c r="G131" s="204">
        <v>42960.003048943494</v>
      </c>
      <c r="H131" s="204">
        <v>43034.016801941485</v>
      </c>
      <c r="I131" s="204">
        <v>34923.014265038619</v>
      </c>
      <c r="J131" s="204">
        <v>33930.042194111149</v>
      </c>
      <c r="K131" s="204">
        <v>39395.95891723453</v>
      </c>
      <c r="L131" s="204">
        <v>44249.815667900439</v>
      </c>
      <c r="M131" s="204">
        <v>44108.716284591341</v>
      </c>
      <c r="N131" s="204">
        <v>48483.270498000777</v>
      </c>
      <c r="O131" s="204">
        <v>39495.580317615728</v>
      </c>
      <c r="P131" s="204">
        <v>40095.024515513214</v>
      </c>
      <c r="Q131" s="204">
        <v>39891.073151831217</v>
      </c>
      <c r="R131" s="204">
        <v>37420.035311052503</v>
      </c>
      <c r="S131" s="204">
        <v>41142.997539979318</v>
      </c>
      <c r="T131" s="204">
        <v>32816.980152087708</v>
      </c>
      <c r="U131" s="204">
        <v>21803.929863577352</v>
      </c>
      <c r="V131" s="204">
        <v>22515.728227660642</v>
      </c>
      <c r="W131" s="204">
        <v>24364.211056725107</v>
      </c>
      <c r="X131" s="204">
        <v>34771.982881488766</v>
      </c>
      <c r="Y131" s="204">
        <v>36913.991855482229</v>
      </c>
      <c r="Z131" s="204">
        <v>35284.940000571463</v>
      </c>
      <c r="AA131" s="204">
        <v>33386.171285708653</v>
      </c>
      <c r="AB131" s="204">
        <v>28510.78962668882</v>
      </c>
      <c r="AC131" s="204">
        <v>34116</v>
      </c>
      <c r="AD131" s="204">
        <v>24768</v>
      </c>
      <c r="AE131" s="204">
        <v>11919</v>
      </c>
      <c r="AF131" s="206">
        <v>18519</v>
      </c>
      <c r="AG131" s="204">
        <v>18590</v>
      </c>
      <c r="AH131" s="204">
        <v>18171</v>
      </c>
      <c r="AI131" s="204">
        <v>17435</v>
      </c>
      <c r="AJ131" s="204">
        <v>21206</v>
      </c>
      <c r="AK131" s="204">
        <v>19465.69285180089</v>
      </c>
      <c r="AL131" s="204">
        <v>23465</v>
      </c>
      <c r="AM131" s="204">
        <v>22216</v>
      </c>
      <c r="AN131" s="204">
        <v>23067</v>
      </c>
      <c r="AO131" s="204">
        <v>20852</v>
      </c>
      <c r="AP131" s="204">
        <v>19990</v>
      </c>
      <c r="AQ131" s="204">
        <v>19302</v>
      </c>
      <c r="AR131" s="204">
        <v>20674</v>
      </c>
      <c r="AS131" s="204">
        <v>24634</v>
      </c>
      <c r="AT131" s="204">
        <v>22320</v>
      </c>
      <c r="AU131" s="204">
        <v>24271</v>
      </c>
      <c r="AV131" s="204">
        <v>35195</v>
      </c>
      <c r="AW131" s="204">
        <v>32711</v>
      </c>
      <c r="AX131" s="204">
        <v>32325</v>
      </c>
      <c r="AY131" s="204">
        <v>28034</v>
      </c>
    </row>
    <row r="132" spans="1:51" ht="15" customHeight="1" x14ac:dyDescent="0.25">
      <c r="A132" s="38" t="s">
        <v>181</v>
      </c>
      <c r="B132" s="1" t="s">
        <v>182</v>
      </c>
      <c r="C132" s="40" t="s">
        <v>183</v>
      </c>
      <c r="D132" s="204">
        <v>18665.312771870336</v>
      </c>
      <c r="E132" s="204">
        <v>18091.672829167062</v>
      </c>
      <c r="F132" s="204">
        <v>17825.996753926778</v>
      </c>
      <c r="G132" s="204">
        <v>18791.006478889583</v>
      </c>
      <c r="H132" s="204">
        <v>20280.97853193968</v>
      </c>
      <c r="I132" s="204">
        <v>16972.017932169772</v>
      </c>
      <c r="J132" s="204">
        <v>16428.997068888701</v>
      </c>
      <c r="K132" s="204">
        <v>17185.976963369012</v>
      </c>
      <c r="L132" s="204">
        <v>19471.925968603911</v>
      </c>
      <c r="M132" s="204">
        <v>19454.900972657593</v>
      </c>
      <c r="N132" s="204">
        <v>19023.734667959874</v>
      </c>
      <c r="O132" s="204">
        <v>17818.58681123858</v>
      </c>
      <c r="P132" s="204">
        <v>16798.997914402345</v>
      </c>
      <c r="Q132" s="204">
        <v>17320.007332435052</v>
      </c>
      <c r="R132" s="204">
        <v>15989.016606857735</v>
      </c>
      <c r="S132" s="204">
        <v>18058.007183413854</v>
      </c>
      <c r="T132" s="204">
        <v>18568.996245214475</v>
      </c>
      <c r="U132" s="204">
        <v>15452.985868039374</v>
      </c>
      <c r="V132" s="204">
        <v>15974.003158331776</v>
      </c>
      <c r="W132" s="204">
        <v>16873.969575630825</v>
      </c>
      <c r="X132" s="204">
        <v>18862.970154604802</v>
      </c>
      <c r="Y132" s="204">
        <v>18729.020499186438</v>
      </c>
      <c r="Z132" s="204">
        <v>18461.953419156463</v>
      </c>
      <c r="AA132" s="204">
        <v>18354.945875288475</v>
      </c>
      <c r="AB132" s="204">
        <v>16794.022115069358</v>
      </c>
      <c r="AC132" s="204">
        <v>18158</v>
      </c>
      <c r="AD132" s="204">
        <v>14628.999999999998</v>
      </c>
      <c r="AE132" s="204">
        <v>10169</v>
      </c>
      <c r="AF132" s="206">
        <v>9614</v>
      </c>
      <c r="AG132" s="204">
        <v>9292</v>
      </c>
      <c r="AH132" s="204">
        <v>8857</v>
      </c>
      <c r="AI132" s="204">
        <v>8979</v>
      </c>
      <c r="AJ132" s="204">
        <v>11079</v>
      </c>
      <c r="AK132" s="204">
        <v>10886.362465885939</v>
      </c>
      <c r="AL132" s="204">
        <v>13550</v>
      </c>
      <c r="AM132" s="204">
        <v>11416</v>
      </c>
      <c r="AN132" s="204">
        <v>12194</v>
      </c>
      <c r="AO132" s="204">
        <v>19494</v>
      </c>
      <c r="AP132" s="204">
        <v>11821</v>
      </c>
      <c r="AQ132" s="204">
        <v>12887</v>
      </c>
      <c r="AR132" s="204">
        <v>18299</v>
      </c>
      <c r="AS132" s="204">
        <v>14196</v>
      </c>
      <c r="AT132" s="204">
        <v>11520</v>
      </c>
      <c r="AU132" s="204">
        <v>16874</v>
      </c>
      <c r="AV132" s="204">
        <v>13956</v>
      </c>
      <c r="AW132" s="204">
        <v>15620</v>
      </c>
      <c r="AX132" s="204">
        <v>19541</v>
      </c>
      <c r="AY132" s="204">
        <v>17316</v>
      </c>
    </row>
    <row r="133" spans="1:51" ht="15" customHeight="1" x14ac:dyDescent="0.25">
      <c r="A133" s="38" t="s">
        <v>103</v>
      </c>
      <c r="B133" s="1" t="s">
        <v>104</v>
      </c>
      <c r="C133" s="40" t="s">
        <v>105</v>
      </c>
      <c r="D133" s="204">
        <v>24356.007342383175</v>
      </c>
      <c r="E133" s="204">
        <v>21343.142328118058</v>
      </c>
      <c r="F133" s="204">
        <v>21818.029199557343</v>
      </c>
      <c r="G133" s="204">
        <v>22545.98880376749</v>
      </c>
      <c r="H133" s="204">
        <v>24832.012655893235</v>
      </c>
      <c r="I133" s="204">
        <v>22753.749192768999</v>
      </c>
      <c r="J133" s="204">
        <v>22963.98762267888</v>
      </c>
      <c r="K133" s="204">
        <v>23519.99173951898</v>
      </c>
      <c r="L133" s="204">
        <v>22570.887761112328</v>
      </c>
      <c r="M133" s="204">
        <v>22502.86211357046</v>
      </c>
      <c r="N133" s="204">
        <v>24096.634205365746</v>
      </c>
      <c r="O133" s="204">
        <v>19955.750918501093</v>
      </c>
      <c r="P133" s="204">
        <v>18007.025742455669</v>
      </c>
      <c r="Q133" s="204">
        <v>16969.041253797193</v>
      </c>
      <c r="R133" s="204">
        <v>16874.984891551969</v>
      </c>
      <c r="S133" s="204">
        <v>18683.980377464773</v>
      </c>
      <c r="T133" s="204">
        <v>17417.974545778903</v>
      </c>
      <c r="U133" s="204">
        <v>17758.976169230638</v>
      </c>
      <c r="V133" s="204">
        <v>19140.972593064438</v>
      </c>
      <c r="W133" s="204">
        <v>17413.99117812634</v>
      </c>
      <c r="X133" s="204">
        <v>18108.002338044102</v>
      </c>
      <c r="Y133" s="204">
        <v>19151.981251732774</v>
      </c>
      <c r="Z133" s="204">
        <v>19424.992788256921</v>
      </c>
      <c r="AA133" s="204">
        <v>20392.635916436127</v>
      </c>
      <c r="AB133" s="204">
        <v>17546.006768880659</v>
      </c>
      <c r="AC133" s="204">
        <v>18706</v>
      </c>
      <c r="AD133" s="204">
        <v>16409</v>
      </c>
      <c r="AE133" s="204">
        <v>15241</v>
      </c>
      <c r="AF133" s="206">
        <v>15850</v>
      </c>
      <c r="AG133" s="204">
        <v>18179</v>
      </c>
      <c r="AH133" s="204">
        <v>17994</v>
      </c>
      <c r="AI133" s="204">
        <v>17839</v>
      </c>
      <c r="AJ133" s="204">
        <v>18458</v>
      </c>
      <c r="AK133" s="204">
        <v>16870.833517581053</v>
      </c>
      <c r="AL133" s="204">
        <v>18495</v>
      </c>
      <c r="AM133" s="204">
        <v>16640</v>
      </c>
      <c r="AN133" s="204">
        <v>17400</v>
      </c>
      <c r="AO133" s="204">
        <v>15668</v>
      </c>
      <c r="AP133" s="204">
        <v>15611</v>
      </c>
      <c r="AQ133" s="204">
        <v>15571</v>
      </c>
      <c r="AR133" s="204">
        <v>16225</v>
      </c>
      <c r="AS133" s="204">
        <v>18148</v>
      </c>
      <c r="AT133" s="204">
        <v>16350</v>
      </c>
      <c r="AU133" s="204">
        <v>17418</v>
      </c>
      <c r="AV133" s="204">
        <v>19189</v>
      </c>
      <c r="AW133" s="204">
        <v>16271</v>
      </c>
      <c r="AX133" s="204">
        <v>18283</v>
      </c>
      <c r="AY133" s="204">
        <v>17333</v>
      </c>
    </row>
    <row r="134" spans="1:51" ht="15" customHeight="1" x14ac:dyDescent="0.25">
      <c r="A134" s="38" t="s">
        <v>330</v>
      </c>
      <c r="B134" s="239" t="s">
        <v>331</v>
      </c>
      <c r="C134" s="40" t="s">
        <v>332</v>
      </c>
      <c r="D134" s="204">
        <v>61289.959804745908</v>
      </c>
      <c r="E134" s="204">
        <v>58259.502725387763</v>
      </c>
      <c r="F134" s="204">
        <v>55430.52603350782</v>
      </c>
      <c r="G134" s="204">
        <v>54189.594113691834</v>
      </c>
      <c r="H134" s="204">
        <v>56626.347205471982</v>
      </c>
      <c r="I134" s="204">
        <v>51744.01269179699</v>
      </c>
      <c r="J134" s="204">
        <v>52986.00965818578</v>
      </c>
      <c r="K134" s="204">
        <v>54887.993202972408</v>
      </c>
      <c r="L134" s="204">
        <v>58839.760438006488</v>
      </c>
      <c r="M134" s="204">
        <v>54753.52959080453</v>
      </c>
      <c r="N134" s="204">
        <v>58743.335674818489</v>
      </c>
      <c r="O134" s="204">
        <v>51408.020967766322</v>
      </c>
      <c r="P134" s="204">
        <v>52248.049105648781</v>
      </c>
      <c r="Q134" s="204">
        <v>50482.070761415896</v>
      </c>
      <c r="R134" s="204">
        <v>48563.991060946544</v>
      </c>
      <c r="S134" s="204">
        <v>52225.968245246033</v>
      </c>
      <c r="T134" s="204">
        <v>46173.976552809909</v>
      </c>
      <c r="U134" s="204">
        <v>45705.908914837935</v>
      </c>
      <c r="V134" s="204">
        <v>47645.983321111671</v>
      </c>
      <c r="W134" s="204">
        <v>44563.910222619321</v>
      </c>
      <c r="X134" s="204">
        <v>51745.957534626483</v>
      </c>
      <c r="Y134" s="204">
        <v>55126.00179869878</v>
      </c>
      <c r="Z134" s="204">
        <v>53323.943630879054</v>
      </c>
      <c r="AA134" s="204">
        <v>49901.856465479788</v>
      </c>
      <c r="AB134" s="204">
        <v>48224.071853652815</v>
      </c>
      <c r="AC134" s="204">
        <v>55649.999999999993</v>
      </c>
      <c r="AD134" s="204">
        <v>45668</v>
      </c>
      <c r="AE134" s="204">
        <v>51507.999999999993</v>
      </c>
      <c r="AF134" s="206">
        <v>51258</v>
      </c>
      <c r="AG134" s="204">
        <v>50974.000000000007</v>
      </c>
      <c r="AH134" s="204">
        <v>51184.000000000007</v>
      </c>
      <c r="AI134" s="204">
        <v>53798</v>
      </c>
      <c r="AJ134" s="204">
        <v>58710</v>
      </c>
      <c r="AK134" s="204">
        <v>54288.947533289909</v>
      </c>
      <c r="AL134" s="204">
        <v>58236</v>
      </c>
      <c r="AM134" s="204">
        <v>49087</v>
      </c>
      <c r="AN134" s="204">
        <v>52312</v>
      </c>
      <c r="AO134" s="204">
        <v>48378</v>
      </c>
      <c r="AP134" s="204">
        <v>47957</v>
      </c>
      <c r="AQ134" s="204">
        <v>48170</v>
      </c>
      <c r="AR134" s="204">
        <v>47531</v>
      </c>
      <c r="AS134" s="204">
        <v>51884</v>
      </c>
      <c r="AT134" s="204">
        <v>51416</v>
      </c>
      <c r="AU134" s="204">
        <v>56546</v>
      </c>
      <c r="AV134" s="204">
        <v>64781</v>
      </c>
      <c r="AW134" s="204">
        <v>60847</v>
      </c>
      <c r="AX134" s="204">
        <v>59544</v>
      </c>
      <c r="AY134" s="204">
        <v>48087</v>
      </c>
    </row>
    <row r="135" spans="1:51" ht="15" customHeight="1" x14ac:dyDescent="0.25">
      <c r="A135" s="38">
        <v>1451</v>
      </c>
      <c r="B135" s="239" t="s">
        <v>333</v>
      </c>
      <c r="C135" s="40" t="s">
        <v>334</v>
      </c>
      <c r="D135" s="204">
        <v>0</v>
      </c>
      <c r="E135" s="204">
        <v>0</v>
      </c>
      <c r="F135" s="204">
        <v>0</v>
      </c>
      <c r="G135" s="204">
        <v>0</v>
      </c>
      <c r="H135" s="204">
        <v>0</v>
      </c>
      <c r="I135" s="204">
        <v>0</v>
      </c>
      <c r="J135" s="204">
        <v>0</v>
      </c>
      <c r="K135" s="204">
        <v>0</v>
      </c>
      <c r="L135" s="204">
        <v>0</v>
      </c>
      <c r="M135" s="204">
        <v>0</v>
      </c>
      <c r="N135" s="204">
        <v>0</v>
      </c>
      <c r="O135" s="204">
        <v>0</v>
      </c>
      <c r="P135" s="204">
        <v>0</v>
      </c>
      <c r="Q135" s="204">
        <v>0</v>
      </c>
      <c r="R135" s="204">
        <v>0</v>
      </c>
      <c r="S135" s="204">
        <v>0</v>
      </c>
      <c r="T135" s="204">
        <v>0</v>
      </c>
      <c r="U135" s="204">
        <v>0</v>
      </c>
      <c r="V135" s="204">
        <v>0</v>
      </c>
      <c r="W135" s="204">
        <v>0</v>
      </c>
      <c r="X135" s="204">
        <v>0</v>
      </c>
      <c r="Y135" s="204">
        <v>0</v>
      </c>
      <c r="Z135" s="204">
        <v>0</v>
      </c>
      <c r="AA135" s="204">
        <v>0</v>
      </c>
      <c r="AB135" s="204">
        <v>0</v>
      </c>
      <c r="AC135" s="204">
        <v>0</v>
      </c>
      <c r="AD135" s="204">
        <v>0</v>
      </c>
      <c r="AE135" s="204">
        <v>0</v>
      </c>
      <c r="AF135" s="206">
        <v>0</v>
      </c>
      <c r="AG135" s="204">
        <v>0</v>
      </c>
      <c r="AH135" s="204">
        <v>0</v>
      </c>
      <c r="AI135" s="204">
        <v>0</v>
      </c>
      <c r="AJ135" s="204">
        <v>0</v>
      </c>
      <c r="AK135" s="204">
        <v>0</v>
      </c>
      <c r="AL135" s="204">
        <v>0</v>
      </c>
      <c r="AM135" s="204">
        <v>0</v>
      </c>
      <c r="AN135" s="204">
        <v>0</v>
      </c>
      <c r="AO135" s="204">
        <v>0</v>
      </c>
      <c r="AP135" s="204">
        <v>0</v>
      </c>
      <c r="AQ135" s="204">
        <v>0</v>
      </c>
      <c r="AR135" s="204">
        <v>0</v>
      </c>
      <c r="AS135" s="204">
        <v>0</v>
      </c>
      <c r="AT135" s="204">
        <v>0</v>
      </c>
      <c r="AU135" s="204">
        <v>0</v>
      </c>
      <c r="AV135" s="204">
        <v>0</v>
      </c>
      <c r="AW135" s="204">
        <v>0</v>
      </c>
      <c r="AX135" s="204">
        <v>0</v>
      </c>
      <c r="AY135" s="204">
        <v>0</v>
      </c>
    </row>
    <row r="136" spans="1:51" ht="15" customHeight="1" x14ac:dyDescent="0.25">
      <c r="A136" s="38" t="s">
        <v>217</v>
      </c>
      <c r="B136" s="1" t="s">
        <v>218</v>
      </c>
      <c r="C136" s="258" t="s">
        <v>219</v>
      </c>
      <c r="D136" s="206">
        <v>0</v>
      </c>
      <c r="E136" s="206">
        <v>0</v>
      </c>
      <c r="F136" s="206">
        <v>0</v>
      </c>
      <c r="G136" s="206">
        <v>0</v>
      </c>
      <c r="H136" s="204">
        <v>0</v>
      </c>
      <c r="I136" s="204">
        <v>0</v>
      </c>
      <c r="J136" s="204">
        <v>0</v>
      </c>
      <c r="K136" s="204">
        <v>0</v>
      </c>
      <c r="L136" s="204">
        <v>0</v>
      </c>
      <c r="M136" s="204">
        <v>0</v>
      </c>
      <c r="N136" s="204">
        <v>0</v>
      </c>
      <c r="O136" s="204">
        <v>0</v>
      </c>
      <c r="P136" s="204">
        <v>0</v>
      </c>
      <c r="Q136" s="204">
        <v>0</v>
      </c>
      <c r="R136" s="204">
        <v>0</v>
      </c>
      <c r="S136" s="204">
        <v>0</v>
      </c>
      <c r="T136" s="204">
        <v>0</v>
      </c>
      <c r="U136" s="204">
        <v>0</v>
      </c>
      <c r="V136" s="204">
        <v>0</v>
      </c>
      <c r="W136" s="204">
        <v>0</v>
      </c>
      <c r="X136" s="204">
        <v>0</v>
      </c>
      <c r="Y136" s="204">
        <v>0</v>
      </c>
      <c r="Z136" s="204">
        <v>0</v>
      </c>
      <c r="AA136" s="204">
        <v>0</v>
      </c>
      <c r="AB136" s="204">
        <v>0</v>
      </c>
      <c r="AC136" s="204">
        <v>0</v>
      </c>
      <c r="AD136" s="204">
        <v>0</v>
      </c>
      <c r="AE136" s="204">
        <v>0</v>
      </c>
      <c r="AF136" s="206">
        <v>0</v>
      </c>
      <c r="AG136" s="204">
        <v>0</v>
      </c>
      <c r="AH136" s="204">
        <v>0</v>
      </c>
      <c r="AI136" s="204">
        <v>0</v>
      </c>
      <c r="AJ136" s="204">
        <v>0</v>
      </c>
      <c r="AK136" s="204">
        <v>0</v>
      </c>
      <c r="AL136" s="204">
        <v>0</v>
      </c>
      <c r="AM136" s="204">
        <v>0</v>
      </c>
      <c r="AN136" s="204">
        <v>0</v>
      </c>
      <c r="AO136" s="204">
        <v>0</v>
      </c>
      <c r="AP136" s="204">
        <v>0</v>
      </c>
      <c r="AQ136" s="204">
        <v>0</v>
      </c>
      <c r="AR136" s="204">
        <v>0</v>
      </c>
      <c r="AS136" s="204">
        <v>0</v>
      </c>
      <c r="AT136" s="204">
        <v>0</v>
      </c>
      <c r="AU136" s="204">
        <v>0</v>
      </c>
      <c r="AV136" s="204">
        <v>0</v>
      </c>
      <c r="AW136" s="204">
        <v>0</v>
      </c>
      <c r="AX136" s="204">
        <v>0</v>
      </c>
      <c r="AY136" s="204">
        <v>0</v>
      </c>
    </row>
    <row r="137" spans="1:51" ht="15" customHeight="1" x14ac:dyDescent="0.25">
      <c r="A137" s="38" t="s">
        <v>347</v>
      </c>
      <c r="B137" s="107" t="s">
        <v>348</v>
      </c>
      <c r="C137" s="40" t="s">
        <v>349</v>
      </c>
      <c r="D137" s="204">
        <v>3600</v>
      </c>
      <c r="E137" s="204">
        <v>4200</v>
      </c>
      <c r="F137" s="204">
        <v>4440</v>
      </c>
      <c r="G137" s="204">
        <v>3880</v>
      </c>
      <c r="H137" s="204">
        <v>4680</v>
      </c>
      <c r="I137" s="204">
        <v>5520</v>
      </c>
      <c r="J137" s="204">
        <v>7920</v>
      </c>
      <c r="K137" s="204">
        <v>8440</v>
      </c>
      <c r="L137" s="204">
        <v>6240</v>
      </c>
      <c r="M137" s="204">
        <v>5560</v>
      </c>
      <c r="N137" s="204">
        <v>4600</v>
      </c>
      <c r="O137" s="204">
        <v>3240</v>
      </c>
      <c r="P137" s="204">
        <v>4480</v>
      </c>
      <c r="Q137" s="204">
        <v>4200</v>
      </c>
      <c r="R137" s="204">
        <v>-600</v>
      </c>
      <c r="S137" s="204">
        <v>-40</v>
      </c>
      <c r="T137" s="204">
        <v>2640</v>
      </c>
      <c r="U137" s="204">
        <v>4480</v>
      </c>
      <c r="V137" s="204">
        <v>5600</v>
      </c>
      <c r="W137" s="204">
        <v>7880</v>
      </c>
      <c r="X137" s="204">
        <v>3640</v>
      </c>
      <c r="Y137" s="204">
        <v>4040</v>
      </c>
      <c r="Z137" s="204">
        <v>3960</v>
      </c>
      <c r="AA137" s="204">
        <v>59600</v>
      </c>
      <c r="AB137" s="204">
        <v>-53080</v>
      </c>
      <c r="AC137" s="204">
        <v>3880</v>
      </c>
      <c r="AD137" s="204">
        <v>2880</v>
      </c>
      <c r="AE137" s="204">
        <v>3000</v>
      </c>
      <c r="AF137" s="206">
        <v>3360</v>
      </c>
      <c r="AG137" s="204">
        <v>4800</v>
      </c>
      <c r="AH137" s="204">
        <v>0</v>
      </c>
      <c r="AI137" s="204">
        <v>0</v>
      </c>
      <c r="AJ137" s="204">
        <v>4984</v>
      </c>
      <c r="AK137" s="204">
        <v>31.827648049650499</v>
      </c>
      <c r="AL137" s="204">
        <v>0</v>
      </c>
      <c r="AM137" s="204">
        <v>27440</v>
      </c>
      <c r="AN137" s="204">
        <v>7320</v>
      </c>
      <c r="AO137" s="204">
        <v>6520</v>
      </c>
      <c r="AP137" s="204">
        <v>5880</v>
      </c>
      <c r="AQ137" s="204">
        <v>4640</v>
      </c>
      <c r="AR137" s="204">
        <v>4440</v>
      </c>
      <c r="AS137" s="204">
        <v>6560</v>
      </c>
      <c r="AT137" s="204">
        <v>8760</v>
      </c>
      <c r="AU137" s="204">
        <v>9120</v>
      </c>
      <c r="AV137" s="204">
        <v>7480</v>
      </c>
      <c r="AW137" s="204">
        <v>6840</v>
      </c>
      <c r="AX137" s="204">
        <v>7840</v>
      </c>
      <c r="AY137" s="204">
        <v>6040</v>
      </c>
    </row>
    <row r="138" spans="1:51" ht="15" customHeight="1" x14ac:dyDescent="0.25">
      <c r="A138" s="38" t="s">
        <v>290</v>
      </c>
      <c r="B138" s="1" t="s">
        <v>3773</v>
      </c>
      <c r="C138" s="40" t="s">
        <v>292</v>
      </c>
      <c r="D138" s="204">
        <v>39570.324337503625</v>
      </c>
      <c r="E138" s="204">
        <v>39139.3173486468</v>
      </c>
      <c r="F138" s="204">
        <v>38594.038939185157</v>
      </c>
      <c r="G138" s="204">
        <v>39450.994955338989</v>
      </c>
      <c r="H138" s="204">
        <v>43383.98870728146</v>
      </c>
      <c r="I138" s="204">
        <v>39508.476417315855</v>
      </c>
      <c r="J138" s="204">
        <v>40629</v>
      </c>
      <c r="K138" s="204">
        <v>41354.97937456573</v>
      </c>
      <c r="L138" s="204">
        <v>42389.850394658206</v>
      </c>
      <c r="M138" s="204">
        <v>43842.709539421136</v>
      </c>
      <c r="N138" s="204">
        <v>44854.347543370022</v>
      </c>
      <c r="O138" s="204">
        <v>37325.518120764456</v>
      </c>
      <c r="P138" s="204">
        <v>37178.526465290852</v>
      </c>
      <c r="Q138" s="204">
        <v>35918.07323280476</v>
      </c>
      <c r="R138" s="204">
        <v>33740.01976941571</v>
      </c>
      <c r="S138" s="204">
        <v>47887.008780253687</v>
      </c>
      <c r="T138" s="204">
        <v>40273.976863142409</v>
      </c>
      <c r="U138" s="204">
        <v>38997.919384968351</v>
      </c>
      <c r="V138" s="204">
        <v>39207.979202692724</v>
      </c>
      <c r="W138" s="204">
        <v>46590.913306058959</v>
      </c>
      <c r="X138" s="204">
        <v>48946.941864907771</v>
      </c>
      <c r="Y138" s="204">
        <v>49234.0479033273</v>
      </c>
      <c r="Z138" s="204">
        <v>46065.587028636881</v>
      </c>
      <c r="AA138" s="204">
        <v>45621.509860861399</v>
      </c>
      <c r="AB138" s="204">
        <v>42417.072961303405</v>
      </c>
      <c r="AC138" s="204">
        <v>45280</v>
      </c>
      <c r="AD138" s="204">
        <v>40375</v>
      </c>
      <c r="AE138" s="204">
        <v>35141</v>
      </c>
      <c r="AF138" s="206">
        <v>37756</v>
      </c>
      <c r="AG138" s="204">
        <v>39244</v>
      </c>
      <c r="AH138" s="204">
        <v>38266</v>
      </c>
      <c r="AI138" s="204">
        <v>38925</v>
      </c>
      <c r="AJ138" s="204">
        <v>46433</v>
      </c>
      <c r="AK138" s="204">
        <v>41469.399234806377</v>
      </c>
      <c r="AL138" s="204">
        <v>40511</v>
      </c>
      <c r="AM138" s="204">
        <v>34630</v>
      </c>
      <c r="AN138" s="204">
        <v>39683</v>
      </c>
      <c r="AO138" s="204">
        <v>35835</v>
      </c>
      <c r="AP138" s="204">
        <v>40343</v>
      </c>
      <c r="AQ138" s="204">
        <v>38455</v>
      </c>
      <c r="AR138" s="204">
        <v>38689</v>
      </c>
      <c r="AS138" s="204">
        <v>41943</v>
      </c>
      <c r="AT138" s="204">
        <v>43068</v>
      </c>
      <c r="AU138" s="204">
        <v>45716</v>
      </c>
      <c r="AV138" s="204">
        <v>50948</v>
      </c>
      <c r="AW138" s="204">
        <v>38128</v>
      </c>
      <c r="AX138" s="204">
        <v>46113</v>
      </c>
      <c r="AY138" s="204">
        <v>44299</v>
      </c>
    </row>
    <row r="139" spans="1:51" ht="15" customHeight="1" x14ac:dyDescent="0.25">
      <c r="A139" s="38" t="s">
        <v>163</v>
      </c>
      <c r="B139" s="1" t="s">
        <v>164</v>
      </c>
      <c r="C139" s="40" t="s">
        <v>165</v>
      </c>
      <c r="D139" s="204">
        <v>53977.954894725175</v>
      </c>
      <c r="E139" s="204">
        <v>61849.989885089912</v>
      </c>
      <c r="F139" s="204">
        <v>54643.991025118106</v>
      </c>
      <c r="G139" s="204">
        <v>56350.987955508834</v>
      </c>
      <c r="H139" s="204">
        <v>53073.585951643734</v>
      </c>
      <c r="I139" s="204">
        <v>52126.427091919082</v>
      </c>
      <c r="J139" s="204">
        <v>59182.916268702873</v>
      </c>
      <c r="K139" s="204">
        <v>69216.603656609557</v>
      </c>
      <c r="L139" s="204">
        <v>68934.734112614635</v>
      </c>
      <c r="M139" s="204">
        <v>63270.59183561644</v>
      </c>
      <c r="N139" s="204">
        <v>59390.780733544278</v>
      </c>
      <c r="O139" s="204">
        <v>53776.319903355026</v>
      </c>
      <c r="P139" s="204">
        <v>55147.042945974987</v>
      </c>
      <c r="Q139" s="204">
        <v>56848.101909596793</v>
      </c>
      <c r="R139" s="204">
        <v>57365.999577049311</v>
      </c>
      <c r="S139" s="204">
        <v>65075.001188267117</v>
      </c>
      <c r="T139" s="204">
        <v>54858.99028298066</v>
      </c>
      <c r="U139" s="204">
        <v>54065.847497604234</v>
      </c>
      <c r="V139" s="204">
        <v>60300.982441268905</v>
      </c>
      <c r="W139" s="204">
        <v>57819.886661739445</v>
      </c>
      <c r="X139" s="204">
        <v>71791.948378273955</v>
      </c>
      <c r="Y139" s="204">
        <v>68943.012340611953</v>
      </c>
      <c r="Z139" s="204">
        <v>62306.893870147615</v>
      </c>
      <c r="AA139" s="204">
        <v>52879.858630206181</v>
      </c>
      <c r="AB139" s="204">
        <v>56128.0598600132</v>
      </c>
      <c r="AC139" s="204">
        <v>69297</v>
      </c>
      <c r="AD139" s="204">
        <v>54180</v>
      </c>
      <c r="AE139" s="204">
        <v>51503.000000000007</v>
      </c>
      <c r="AF139" s="206">
        <v>56801</v>
      </c>
      <c r="AG139" s="204">
        <v>53713</v>
      </c>
      <c r="AH139" s="204">
        <v>47557.999999999993</v>
      </c>
      <c r="AI139" s="204">
        <v>47163</v>
      </c>
      <c r="AJ139" s="204">
        <v>53431</v>
      </c>
      <c r="AK139" s="204">
        <v>52104.876320165196</v>
      </c>
      <c r="AL139" s="204">
        <v>54887</v>
      </c>
      <c r="AM139" s="204">
        <v>43551</v>
      </c>
      <c r="AN139" s="204">
        <v>49580</v>
      </c>
      <c r="AO139" s="204">
        <v>42038</v>
      </c>
      <c r="AP139" s="204">
        <v>32974</v>
      </c>
      <c r="AQ139" s="204">
        <v>43982</v>
      </c>
      <c r="AR139" s="204">
        <v>44518</v>
      </c>
      <c r="AS139" s="204">
        <v>47514</v>
      </c>
      <c r="AT139" s="204">
        <v>36708</v>
      </c>
      <c r="AU139" s="204">
        <v>47056</v>
      </c>
      <c r="AV139" s="204">
        <v>74020</v>
      </c>
      <c r="AW139" s="204">
        <v>64034</v>
      </c>
      <c r="AX139" s="204">
        <v>59222</v>
      </c>
      <c r="AY139" s="204">
        <v>51444</v>
      </c>
    </row>
    <row r="140" spans="1:51" ht="15" customHeight="1" x14ac:dyDescent="0.25">
      <c r="A140" s="38" t="s">
        <v>166</v>
      </c>
      <c r="B140" s="217" t="s">
        <v>167</v>
      </c>
      <c r="C140" s="64" t="s">
        <v>168</v>
      </c>
      <c r="D140" s="204">
        <v>375237.86057674146</v>
      </c>
      <c r="E140" s="204">
        <v>389640.0587132285</v>
      </c>
      <c r="F140" s="204">
        <v>369248.11246030347</v>
      </c>
      <c r="G140" s="204">
        <v>439167.82782705245</v>
      </c>
      <c r="H140" s="204">
        <v>473859.96075241658</v>
      </c>
      <c r="I140" s="204">
        <v>481170.07040054444</v>
      </c>
      <c r="J140" s="204">
        <v>550038.35405021138</v>
      </c>
      <c r="K140" s="204">
        <v>529767.81200381089</v>
      </c>
      <c r="L140" s="204">
        <v>460034.25187030411</v>
      </c>
      <c r="M140" s="204">
        <v>469071.12090181233</v>
      </c>
      <c r="N140" s="204">
        <v>433786.80658817448</v>
      </c>
      <c r="O140" s="204">
        <v>382413.20961659105</v>
      </c>
      <c r="P140" s="204">
        <v>274822.20700895268</v>
      </c>
      <c r="Q140" s="204">
        <v>279180.52667523996</v>
      </c>
      <c r="R140" s="204">
        <v>338194.0538760848</v>
      </c>
      <c r="S140" s="204">
        <v>435035.9166722204</v>
      </c>
      <c r="T140" s="204">
        <v>363682.02617029514</v>
      </c>
      <c r="U140" s="204">
        <v>420593.0223825362</v>
      </c>
      <c r="V140" s="204">
        <v>536557.82408981433</v>
      </c>
      <c r="W140" s="204">
        <v>504101.12405993947</v>
      </c>
      <c r="X140" s="204">
        <v>532075.58196059929</v>
      </c>
      <c r="Y140" s="204">
        <v>485164.25078424491</v>
      </c>
      <c r="Z140" s="204">
        <v>411255.43979796232</v>
      </c>
      <c r="AA140" s="204">
        <v>313187.63123613398</v>
      </c>
      <c r="AB140" s="204">
        <v>259940.40505816022</v>
      </c>
      <c r="AC140" s="204">
        <v>185492</v>
      </c>
      <c r="AD140" s="204">
        <v>166012</v>
      </c>
      <c r="AE140" s="204">
        <v>164932</v>
      </c>
      <c r="AF140" s="206">
        <v>193132</v>
      </c>
      <c r="AG140" s="204">
        <v>310440</v>
      </c>
      <c r="AH140" s="204">
        <v>451816</v>
      </c>
      <c r="AI140" s="204">
        <v>467728.00000000006</v>
      </c>
      <c r="AJ140" s="204">
        <v>520044</v>
      </c>
      <c r="AK140" s="204">
        <v>446234.37317052163</v>
      </c>
      <c r="AL140" s="204">
        <v>368284</v>
      </c>
      <c r="AM140" s="204">
        <v>279224</v>
      </c>
      <c r="AN140" s="204">
        <v>313237</v>
      </c>
      <c r="AO140" s="204">
        <v>275448</v>
      </c>
      <c r="AP140" s="204">
        <v>274472</v>
      </c>
      <c r="AQ140" s="204">
        <v>298936</v>
      </c>
      <c r="AR140" s="204">
        <v>366252</v>
      </c>
      <c r="AS140" s="204">
        <v>460436</v>
      </c>
      <c r="AT140" s="204">
        <v>457060</v>
      </c>
      <c r="AU140" s="204">
        <v>455136</v>
      </c>
      <c r="AV140" s="204">
        <v>519932</v>
      </c>
      <c r="AW140" s="204">
        <v>446864</v>
      </c>
      <c r="AX140" s="204">
        <v>427664</v>
      </c>
      <c r="AY140" s="204">
        <v>291188</v>
      </c>
    </row>
    <row r="141" spans="1:51" ht="15" customHeight="1" x14ac:dyDescent="0.25">
      <c r="A141" s="38" t="s">
        <v>82</v>
      </c>
      <c r="B141" s="1" t="s">
        <v>83</v>
      </c>
      <c r="C141" s="40" t="s">
        <v>84</v>
      </c>
      <c r="D141" s="204">
        <v>90733.481177049922</v>
      </c>
      <c r="E141" s="204">
        <v>84357.768499125683</v>
      </c>
      <c r="F141" s="204">
        <v>84938.007128470796</v>
      </c>
      <c r="G141" s="204">
        <v>85764.99417954628</v>
      </c>
      <c r="H141" s="204">
        <v>89941.980041210583</v>
      </c>
      <c r="I141" s="204">
        <v>78688.984292088615</v>
      </c>
      <c r="J141" s="204">
        <v>84533.036691226662</v>
      </c>
      <c r="K141" s="204">
        <v>90414.954833127224</v>
      </c>
      <c r="L141" s="204">
        <v>90996.650770526016</v>
      </c>
      <c r="M141" s="204">
        <v>90654.444490090653</v>
      </c>
      <c r="N141" s="204">
        <v>102550.49536036591</v>
      </c>
      <c r="O141" s="204">
        <v>94545.231986876825</v>
      </c>
      <c r="P141" s="204">
        <v>89372.045506890267</v>
      </c>
      <c r="Q141" s="204">
        <v>84786.149761401975</v>
      </c>
      <c r="R141" s="204">
        <v>85327.027563974625</v>
      </c>
      <c r="S141" s="204">
        <v>89432.978049787242</v>
      </c>
      <c r="T141" s="204">
        <v>85358.003004172409</v>
      </c>
      <c r="U141" s="204">
        <v>77358.836451388634</v>
      </c>
      <c r="V141" s="204">
        <v>84787.975615206771</v>
      </c>
      <c r="W141" s="204">
        <v>79740.843774789741</v>
      </c>
      <c r="X141" s="204">
        <v>87270.917546277633</v>
      </c>
      <c r="Y141" s="204">
        <v>89677.043552609364</v>
      </c>
      <c r="Z141" s="204">
        <v>90433.8994466859</v>
      </c>
      <c r="AA141" s="204">
        <v>101936.68376868249</v>
      </c>
      <c r="AB141" s="204">
        <v>89751.134079669471</v>
      </c>
      <c r="AC141" s="204">
        <v>98517</v>
      </c>
      <c r="AD141" s="204">
        <v>84486</v>
      </c>
      <c r="AE141" s="204">
        <v>79088</v>
      </c>
      <c r="AF141" s="206">
        <v>80081</v>
      </c>
      <c r="AG141" s="204">
        <v>77452</v>
      </c>
      <c r="AH141" s="204">
        <v>81029</v>
      </c>
      <c r="AI141" s="204">
        <v>78712</v>
      </c>
      <c r="AJ141" s="204">
        <v>88033</v>
      </c>
      <c r="AK141" s="204">
        <v>85887.74262413237</v>
      </c>
      <c r="AL141" s="204">
        <v>97071</v>
      </c>
      <c r="AM141" s="204">
        <v>86094</v>
      </c>
      <c r="AN141" s="204">
        <v>93897</v>
      </c>
      <c r="AO141" s="204">
        <v>82714</v>
      </c>
      <c r="AP141" s="204">
        <v>77397</v>
      </c>
      <c r="AQ141" s="204">
        <v>78196</v>
      </c>
      <c r="AR141" s="204">
        <v>76995</v>
      </c>
      <c r="AS141" s="204">
        <v>81238</v>
      </c>
      <c r="AT141" s="204">
        <v>76995</v>
      </c>
      <c r="AU141" s="204">
        <v>77403</v>
      </c>
      <c r="AV141" s="204">
        <v>86016</v>
      </c>
      <c r="AW141" s="204">
        <v>77642</v>
      </c>
      <c r="AX141" s="204">
        <v>88217</v>
      </c>
      <c r="AY141" s="204">
        <v>81160</v>
      </c>
    </row>
    <row r="142" spans="1:51" ht="15" customHeight="1" x14ac:dyDescent="0.25">
      <c r="A142" s="38" t="s">
        <v>13</v>
      </c>
      <c r="B142" s="1" t="s">
        <v>14</v>
      </c>
      <c r="C142" s="258" t="s">
        <v>15</v>
      </c>
      <c r="D142" s="204">
        <v>0</v>
      </c>
      <c r="E142" s="204">
        <v>0</v>
      </c>
      <c r="F142" s="204">
        <v>0</v>
      </c>
      <c r="G142" s="204">
        <v>0</v>
      </c>
      <c r="H142" s="204">
        <v>0</v>
      </c>
      <c r="I142" s="204">
        <v>0</v>
      </c>
      <c r="J142" s="204">
        <v>0</v>
      </c>
      <c r="K142" s="204">
        <v>0</v>
      </c>
      <c r="L142" s="204">
        <v>0</v>
      </c>
      <c r="M142" s="204">
        <v>0</v>
      </c>
      <c r="N142" s="204">
        <v>0</v>
      </c>
      <c r="O142" s="204">
        <v>0</v>
      </c>
      <c r="P142" s="204">
        <v>0</v>
      </c>
      <c r="Q142" s="204">
        <v>0</v>
      </c>
      <c r="R142" s="204">
        <v>0</v>
      </c>
      <c r="S142" s="204">
        <v>0</v>
      </c>
      <c r="T142" s="204">
        <v>0</v>
      </c>
      <c r="U142" s="204">
        <v>0</v>
      </c>
      <c r="V142" s="204">
        <v>0</v>
      </c>
      <c r="W142" s="204">
        <v>0</v>
      </c>
      <c r="X142" s="204">
        <v>0</v>
      </c>
      <c r="Y142" s="204">
        <v>0</v>
      </c>
      <c r="Z142" s="204">
        <v>0</v>
      </c>
      <c r="AA142" s="204">
        <v>0</v>
      </c>
      <c r="AB142" s="204">
        <v>0</v>
      </c>
      <c r="AC142" s="204">
        <v>0</v>
      </c>
      <c r="AD142" s="204">
        <v>0</v>
      </c>
      <c r="AE142" s="204">
        <v>0</v>
      </c>
      <c r="AF142" s="206">
        <v>0</v>
      </c>
      <c r="AG142" s="204">
        <v>0</v>
      </c>
      <c r="AH142" s="204">
        <v>0</v>
      </c>
      <c r="AI142" s="204">
        <v>0</v>
      </c>
      <c r="AJ142" s="204">
        <v>0</v>
      </c>
      <c r="AK142" s="204">
        <v>0</v>
      </c>
      <c r="AL142" s="204">
        <v>0</v>
      </c>
      <c r="AM142" s="204">
        <v>0</v>
      </c>
      <c r="AN142" s="204">
        <v>0</v>
      </c>
      <c r="AO142" s="204">
        <v>0</v>
      </c>
      <c r="AP142" s="204">
        <v>0</v>
      </c>
      <c r="AQ142" s="204">
        <v>0</v>
      </c>
      <c r="AR142" s="204">
        <v>0</v>
      </c>
      <c r="AS142" s="204">
        <v>0</v>
      </c>
      <c r="AT142" s="204">
        <v>0</v>
      </c>
      <c r="AU142" s="204">
        <v>0</v>
      </c>
      <c r="AV142" s="204">
        <v>0</v>
      </c>
      <c r="AW142" s="204">
        <v>0</v>
      </c>
      <c r="AX142" s="204">
        <v>0</v>
      </c>
      <c r="AY142" s="204">
        <v>0</v>
      </c>
    </row>
    <row r="143" spans="1:51" ht="15" customHeight="1" x14ac:dyDescent="0.25">
      <c r="A143" s="38" t="s">
        <v>278</v>
      </c>
      <c r="B143" s="63" t="s">
        <v>279</v>
      </c>
      <c r="C143" s="64" t="s">
        <v>280</v>
      </c>
      <c r="D143" s="204">
        <v>33657.981095489376</v>
      </c>
      <c r="E143" s="204">
        <v>33065.085326200351</v>
      </c>
      <c r="F143" s="204">
        <v>30804.911403634316</v>
      </c>
      <c r="G143" s="204">
        <v>30329.961755134918</v>
      </c>
      <c r="H143" s="204">
        <v>25976.018305336613</v>
      </c>
      <c r="I143" s="204">
        <v>19521.981049234448</v>
      </c>
      <c r="J143" s="204">
        <v>22237.997470330276</v>
      </c>
      <c r="K143" s="204">
        <v>43227.4339490563</v>
      </c>
      <c r="L143" s="204">
        <v>21707.917652406755</v>
      </c>
      <c r="M143" s="204">
        <v>20371.839732597513</v>
      </c>
      <c r="N143" s="204">
        <v>17431.991525329955</v>
      </c>
      <c r="O143" s="204">
        <v>34496.706516733444</v>
      </c>
      <c r="P143" s="204">
        <v>31605.898070013278</v>
      </c>
      <c r="Q143" s="204">
        <v>33065.07</v>
      </c>
      <c r="R143" s="204">
        <v>62902.794918565807</v>
      </c>
      <c r="S143" s="204">
        <v>104821.9810315252</v>
      </c>
      <c r="T143" s="204">
        <v>22023.986226513207</v>
      </c>
      <c r="U143" s="204">
        <v>16780.97468708309</v>
      </c>
      <c r="V143" s="204">
        <v>19944.96636506126</v>
      </c>
      <c r="W143" s="204">
        <v>19267.953451301735</v>
      </c>
      <c r="X143" s="204">
        <v>24442.974722768598</v>
      </c>
      <c r="Y143" s="204">
        <v>24582.055216414388</v>
      </c>
      <c r="Z143" s="204">
        <v>25062.964150697695</v>
      </c>
      <c r="AA143" s="204">
        <v>25682.889543406804</v>
      </c>
      <c r="AB143" s="204">
        <v>21824.023016989126</v>
      </c>
      <c r="AC143" s="204">
        <v>25125</v>
      </c>
      <c r="AD143" s="204">
        <v>20908</v>
      </c>
      <c r="AE143" s="204">
        <v>24792</v>
      </c>
      <c r="AF143" s="206">
        <v>21510</v>
      </c>
      <c r="AG143" s="204">
        <v>20865</v>
      </c>
      <c r="AH143" s="204">
        <v>20896</v>
      </c>
      <c r="AI143" s="204">
        <v>20199</v>
      </c>
      <c r="AJ143" s="204">
        <v>23283</v>
      </c>
      <c r="AK143" s="204">
        <v>22700.237719561614</v>
      </c>
      <c r="AL143" s="204">
        <v>26341</v>
      </c>
      <c r="AM143" s="204">
        <v>21777</v>
      </c>
      <c r="AN143" s="204">
        <v>23693</v>
      </c>
      <c r="AO143" s="204">
        <v>23863</v>
      </c>
      <c r="AP143" s="204">
        <v>25218</v>
      </c>
      <c r="AQ143" s="204">
        <v>25448</v>
      </c>
      <c r="AR143" s="204">
        <v>24976</v>
      </c>
      <c r="AS143" s="204">
        <v>24844</v>
      </c>
      <c r="AT143" s="204">
        <v>26667</v>
      </c>
      <c r="AU143" s="204">
        <v>26004</v>
      </c>
      <c r="AV143" s="204">
        <v>35560</v>
      </c>
      <c r="AW143" s="204">
        <v>30232</v>
      </c>
      <c r="AX143" s="204">
        <v>36007</v>
      </c>
      <c r="AY143" s="204">
        <v>31936</v>
      </c>
    </row>
    <row r="144" spans="1:51" ht="15" customHeight="1" x14ac:dyDescent="0.25">
      <c r="A144" s="38" t="s">
        <v>214</v>
      </c>
      <c r="B144" s="1" t="s">
        <v>215</v>
      </c>
      <c r="C144" s="258" t="s">
        <v>216</v>
      </c>
      <c r="D144" s="204">
        <v>0</v>
      </c>
      <c r="E144" s="204">
        <v>0</v>
      </c>
      <c r="F144" s="204">
        <v>0</v>
      </c>
      <c r="G144" s="204">
        <v>0</v>
      </c>
      <c r="H144" s="204">
        <v>0</v>
      </c>
      <c r="I144" s="204">
        <v>0</v>
      </c>
      <c r="J144" s="204">
        <v>0</v>
      </c>
      <c r="K144" s="204">
        <v>0</v>
      </c>
      <c r="L144" s="204">
        <v>0</v>
      </c>
      <c r="M144" s="204">
        <v>0</v>
      </c>
      <c r="N144" s="204">
        <v>0</v>
      </c>
      <c r="O144" s="204">
        <v>0</v>
      </c>
      <c r="P144" s="204">
        <v>0</v>
      </c>
      <c r="Q144" s="204">
        <v>0</v>
      </c>
      <c r="R144" s="204">
        <v>0</v>
      </c>
      <c r="S144" s="204">
        <v>0</v>
      </c>
      <c r="T144" s="204">
        <v>0</v>
      </c>
      <c r="U144" s="204">
        <v>0</v>
      </c>
      <c r="V144" s="204">
        <v>0</v>
      </c>
      <c r="W144" s="204">
        <v>0</v>
      </c>
      <c r="X144" s="204">
        <v>0</v>
      </c>
      <c r="Y144" s="204">
        <v>0</v>
      </c>
      <c r="Z144" s="204">
        <v>0</v>
      </c>
      <c r="AA144" s="204">
        <v>0</v>
      </c>
      <c r="AB144" s="204">
        <v>0</v>
      </c>
      <c r="AC144" s="204">
        <v>0</v>
      </c>
      <c r="AD144" s="204">
        <v>0</v>
      </c>
      <c r="AE144" s="204">
        <v>0</v>
      </c>
      <c r="AF144" s="206">
        <v>0</v>
      </c>
      <c r="AG144" s="204">
        <v>0</v>
      </c>
      <c r="AH144" s="204">
        <v>0</v>
      </c>
      <c r="AI144" s="204">
        <v>0</v>
      </c>
      <c r="AJ144" s="204">
        <v>0</v>
      </c>
      <c r="AK144" s="204">
        <v>0</v>
      </c>
      <c r="AL144" s="204">
        <v>0</v>
      </c>
      <c r="AM144" s="204">
        <v>0</v>
      </c>
      <c r="AN144" s="204">
        <v>0</v>
      </c>
      <c r="AO144" s="204">
        <v>0</v>
      </c>
      <c r="AP144" s="204">
        <v>0</v>
      </c>
      <c r="AQ144" s="204">
        <v>0</v>
      </c>
      <c r="AR144" s="204">
        <v>0</v>
      </c>
      <c r="AS144" s="204">
        <v>0</v>
      </c>
      <c r="AT144" s="204">
        <v>0</v>
      </c>
      <c r="AU144" s="204">
        <v>0</v>
      </c>
      <c r="AV144" s="204">
        <v>0</v>
      </c>
      <c r="AW144" s="204">
        <v>0</v>
      </c>
      <c r="AX144" s="204">
        <v>0</v>
      </c>
      <c r="AY144" s="204">
        <v>0</v>
      </c>
    </row>
    <row r="145" spans="1:51" ht="15" customHeight="1" x14ac:dyDescent="0.25">
      <c r="A145" s="38" t="s">
        <v>151</v>
      </c>
      <c r="B145" s="1" t="s">
        <v>152</v>
      </c>
      <c r="C145" s="258" t="s">
        <v>153</v>
      </c>
      <c r="D145" s="204">
        <v>0</v>
      </c>
      <c r="E145" s="204">
        <v>0</v>
      </c>
      <c r="F145" s="204">
        <v>0</v>
      </c>
      <c r="G145" s="204">
        <v>0</v>
      </c>
      <c r="H145" s="204">
        <v>0</v>
      </c>
      <c r="I145" s="204">
        <v>0</v>
      </c>
      <c r="J145" s="204">
        <v>0</v>
      </c>
      <c r="K145" s="204">
        <v>0</v>
      </c>
      <c r="L145" s="204">
        <v>0</v>
      </c>
      <c r="M145" s="204">
        <v>0</v>
      </c>
      <c r="N145" s="204">
        <v>0</v>
      </c>
      <c r="O145" s="204">
        <v>0</v>
      </c>
      <c r="P145" s="204">
        <v>0</v>
      </c>
      <c r="Q145" s="204">
        <v>0</v>
      </c>
      <c r="R145" s="204">
        <v>0</v>
      </c>
      <c r="S145" s="204">
        <v>0</v>
      </c>
      <c r="T145" s="204">
        <v>0</v>
      </c>
      <c r="U145" s="204">
        <v>0</v>
      </c>
      <c r="V145" s="204">
        <v>0</v>
      </c>
      <c r="W145" s="204">
        <v>0</v>
      </c>
      <c r="X145" s="204">
        <v>0</v>
      </c>
      <c r="Y145" s="204">
        <v>0</v>
      </c>
      <c r="Z145" s="204">
        <v>0</v>
      </c>
      <c r="AA145" s="204">
        <v>0</v>
      </c>
      <c r="AB145" s="204">
        <v>0</v>
      </c>
      <c r="AC145" s="204">
        <v>0</v>
      </c>
      <c r="AD145" s="204">
        <v>0</v>
      </c>
      <c r="AE145" s="204">
        <v>0</v>
      </c>
      <c r="AF145" s="206">
        <v>0</v>
      </c>
      <c r="AG145" s="204">
        <v>0</v>
      </c>
      <c r="AH145" s="204">
        <v>0</v>
      </c>
      <c r="AI145" s="204">
        <v>0</v>
      </c>
      <c r="AJ145" s="204">
        <v>0</v>
      </c>
      <c r="AK145" s="204">
        <v>0</v>
      </c>
      <c r="AL145" s="204">
        <v>0</v>
      </c>
      <c r="AM145" s="204">
        <v>0</v>
      </c>
      <c r="AN145" s="204">
        <v>0</v>
      </c>
      <c r="AO145" s="204">
        <v>0</v>
      </c>
      <c r="AP145" s="204">
        <v>0</v>
      </c>
      <c r="AQ145" s="204">
        <v>0</v>
      </c>
      <c r="AR145" s="204">
        <v>0</v>
      </c>
      <c r="AS145" s="204">
        <v>0</v>
      </c>
      <c r="AT145" s="204">
        <v>0</v>
      </c>
      <c r="AU145" s="204">
        <v>0</v>
      </c>
      <c r="AV145" s="204">
        <v>0</v>
      </c>
      <c r="AW145" s="204">
        <v>0</v>
      </c>
      <c r="AX145" s="204">
        <v>0</v>
      </c>
      <c r="AY145" s="204">
        <v>0</v>
      </c>
    </row>
    <row r="146" spans="1:51" ht="15" customHeight="1" x14ac:dyDescent="0.25">
      <c r="A146" s="38" t="s">
        <v>148</v>
      </c>
      <c r="B146" s="1" t="s">
        <v>149</v>
      </c>
      <c r="C146" s="258" t="s">
        <v>150</v>
      </c>
      <c r="D146" s="204">
        <v>0</v>
      </c>
      <c r="E146" s="204">
        <v>0</v>
      </c>
      <c r="F146" s="204">
        <v>0</v>
      </c>
      <c r="G146" s="204">
        <v>0</v>
      </c>
      <c r="H146" s="204">
        <v>0</v>
      </c>
      <c r="I146" s="204">
        <v>0</v>
      </c>
      <c r="J146" s="204">
        <v>0</v>
      </c>
      <c r="K146" s="204">
        <v>0</v>
      </c>
      <c r="L146" s="204">
        <v>0</v>
      </c>
      <c r="M146" s="204">
        <v>0</v>
      </c>
      <c r="N146" s="204">
        <v>0</v>
      </c>
      <c r="O146" s="204">
        <v>0</v>
      </c>
      <c r="P146" s="204">
        <v>0</v>
      </c>
      <c r="Q146" s="204">
        <v>0</v>
      </c>
      <c r="R146" s="204">
        <v>0</v>
      </c>
      <c r="S146" s="204">
        <v>0</v>
      </c>
      <c r="T146" s="204">
        <v>0</v>
      </c>
      <c r="U146" s="204">
        <v>0</v>
      </c>
      <c r="V146" s="204">
        <v>0</v>
      </c>
      <c r="W146" s="204">
        <v>0</v>
      </c>
      <c r="X146" s="204">
        <v>0</v>
      </c>
      <c r="Y146" s="204">
        <v>0</v>
      </c>
      <c r="Z146" s="204">
        <v>0</v>
      </c>
      <c r="AA146" s="204">
        <v>0</v>
      </c>
      <c r="AB146" s="204">
        <v>0</v>
      </c>
      <c r="AC146" s="204">
        <v>0</v>
      </c>
      <c r="AD146" s="204">
        <v>0</v>
      </c>
      <c r="AE146" s="204">
        <v>0</v>
      </c>
      <c r="AF146" s="206">
        <v>0</v>
      </c>
      <c r="AG146" s="204">
        <v>0</v>
      </c>
      <c r="AH146" s="204">
        <v>0</v>
      </c>
      <c r="AI146" s="204">
        <v>0</v>
      </c>
      <c r="AJ146" s="204">
        <v>0</v>
      </c>
      <c r="AK146" s="204">
        <v>0</v>
      </c>
      <c r="AL146" s="204">
        <v>0</v>
      </c>
      <c r="AM146" s="204">
        <v>0</v>
      </c>
      <c r="AN146" s="204">
        <v>0</v>
      </c>
      <c r="AO146" s="204">
        <v>0</v>
      </c>
      <c r="AP146" s="204">
        <v>0</v>
      </c>
      <c r="AQ146" s="204">
        <v>0</v>
      </c>
      <c r="AR146" s="204">
        <v>0</v>
      </c>
      <c r="AS146" s="204">
        <v>0</v>
      </c>
      <c r="AT146" s="204">
        <v>0</v>
      </c>
      <c r="AU146" s="204">
        <v>0</v>
      </c>
      <c r="AV146" s="204">
        <v>0</v>
      </c>
      <c r="AW146" s="204">
        <v>0</v>
      </c>
      <c r="AX146" s="204">
        <v>0</v>
      </c>
      <c r="AY146" s="204">
        <v>0</v>
      </c>
    </row>
    <row r="147" spans="1:51" ht="15" customHeight="1" x14ac:dyDescent="0.25">
      <c r="A147" s="38">
        <v>1390</v>
      </c>
      <c r="B147" s="100" t="s">
        <v>316</v>
      </c>
      <c r="C147" s="40" t="s">
        <v>317</v>
      </c>
      <c r="D147" s="204">
        <v>89445.477611990587</v>
      </c>
      <c r="E147" s="204">
        <v>90698.153894158706</v>
      </c>
      <c r="F147" s="204">
        <v>85226.032177191781</v>
      </c>
      <c r="G147" s="204">
        <v>87833.974533024841</v>
      </c>
      <c r="H147" s="204">
        <v>83779.022766043403</v>
      </c>
      <c r="I147" s="204">
        <v>64571.000968915017</v>
      </c>
      <c r="J147" s="204">
        <v>72551.531198138735</v>
      </c>
      <c r="K147" s="204">
        <v>72561.984534633477</v>
      </c>
      <c r="L147" s="204">
        <v>70386.742240991676</v>
      </c>
      <c r="M147" s="204">
        <v>91651.288259568144</v>
      </c>
      <c r="N147" s="204">
        <v>104072.15780787116</v>
      </c>
      <c r="O147" s="204">
        <v>103661.57736518413</v>
      </c>
      <c r="P147" s="204">
        <v>83866.05178182754</v>
      </c>
      <c r="Q147" s="204">
        <v>87736</v>
      </c>
      <c r="R147" s="204">
        <v>34560</v>
      </c>
      <c r="S147" s="204">
        <v>28116.015134084282</v>
      </c>
      <c r="T147" s="204">
        <v>87254.012751304283</v>
      </c>
      <c r="U147" s="204">
        <v>74463.817517343283</v>
      </c>
      <c r="V147" s="204">
        <v>89914.948173739467</v>
      </c>
      <c r="W147" s="204">
        <v>79408.839316548067</v>
      </c>
      <c r="X147" s="204">
        <v>102488.94090556893</v>
      </c>
      <c r="Y147" s="204">
        <v>108239.03347371815</v>
      </c>
      <c r="Z147" s="204">
        <v>102672.88154066791</v>
      </c>
      <c r="AA147" s="204">
        <v>96581.694737116952</v>
      </c>
      <c r="AB147" s="204">
        <v>80488.106980798664</v>
      </c>
      <c r="AC147" s="204">
        <v>97791.999999999985</v>
      </c>
      <c r="AD147" s="204">
        <v>74809</v>
      </c>
      <c r="AE147" s="204">
        <v>50874</v>
      </c>
      <c r="AF147" s="206">
        <v>55194.54</v>
      </c>
      <c r="AG147" s="204">
        <v>58033</v>
      </c>
      <c r="AH147" s="204">
        <v>55319</v>
      </c>
      <c r="AI147" s="204">
        <v>50259</v>
      </c>
      <c r="AJ147" s="204">
        <v>51158</v>
      </c>
      <c r="AK147" s="204">
        <v>50457.24824799312</v>
      </c>
      <c r="AL147" s="204">
        <v>51764</v>
      </c>
      <c r="AM147" s="204">
        <v>43879</v>
      </c>
      <c r="AN147" s="204">
        <v>45102</v>
      </c>
      <c r="AO147" s="204">
        <v>42920</v>
      </c>
      <c r="AP147" s="204">
        <v>42342</v>
      </c>
      <c r="AQ147" s="204">
        <v>41868</v>
      </c>
      <c r="AR147" s="204">
        <v>40367</v>
      </c>
      <c r="AS147" s="204">
        <v>44004</v>
      </c>
      <c r="AT147" s="204">
        <v>46359</v>
      </c>
      <c r="AU147" s="204">
        <v>60137</v>
      </c>
      <c r="AV147" s="204">
        <v>82687</v>
      </c>
      <c r="AW147" s="204">
        <v>75973</v>
      </c>
      <c r="AX147" s="204">
        <v>77292</v>
      </c>
      <c r="AY147" s="204">
        <v>63912</v>
      </c>
    </row>
    <row r="148" spans="1:51" ht="15" customHeight="1" x14ac:dyDescent="0.25">
      <c r="A148" s="38" t="s">
        <v>385</v>
      </c>
      <c r="B148" s="63" t="s">
        <v>386</v>
      </c>
      <c r="C148" s="40" t="s">
        <v>387</v>
      </c>
      <c r="D148" s="204">
        <v>23623.95974390952</v>
      </c>
      <c r="E148" s="204">
        <v>21536.033970968267</v>
      </c>
      <c r="F148" s="204">
        <v>20947.300226788528</v>
      </c>
      <c r="G148" s="204">
        <v>22481.08168561972</v>
      </c>
      <c r="H148" s="204">
        <v>24541.946451791006</v>
      </c>
      <c r="I148" s="204">
        <v>24581.011299842929</v>
      </c>
      <c r="J148" s="204">
        <v>28401.02973646906</v>
      </c>
      <c r="K148" s="204">
        <v>31786.628180869222</v>
      </c>
      <c r="L148" s="204">
        <v>28791.919114375894</v>
      </c>
      <c r="M148" s="204">
        <v>27300.070525444287</v>
      </c>
      <c r="N148" s="204">
        <v>27500.041882770194</v>
      </c>
      <c r="O148" s="204">
        <v>23460.578882810914</v>
      </c>
      <c r="P148" s="204">
        <v>22064.026905945528</v>
      </c>
      <c r="Q148" s="204">
        <v>21002.044478124397</v>
      </c>
      <c r="R148" s="204">
        <v>21530.280517395884</v>
      </c>
      <c r="S148" s="204">
        <v>24041.721319785898</v>
      </c>
      <c r="T148" s="204">
        <v>21751.002820373313</v>
      </c>
      <c r="U148" s="204">
        <v>23225.93607814777</v>
      </c>
      <c r="V148" s="204">
        <v>26883.642800912381</v>
      </c>
      <c r="W148" s="204">
        <v>25542.956826519556</v>
      </c>
      <c r="X148" s="204">
        <v>28796.992953792771</v>
      </c>
      <c r="Y148" s="204">
        <v>27179.983513845102</v>
      </c>
      <c r="Z148" s="204">
        <v>23217.968748962507</v>
      </c>
      <c r="AA148" s="204">
        <v>22979.91160874645</v>
      </c>
      <c r="AB148" s="204">
        <v>20210.040301253252</v>
      </c>
      <c r="AC148" s="204">
        <v>22239</v>
      </c>
      <c r="AD148" s="204">
        <v>18608</v>
      </c>
      <c r="AE148" s="204">
        <v>17425</v>
      </c>
      <c r="AF148" s="206">
        <v>20869</v>
      </c>
      <c r="AG148" s="204">
        <v>24525.999999999996</v>
      </c>
      <c r="AH148" s="204">
        <v>24310.999999999996</v>
      </c>
      <c r="AI148" s="204">
        <v>25392</v>
      </c>
      <c r="AJ148" s="204">
        <v>27229</v>
      </c>
      <c r="AK148" s="204">
        <v>25614.393856743882</v>
      </c>
      <c r="AL148" s="204">
        <v>21243</v>
      </c>
      <c r="AM148" s="204">
        <v>17479</v>
      </c>
      <c r="AN148" s="204">
        <v>19075</v>
      </c>
      <c r="AO148" s="204">
        <v>19013</v>
      </c>
      <c r="AP148" s="204">
        <v>19460</v>
      </c>
      <c r="AQ148" s="204">
        <v>19488</v>
      </c>
      <c r="AR148" s="204">
        <v>19488</v>
      </c>
      <c r="AS148" s="204">
        <v>21504</v>
      </c>
      <c r="AT148" s="204">
        <v>20160</v>
      </c>
      <c r="AU148" s="204">
        <v>19488</v>
      </c>
      <c r="AV148" s="204">
        <v>21504</v>
      </c>
      <c r="AW148" s="204">
        <v>20160</v>
      </c>
      <c r="AX148" s="204">
        <v>22204</v>
      </c>
      <c r="AY148" s="204">
        <v>20160</v>
      </c>
    </row>
    <row r="149" spans="1:51" ht="15" customHeight="1" x14ac:dyDescent="0.25">
      <c r="A149" s="38" t="s">
        <v>382</v>
      </c>
      <c r="B149" s="1" t="s">
        <v>383</v>
      </c>
      <c r="C149" s="64" t="s">
        <v>384</v>
      </c>
      <c r="D149" s="204">
        <v>17633.97610056285</v>
      </c>
      <c r="E149" s="204">
        <v>16478.258768417574</v>
      </c>
      <c r="F149" s="204">
        <v>16348.781367954531</v>
      </c>
      <c r="G149" s="204">
        <v>13874.819979343676</v>
      </c>
      <c r="H149" s="204">
        <v>14285.144169680476</v>
      </c>
      <c r="I149" s="204">
        <v>12262.020119231101</v>
      </c>
      <c r="J149" s="204">
        <v>12332.000036867748</v>
      </c>
      <c r="K149" s="204">
        <v>13258.974990827292</v>
      </c>
      <c r="L149" s="204">
        <v>13716.951291797342</v>
      </c>
      <c r="M149" s="204">
        <v>14144.337708000276</v>
      </c>
      <c r="N149" s="204">
        <v>15457.350091489709</v>
      </c>
      <c r="O149" s="204">
        <v>14902.713412108031</v>
      </c>
      <c r="P149" s="204">
        <v>14419.018731573184</v>
      </c>
      <c r="Q149" s="204">
        <v>14220.014083134507</v>
      </c>
      <c r="R149" s="204">
        <v>13666.016105718301</v>
      </c>
      <c r="S149" s="204">
        <v>15254.025282944784</v>
      </c>
      <c r="T149" s="204">
        <v>13479.022316458235</v>
      </c>
      <c r="U149" s="204">
        <v>12565.962548276351</v>
      </c>
      <c r="V149" s="204">
        <v>13001.997056285678</v>
      </c>
      <c r="W149" s="204">
        <v>11356.96724662688</v>
      </c>
      <c r="X149" s="204">
        <v>12404.962291095602</v>
      </c>
      <c r="Y149" s="204">
        <v>13458.017701714032</v>
      </c>
      <c r="Z149" s="204">
        <v>13034.96183019188</v>
      </c>
      <c r="AA149" s="204">
        <v>13735.93880731153</v>
      </c>
      <c r="AB149" s="204">
        <v>12158.009560518216</v>
      </c>
      <c r="AC149" s="204">
        <v>13404</v>
      </c>
      <c r="AD149" s="204">
        <v>10695</v>
      </c>
      <c r="AE149" s="204">
        <v>9702</v>
      </c>
      <c r="AF149" s="206">
        <v>10007</v>
      </c>
      <c r="AG149" s="204">
        <v>9624</v>
      </c>
      <c r="AH149" s="204">
        <v>9533</v>
      </c>
      <c r="AI149" s="204">
        <v>9394</v>
      </c>
      <c r="AJ149" s="204">
        <v>10812</v>
      </c>
      <c r="AK149" s="204">
        <v>10660.895212075919</v>
      </c>
      <c r="AL149" s="204">
        <v>12258</v>
      </c>
      <c r="AM149" s="204">
        <v>10501</v>
      </c>
      <c r="AN149" s="204">
        <v>10877</v>
      </c>
      <c r="AO149" s="204">
        <v>10000</v>
      </c>
      <c r="AP149" s="204">
        <v>5560</v>
      </c>
      <c r="AQ149" s="204">
        <v>5568</v>
      </c>
      <c r="AR149" s="204">
        <v>5568</v>
      </c>
      <c r="AS149" s="204">
        <v>6144</v>
      </c>
      <c r="AT149" s="204">
        <v>5760</v>
      </c>
      <c r="AU149" s="204">
        <v>5568</v>
      </c>
      <c r="AV149" s="204">
        <v>6144</v>
      </c>
      <c r="AW149" s="204">
        <v>5760</v>
      </c>
      <c r="AX149" s="204">
        <v>6344</v>
      </c>
      <c r="AY149" s="204">
        <v>6186</v>
      </c>
    </row>
    <row r="150" spans="1:51" ht="15" customHeight="1" x14ac:dyDescent="0.25">
      <c r="A150" s="38">
        <v>1912</v>
      </c>
      <c r="B150" s="39" t="s">
        <v>388</v>
      </c>
      <c r="C150" s="229" t="s">
        <v>389</v>
      </c>
      <c r="D150" s="204">
        <v>293464</v>
      </c>
      <c r="E150" s="204">
        <v>222069.02096125661</v>
      </c>
      <c r="F150" s="204">
        <v>179970</v>
      </c>
      <c r="G150" s="204">
        <v>221137.89190426221</v>
      </c>
      <c r="H150" s="204">
        <v>374361</v>
      </c>
      <c r="I150" s="204">
        <v>482084.00000000006</v>
      </c>
      <c r="J150" s="204">
        <v>816357</v>
      </c>
      <c r="K150" s="204">
        <v>873951.57039795222</v>
      </c>
      <c r="L150" s="204">
        <v>974854.26132547727</v>
      </c>
      <c r="M150" s="204">
        <v>845754.84606043936</v>
      </c>
      <c r="N150" s="204">
        <v>620578</v>
      </c>
      <c r="O150" s="204">
        <v>208855.67255016143</v>
      </c>
      <c r="P150" s="204">
        <v>315818</v>
      </c>
      <c r="Q150" s="204">
        <v>170560</v>
      </c>
      <c r="R150" s="204">
        <v>319316</v>
      </c>
      <c r="S150" s="204">
        <v>484817.96241782914</v>
      </c>
      <c r="T150" s="204">
        <v>394878.02152395819</v>
      </c>
      <c r="U150" s="204">
        <v>646436.48169520288</v>
      </c>
      <c r="V150" s="204">
        <v>1048527.688864571</v>
      </c>
      <c r="W150" s="204">
        <v>1075942.2027592831</v>
      </c>
      <c r="X150" s="204">
        <v>1181213.0351993162</v>
      </c>
      <c r="Y150" s="204">
        <v>902202.44081841246</v>
      </c>
      <c r="Z150" s="204">
        <v>565737.25311739941</v>
      </c>
      <c r="AA150" s="204">
        <v>325711.06839473825</v>
      </c>
      <c r="AB150" s="204">
        <v>347264.50979947887</v>
      </c>
      <c r="AC150" s="204">
        <v>500968</v>
      </c>
      <c r="AD150" s="204">
        <v>262760</v>
      </c>
      <c r="AE150" s="204">
        <v>368852</v>
      </c>
      <c r="AF150" s="206">
        <v>610290</v>
      </c>
      <c r="AG150" s="204">
        <v>701946</v>
      </c>
      <c r="AH150" s="204">
        <v>734502</v>
      </c>
      <c r="AI150" s="204">
        <v>973570</v>
      </c>
      <c r="AJ150" s="204">
        <v>989758</v>
      </c>
      <c r="AK150" s="204">
        <v>842912.60911658476</v>
      </c>
      <c r="AL150" s="204">
        <v>402596</v>
      </c>
      <c r="AM150" s="204">
        <v>242868</v>
      </c>
      <c r="AN150" s="204">
        <v>258968</v>
      </c>
      <c r="AO150" s="204">
        <v>281964</v>
      </c>
      <c r="AP150" s="204">
        <v>237884</v>
      </c>
      <c r="AQ150" s="204">
        <v>355024</v>
      </c>
      <c r="AR150" s="204">
        <v>437584</v>
      </c>
      <c r="AS150" s="204">
        <v>702516</v>
      </c>
      <c r="AT150" s="204">
        <v>1040868</v>
      </c>
      <c r="AU150" s="204">
        <v>989176</v>
      </c>
      <c r="AV150" s="204">
        <v>1004032</v>
      </c>
      <c r="AW150" s="204">
        <v>646124</v>
      </c>
      <c r="AX150" s="204">
        <v>647632</v>
      </c>
      <c r="AY150" s="204">
        <v>265384</v>
      </c>
    </row>
    <row r="151" spans="1:51" ht="15" customHeight="1" x14ac:dyDescent="0.25">
      <c r="A151" s="38">
        <v>1918</v>
      </c>
      <c r="B151" s="221" t="s">
        <v>390</v>
      </c>
      <c r="C151" s="229" t="s">
        <v>391</v>
      </c>
      <c r="D151" s="204">
        <v>671.01583969430294</v>
      </c>
      <c r="E151" s="204">
        <v>616.96179996800709</v>
      </c>
      <c r="F151" s="204">
        <v>611.69089143969586</v>
      </c>
      <c r="G151" s="204">
        <v>615.23240951649905</v>
      </c>
      <c r="H151" s="204">
        <v>678.7535848806084</v>
      </c>
      <c r="I151" s="204">
        <v>626.98962687112669</v>
      </c>
      <c r="J151" s="204">
        <v>652.00618604269926</v>
      </c>
      <c r="K151" s="204">
        <v>661.36240010597351</v>
      </c>
      <c r="L151" s="204">
        <v>638.97480715534118</v>
      </c>
      <c r="M151" s="204">
        <v>641.84501595952963</v>
      </c>
      <c r="N151" s="204">
        <v>694.45883446862831</v>
      </c>
      <c r="O151" s="204">
        <v>671.59359685343554</v>
      </c>
      <c r="P151" s="204">
        <v>616.9788966107609</v>
      </c>
      <c r="Q151" s="204">
        <v>599.97387815027059</v>
      </c>
      <c r="R151" s="204">
        <v>603.97178896741241</v>
      </c>
      <c r="S151" s="204">
        <v>648.02371199555421</v>
      </c>
      <c r="T151" s="204">
        <v>614.97095105403332</v>
      </c>
      <c r="U151" s="204">
        <v>593.99142792587804</v>
      </c>
      <c r="V151" s="204">
        <v>665.33955169614592</v>
      </c>
      <c r="W151" s="204">
        <v>598.00868253087538</v>
      </c>
      <c r="X151" s="204">
        <v>628.00626182376607</v>
      </c>
      <c r="Y151" s="204">
        <v>669.00018850936101</v>
      </c>
      <c r="Z151" s="204">
        <v>620.99816814734072</v>
      </c>
      <c r="AA151" s="204">
        <v>696.00683885663932</v>
      </c>
      <c r="AB151" s="204">
        <v>599.98053128442291</v>
      </c>
      <c r="AC151" s="204">
        <v>615</v>
      </c>
      <c r="AD151" s="204">
        <v>525</v>
      </c>
      <c r="AE151" s="204">
        <v>510.00000000000006</v>
      </c>
      <c r="AF151" s="206">
        <v>533</v>
      </c>
      <c r="AG151" s="204">
        <v>550</v>
      </c>
      <c r="AH151" s="204">
        <v>535</v>
      </c>
      <c r="AI151" s="204">
        <v>526</v>
      </c>
      <c r="AJ151" s="204">
        <v>588</v>
      </c>
      <c r="AK151" s="204">
        <v>559.07482276693509</v>
      </c>
      <c r="AL151" s="204">
        <v>616</v>
      </c>
      <c r="AM151" s="204">
        <v>547</v>
      </c>
      <c r="AN151" s="204">
        <v>578</v>
      </c>
      <c r="AO151" s="204">
        <v>500</v>
      </c>
      <c r="AP151" s="204">
        <v>0</v>
      </c>
      <c r="AQ151" s="204">
        <v>0</v>
      </c>
      <c r="AR151" s="204">
        <v>0</v>
      </c>
      <c r="AS151" s="204">
        <v>0</v>
      </c>
      <c r="AT151" s="204">
        <v>0</v>
      </c>
      <c r="AU151" s="204">
        <v>0</v>
      </c>
      <c r="AV151" s="204">
        <v>0</v>
      </c>
      <c r="AW151" s="204">
        <v>0</v>
      </c>
      <c r="AX151" s="204">
        <v>0</v>
      </c>
      <c r="AY151" s="204">
        <v>0</v>
      </c>
    </row>
    <row r="152" spans="1:51" ht="15" customHeight="1" x14ac:dyDescent="0.25">
      <c r="A152" s="62">
        <v>1919</v>
      </c>
      <c r="B152" s="124" t="s">
        <v>392</v>
      </c>
      <c r="C152" s="144" t="s">
        <v>393</v>
      </c>
      <c r="D152" s="204">
        <v>2015.0485603543634</v>
      </c>
      <c r="E152" s="204">
        <v>1875.593017618007</v>
      </c>
      <c r="F152" s="204">
        <v>1837.3784558161678</v>
      </c>
      <c r="G152" s="204">
        <v>1833.0324250084691</v>
      </c>
      <c r="H152" s="204">
        <v>2012.2051838444663</v>
      </c>
      <c r="I152" s="204">
        <v>1755.0166422095044</v>
      </c>
      <c r="J152" s="204">
        <v>1904.9999999999998</v>
      </c>
      <c r="K152" s="204">
        <v>1990.9896367925228</v>
      </c>
      <c r="L152" s="204">
        <v>1932.9498087955817</v>
      </c>
      <c r="M152" s="204">
        <v>1930.1997072678182</v>
      </c>
      <c r="N152" s="204">
        <v>2198.7111003151017</v>
      </c>
      <c r="O152" s="204">
        <v>2560.2953368903322</v>
      </c>
      <c r="P152" s="204">
        <v>2615.0102858754417</v>
      </c>
      <c r="Q152" s="204">
        <v>2413.0323309213659</v>
      </c>
      <c r="R152" s="204">
        <v>2432.9868799925312</v>
      </c>
      <c r="S152" s="204">
        <v>2637.9789446217255</v>
      </c>
      <c r="T152" s="204">
        <v>2483.9740065101023</v>
      </c>
      <c r="U152" s="204">
        <v>2384.0164681533056</v>
      </c>
      <c r="V152" s="204">
        <v>2666.0413408840031</v>
      </c>
      <c r="W152" s="204">
        <v>2414.9913332374072</v>
      </c>
      <c r="X152" s="204">
        <v>2576.9988394622674</v>
      </c>
      <c r="Y152" s="204">
        <v>2730.0194027990697</v>
      </c>
      <c r="Z152" s="204">
        <v>2542.009197819149</v>
      </c>
      <c r="AA152" s="204">
        <v>2834.0107241217725</v>
      </c>
      <c r="AB152" s="204">
        <v>2536.0241037963447</v>
      </c>
      <c r="AC152" s="204">
        <v>2710</v>
      </c>
      <c r="AD152" s="204">
        <v>2340</v>
      </c>
      <c r="AE152" s="204">
        <v>2089</v>
      </c>
      <c r="AF152" s="206">
        <v>1920</v>
      </c>
      <c r="AG152" s="204">
        <v>2008</v>
      </c>
      <c r="AH152" s="204">
        <v>2251</v>
      </c>
      <c r="AI152" s="204">
        <v>2384</v>
      </c>
      <c r="AJ152" s="204">
        <v>2669</v>
      </c>
      <c r="AK152" s="204">
        <v>2531.7373952924804</v>
      </c>
      <c r="AL152" s="204">
        <v>2802</v>
      </c>
      <c r="AM152" s="204">
        <v>2518</v>
      </c>
      <c r="AN152" s="204">
        <v>2048</v>
      </c>
      <c r="AO152" s="204">
        <v>1856</v>
      </c>
      <c r="AP152" s="204">
        <v>1853</v>
      </c>
      <c r="AQ152" s="204">
        <v>1856</v>
      </c>
      <c r="AR152" s="204">
        <v>1856</v>
      </c>
      <c r="AS152" s="204">
        <v>2048</v>
      </c>
      <c r="AT152" s="204">
        <v>1920</v>
      </c>
      <c r="AU152" s="204">
        <v>1856</v>
      </c>
      <c r="AV152" s="204">
        <v>2048</v>
      </c>
      <c r="AW152" s="204">
        <v>1920</v>
      </c>
      <c r="AX152" s="204">
        <v>2115</v>
      </c>
      <c r="AY152" s="204">
        <v>1920</v>
      </c>
    </row>
    <row r="153" spans="1:51" ht="15" customHeight="1" x14ac:dyDescent="0.25">
      <c r="A153" s="38" t="s">
        <v>394</v>
      </c>
      <c r="B153" s="63" t="s">
        <v>395</v>
      </c>
      <c r="C153" s="40" t="s">
        <v>396</v>
      </c>
      <c r="D153" s="204">
        <v>10251.201030908354</v>
      </c>
      <c r="E153" s="204">
        <v>9260.9847854549171</v>
      </c>
      <c r="F153" s="204">
        <v>9246.9743569476141</v>
      </c>
      <c r="G153" s="204">
        <v>9538.9717170579988</v>
      </c>
      <c r="H153" s="204">
        <v>10096.009782570291</v>
      </c>
      <c r="I153" s="204">
        <v>9418.0247351052531</v>
      </c>
      <c r="J153" s="204">
        <v>9863.0099911275738</v>
      </c>
      <c r="K153" s="204">
        <v>10389.98332492768</v>
      </c>
      <c r="L153" s="204">
        <v>10250.966115317962</v>
      </c>
      <c r="M153" s="204">
        <v>10387.954139845242</v>
      </c>
      <c r="N153" s="204">
        <v>11184.816089256568</v>
      </c>
      <c r="O153" s="204">
        <v>10776.941580035387</v>
      </c>
      <c r="P153" s="204">
        <v>10110.016281883487</v>
      </c>
      <c r="Q153" s="204">
        <v>9813.0257606802952</v>
      </c>
      <c r="R153" s="204">
        <v>9642.993205978968</v>
      </c>
      <c r="S153" s="204">
        <v>10423.000486244553</v>
      </c>
      <c r="T153" s="204">
        <v>9755.0153545789126</v>
      </c>
      <c r="U153" s="204">
        <v>9272.9825916408554</v>
      </c>
      <c r="V153" s="204">
        <v>9826.9993916682979</v>
      </c>
      <c r="W153" s="204">
        <v>8351.0058120020112</v>
      </c>
      <c r="X153" s="204">
        <v>8839.9747327810637</v>
      </c>
      <c r="Y153" s="204">
        <v>9211.0282275159025</v>
      </c>
      <c r="Z153" s="204">
        <v>9033.9768216995799</v>
      </c>
      <c r="AA153" s="204">
        <v>10850.961245434566</v>
      </c>
      <c r="AB153" s="204">
        <v>8629.0352207365413</v>
      </c>
      <c r="AC153" s="204">
        <v>9192</v>
      </c>
      <c r="AD153" s="204">
        <v>7483</v>
      </c>
      <c r="AE153" s="204">
        <v>6986</v>
      </c>
      <c r="AF153" s="206">
        <v>7667.0000000000009</v>
      </c>
      <c r="AG153" s="204">
        <v>7392</v>
      </c>
      <c r="AH153" s="204">
        <v>7322.9999999999991</v>
      </c>
      <c r="AI153" s="204">
        <v>7931</v>
      </c>
      <c r="AJ153" s="204">
        <v>8356</v>
      </c>
      <c r="AK153" s="204">
        <v>8292.9352257845076</v>
      </c>
      <c r="AL153" s="204">
        <v>8924</v>
      </c>
      <c r="AM153" s="204">
        <v>7738</v>
      </c>
      <c r="AN153" s="204">
        <v>8769</v>
      </c>
      <c r="AO153" s="204">
        <v>8058</v>
      </c>
      <c r="AP153" s="204">
        <v>8113</v>
      </c>
      <c r="AQ153" s="204">
        <v>7875</v>
      </c>
      <c r="AR153" s="204">
        <v>7860</v>
      </c>
      <c r="AS153" s="204">
        <v>8781</v>
      </c>
      <c r="AT153" s="204">
        <v>8640</v>
      </c>
      <c r="AU153" s="204">
        <v>8176</v>
      </c>
      <c r="AV153" s="204">
        <v>9103</v>
      </c>
      <c r="AW153" s="204">
        <v>8726</v>
      </c>
      <c r="AX153" s="204">
        <v>8844</v>
      </c>
      <c r="AY153" s="204">
        <v>9679</v>
      </c>
    </row>
    <row r="154" spans="1:51" ht="15" customHeight="1" x14ac:dyDescent="0.25">
      <c r="A154" s="38" t="s">
        <v>397</v>
      </c>
      <c r="B154" s="1" t="s">
        <v>398</v>
      </c>
      <c r="C154" s="64" t="s">
        <v>399</v>
      </c>
      <c r="D154" s="204">
        <v>19305.17906910567</v>
      </c>
      <c r="E154" s="204">
        <v>18570.987364765999</v>
      </c>
      <c r="F154" s="204">
        <v>18433.998394971146</v>
      </c>
      <c r="G154" s="204">
        <v>16319.061100243629</v>
      </c>
      <c r="H154" s="204">
        <v>16965.57446143607</v>
      </c>
      <c r="I154" s="204">
        <v>15753.699483335024</v>
      </c>
      <c r="J154" s="204">
        <v>20043</v>
      </c>
      <c r="K154" s="204">
        <v>22830.656307384357</v>
      </c>
      <c r="L154" s="204">
        <v>18382.259650371219</v>
      </c>
      <c r="M154" s="204">
        <v>16113.248030199487</v>
      </c>
      <c r="N154" s="204">
        <v>15831.763276115429</v>
      </c>
      <c r="O154" s="204">
        <v>18990.497947362714</v>
      </c>
      <c r="P154" s="204">
        <v>20040.006215207919</v>
      </c>
      <c r="Q154" s="204">
        <v>22326.022735322756</v>
      </c>
      <c r="R154" s="204">
        <v>16488.066395196598</v>
      </c>
      <c r="S154" s="204">
        <v>14022.702964187389</v>
      </c>
      <c r="T154" s="204">
        <v>13825.676244383318</v>
      </c>
      <c r="U154" s="204">
        <v>12717.934361808075</v>
      </c>
      <c r="V154" s="204">
        <v>14958.98959387895</v>
      </c>
      <c r="W154" s="204">
        <v>15194.943115335218</v>
      </c>
      <c r="X154" s="204">
        <v>18129.955185269955</v>
      </c>
      <c r="Y154" s="204">
        <v>15439.033131759814</v>
      </c>
      <c r="Z154" s="204">
        <v>14039.999105608276</v>
      </c>
      <c r="AA154" s="204">
        <v>19985.248321121653</v>
      </c>
      <c r="AB154" s="204">
        <v>19162.366317507869</v>
      </c>
      <c r="AC154" s="204">
        <v>17763</v>
      </c>
      <c r="AD154" s="204">
        <v>16459</v>
      </c>
      <c r="AE154" s="204">
        <v>13730</v>
      </c>
      <c r="AF154" s="206">
        <v>11675</v>
      </c>
      <c r="AG154" s="204">
        <v>14415</v>
      </c>
      <c r="AH154" s="204">
        <v>15798.000000000002</v>
      </c>
      <c r="AI154" s="204">
        <v>18347</v>
      </c>
      <c r="AJ154" s="204">
        <v>18749</v>
      </c>
      <c r="AK154" s="204">
        <v>17250.804909134458</v>
      </c>
      <c r="AL154" s="204">
        <v>15954</v>
      </c>
      <c r="AM154" s="204">
        <v>15598</v>
      </c>
      <c r="AN154" s="204">
        <v>18565</v>
      </c>
      <c r="AO154" s="204">
        <v>16614</v>
      </c>
      <c r="AP154" s="204">
        <v>17541</v>
      </c>
      <c r="AQ154" s="204">
        <v>13065</v>
      </c>
      <c r="AR154" s="204">
        <v>11607</v>
      </c>
      <c r="AS154" s="204">
        <v>13320</v>
      </c>
      <c r="AT154" s="204">
        <v>12249</v>
      </c>
      <c r="AU154" s="204">
        <v>15003</v>
      </c>
      <c r="AV154" s="204">
        <v>16783</v>
      </c>
      <c r="AW154" s="204">
        <v>12931</v>
      </c>
      <c r="AX154" s="204">
        <v>14214</v>
      </c>
      <c r="AY154" s="204">
        <v>15888</v>
      </c>
    </row>
    <row r="155" spans="1:51" ht="15" customHeight="1" x14ac:dyDescent="0.25">
      <c r="A155" s="38">
        <v>1928</v>
      </c>
      <c r="B155" s="100" t="s">
        <v>400</v>
      </c>
      <c r="C155" s="104" t="s">
        <v>401</v>
      </c>
      <c r="D155" s="204">
        <v>2414.6565022637637</v>
      </c>
      <c r="E155" s="204">
        <v>2202.025028595282</v>
      </c>
      <c r="F155" s="204">
        <v>2274.0275918918069</v>
      </c>
      <c r="G155" s="204">
        <v>2292.7252160367184</v>
      </c>
      <c r="H155" s="204">
        <v>2601.9998019259765</v>
      </c>
      <c r="I155" s="204">
        <v>2703.0151035847875</v>
      </c>
      <c r="J155" s="204">
        <v>2890</v>
      </c>
      <c r="K155" s="204">
        <v>2973.012594525635</v>
      </c>
      <c r="L155" s="204">
        <v>2857.9807807923989</v>
      </c>
      <c r="M155" s="204">
        <v>2846.9567272315335</v>
      </c>
      <c r="N155" s="204">
        <v>3118.9366225755043</v>
      </c>
      <c r="O155" s="204">
        <v>3060.5522903606811</v>
      </c>
      <c r="P155" s="204">
        <v>2800.0208840320443</v>
      </c>
      <c r="Q155" s="204">
        <v>2727.0141237476146</v>
      </c>
      <c r="R155" s="204">
        <v>2719.9881730236075</v>
      </c>
      <c r="S155" s="204">
        <v>2934.0264645199054</v>
      </c>
      <c r="T155" s="204">
        <v>2804.9628278750215</v>
      </c>
      <c r="U155" s="204">
        <v>2706.0467261450558</v>
      </c>
      <c r="V155" s="204">
        <v>3005.9588242668924</v>
      </c>
      <c r="W155" s="204">
        <v>2730.0490538030172</v>
      </c>
      <c r="X155" s="204">
        <v>2875.9888771201968</v>
      </c>
      <c r="Y155" s="204">
        <v>3049.9760146948506</v>
      </c>
      <c r="Z155" s="204">
        <v>2868.9637722315892</v>
      </c>
      <c r="AA155" s="204">
        <v>3191.0099928928075</v>
      </c>
      <c r="AB155" s="204">
        <v>2854.0103899015298</v>
      </c>
      <c r="AC155" s="204">
        <v>3103.9999999999995</v>
      </c>
      <c r="AD155" s="204">
        <v>2748</v>
      </c>
      <c r="AE155" s="204">
        <v>2694</v>
      </c>
      <c r="AF155" s="206">
        <v>2808</v>
      </c>
      <c r="AG155" s="204">
        <v>2909</v>
      </c>
      <c r="AH155" s="204">
        <v>2815.9999999999995</v>
      </c>
      <c r="AI155" s="204">
        <v>2760</v>
      </c>
      <c r="AJ155" s="204">
        <v>3034</v>
      </c>
      <c r="AK155" s="204">
        <v>2894.3318337816208</v>
      </c>
      <c r="AL155" s="204">
        <v>3181</v>
      </c>
      <c r="AM155" s="204">
        <v>2780</v>
      </c>
      <c r="AN155" s="204">
        <v>2970</v>
      </c>
      <c r="AO155" s="204">
        <v>2709</v>
      </c>
      <c r="AP155" s="204">
        <v>2684</v>
      </c>
      <c r="AQ155" s="204">
        <v>2717</v>
      </c>
      <c r="AR155" s="204">
        <v>2714</v>
      </c>
      <c r="AS155" s="204">
        <v>2998</v>
      </c>
      <c r="AT155" s="204">
        <v>2835</v>
      </c>
      <c r="AU155" s="204">
        <v>2738</v>
      </c>
      <c r="AV155" s="204">
        <v>3089</v>
      </c>
      <c r="AW155" s="204">
        <v>2852</v>
      </c>
      <c r="AX155" s="204">
        <v>3060</v>
      </c>
      <c r="AY155" s="204">
        <v>4192</v>
      </c>
    </row>
    <row r="156" spans="1:51" ht="15" customHeight="1" x14ac:dyDescent="0.25">
      <c r="A156" s="38" t="s">
        <v>355</v>
      </c>
      <c r="B156" s="63" t="s">
        <v>356</v>
      </c>
      <c r="C156" s="40" t="s">
        <v>357</v>
      </c>
      <c r="D156" s="204">
        <v>53154.993321151793</v>
      </c>
      <c r="E156" s="204">
        <v>46967.988949572173</v>
      </c>
      <c r="F156" s="204">
        <v>45463.093777929666</v>
      </c>
      <c r="G156" s="204">
        <v>48185.949535097046</v>
      </c>
      <c r="H156" s="204">
        <v>52161.606611110059</v>
      </c>
      <c r="I156" s="204">
        <v>49138.002368401008</v>
      </c>
      <c r="J156" s="204">
        <v>54982</v>
      </c>
      <c r="K156" s="204">
        <v>59646.859866080456</v>
      </c>
      <c r="L156" s="204">
        <v>54706.831051766618</v>
      </c>
      <c r="M156" s="204">
        <v>51549.574970316789</v>
      </c>
      <c r="N156" s="204">
        <v>52135.26037201337</v>
      </c>
      <c r="O156" s="204">
        <v>46696.263274731442</v>
      </c>
      <c r="P156" s="204">
        <v>45747.994267398884</v>
      </c>
      <c r="Q156" s="204">
        <v>43230.132824618006</v>
      </c>
      <c r="R156" s="204">
        <v>43600.006687086425</v>
      </c>
      <c r="S156" s="204">
        <v>51139.965377633183</v>
      </c>
      <c r="T156" s="204">
        <v>47345.996975794704</v>
      </c>
      <c r="U156" s="204">
        <v>46411.89408488389</v>
      </c>
      <c r="V156" s="204">
        <v>51710.497706636706</v>
      </c>
      <c r="W156" s="204">
        <v>48528.905409500352</v>
      </c>
      <c r="X156" s="204">
        <v>54438.471482035377</v>
      </c>
      <c r="Y156" s="204">
        <v>52935.700682876646</v>
      </c>
      <c r="Z156" s="204">
        <v>45876.916822593426</v>
      </c>
      <c r="AA156" s="204">
        <v>44147.86825117017</v>
      </c>
      <c r="AB156" s="204">
        <v>40728.729330824295</v>
      </c>
      <c r="AC156" s="204">
        <v>47414</v>
      </c>
      <c r="AD156" s="204">
        <v>36730</v>
      </c>
      <c r="AE156" s="204">
        <v>31230</v>
      </c>
      <c r="AF156" s="206">
        <v>29218.010772705002</v>
      </c>
      <c r="AG156" s="204">
        <v>36724</v>
      </c>
      <c r="AH156" s="204">
        <v>35184</v>
      </c>
      <c r="AI156" s="204">
        <v>37433</v>
      </c>
      <c r="AJ156" s="204">
        <v>39302</v>
      </c>
      <c r="AK156" s="204">
        <v>37143.942425236084</v>
      </c>
      <c r="AL156" s="204">
        <v>36590</v>
      </c>
      <c r="AM156" s="204">
        <v>31788</v>
      </c>
      <c r="AN156" s="204">
        <v>34405</v>
      </c>
      <c r="AO156" s="204">
        <v>32403</v>
      </c>
      <c r="AP156" s="204">
        <v>32894</v>
      </c>
      <c r="AQ156" s="204">
        <v>33703</v>
      </c>
      <c r="AR156" s="204">
        <v>33497</v>
      </c>
      <c r="AS156" s="204">
        <v>37723</v>
      </c>
      <c r="AT156" s="204">
        <v>38183</v>
      </c>
      <c r="AU156" s="204">
        <v>39821</v>
      </c>
      <c r="AV156" s="204">
        <v>47806</v>
      </c>
      <c r="AW156" s="204">
        <v>43098</v>
      </c>
      <c r="AX156" s="204">
        <v>40676</v>
      </c>
      <c r="AY156" s="204">
        <v>36555</v>
      </c>
    </row>
    <row r="157" spans="1:51" ht="15" customHeight="1" x14ac:dyDescent="0.25">
      <c r="A157" s="38" t="s">
        <v>358</v>
      </c>
      <c r="B157" s="1" t="s">
        <v>359</v>
      </c>
      <c r="C157" s="64" t="s">
        <v>360</v>
      </c>
      <c r="D157" s="204">
        <v>14295.972454274412</v>
      </c>
      <c r="E157" s="204">
        <v>13243.018133648684</v>
      </c>
      <c r="F157" s="204">
        <v>13021.999823967266</v>
      </c>
      <c r="G157" s="204">
        <v>12628.985893513493</v>
      </c>
      <c r="H157" s="204">
        <v>10698.398591457066</v>
      </c>
      <c r="I157" s="204">
        <v>9265.9581939711843</v>
      </c>
      <c r="J157" s="204">
        <v>9514</v>
      </c>
      <c r="K157" s="204">
        <v>10174.130815875424</v>
      </c>
      <c r="L157" s="204">
        <v>10987.953871945845</v>
      </c>
      <c r="M157" s="204">
        <v>11238.860708431137</v>
      </c>
      <c r="N157" s="204">
        <v>12661.790308749582</v>
      </c>
      <c r="O157" s="204">
        <v>11159.843838232384</v>
      </c>
      <c r="P157" s="204">
        <v>11003.027668110833</v>
      </c>
      <c r="Q157" s="204">
        <v>10935.987027635387</v>
      </c>
      <c r="R157" s="204">
        <v>10613.983463925295</v>
      </c>
      <c r="S157" s="204">
        <v>12115.00626750562</v>
      </c>
      <c r="T157" s="204">
        <v>10543.984062153309</v>
      </c>
      <c r="U157" s="204">
        <v>9915.0028474281717</v>
      </c>
      <c r="V157" s="204">
        <v>9996.986009157954</v>
      </c>
      <c r="W157" s="204">
        <v>8453.9856684233528</v>
      </c>
      <c r="X157" s="204">
        <v>9905.489627478797</v>
      </c>
      <c r="Y157" s="204">
        <v>10439.352604773752</v>
      </c>
      <c r="Z157" s="204">
        <v>10167.978541753273</v>
      </c>
      <c r="AA157" s="204">
        <v>9828.963338756701</v>
      </c>
      <c r="AB157" s="204">
        <v>9142.3179427465129</v>
      </c>
      <c r="AC157" s="204">
        <v>10238</v>
      </c>
      <c r="AD157" s="204">
        <v>7334</v>
      </c>
      <c r="AE157" s="204">
        <v>5213</v>
      </c>
      <c r="AF157" s="206">
        <v>5914.99</v>
      </c>
      <c r="AG157" s="204">
        <v>6263</v>
      </c>
      <c r="AH157" s="204">
        <v>6474.0000000000009</v>
      </c>
      <c r="AI157" s="204">
        <v>6158.0000000000009</v>
      </c>
      <c r="AJ157" s="204">
        <v>6630</v>
      </c>
      <c r="AK157" s="204">
        <v>6474.0093012051693</v>
      </c>
      <c r="AL157" s="204">
        <v>7150</v>
      </c>
      <c r="AM157" s="204">
        <v>6462</v>
      </c>
      <c r="AN157" s="204">
        <v>6808</v>
      </c>
      <c r="AO157" s="204">
        <v>4953</v>
      </c>
      <c r="AP157" s="204">
        <v>4943</v>
      </c>
      <c r="AQ157" s="204">
        <v>4950</v>
      </c>
      <c r="AR157" s="204">
        <v>5016</v>
      </c>
      <c r="AS157" s="204">
        <v>5528</v>
      </c>
      <c r="AT157" s="204">
        <v>5219</v>
      </c>
      <c r="AU157" s="204">
        <v>5526</v>
      </c>
      <c r="AV157" s="204">
        <v>7015</v>
      </c>
      <c r="AW157" s="204">
        <v>6638</v>
      </c>
      <c r="AX157" s="204">
        <v>6550</v>
      </c>
      <c r="AY157" s="204">
        <v>5662</v>
      </c>
    </row>
    <row r="158" spans="1:51" ht="15" customHeight="1" x14ac:dyDescent="0.25">
      <c r="A158" s="38" t="s">
        <v>304</v>
      </c>
      <c r="B158" s="63" t="s">
        <v>305</v>
      </c>
      <c r="C158" s="40" t="s">
        <v>306</v>
      </c>
      <c r="D158" s="204">
        <v>8191.996159830569</v>
      </c>
      <c r="E158" s="204">
        <v>7424.009840564132</v>
      </c>
      <c r="F158" s="204">
        <v>7413.3510309981202</v>
      </c>
      <c r="G158" s="204">
        <v>7424.0154882247725</v>
      </c>
      <c r="H158" s="204">
        <v>8192.0213493488463</v>
      </c>
      <c r="I158" s="204">
        <v>7397.3689710199942</v>
      </c>
      <c r="J158" s="204">
        <v>7680.0033483688876</v>
      </c>
      <c r="K158" s="204">
        <v>7935.9855151414404</v>
      </c>
      <c r="L158" s="204">
        <v>7679.9418020260036</v>
      </c>
      <c r="M158" s="204">
        <v>7679.9679144174997</v>
      </c>
      <c r="N158" s="204">
        <v>8458.5199173033398</v>
      </c>
      <c r="O158" s="204">
        <v>8438.7537872194516</v>
      </c>
      <c r="P158" s="204">
        <v>7680.0165941646474</v>
      </c>
      <c r="Q158" s="204">
        <v>7709.9999999999991</v>
      </c>
      <c r="R158" s="204">
        <v>7413.3560069320602</v>
      </c>
      <c r="S158" s="204">
        <v>7935.987351809812</v>
      </c>
      <c r="T158" s="204">
        <v>7679.991489189918</v>
      </c>
      <c r="U158" s="204">
        <v>7423.9554322265813</v>
      </c>
      <c r="V158" s="204">
        <v>8191.9723234101375</v>
      </c>
      <c r="W158" s="204">
        <v>7423.9705324824417</v>
      </c>
      <c r="X158" s="204">
        <v>7680.0128278521961</v>
      </c>
      <c r="Y158" s="204">
        <v>8191.9895360344062</v>
      </c>
      <c r="Z158" s="204">
        <v>7690.6845643460647</v>
      </c>
      <c r="AA158" s="204">
        <v>8703.9904363873047</v>
      </c>
      <c r="AB158" s="204">
        <v>7679.9998019816103</v>
      </c>
      <c r="AC158" s="204">
        <v>7799.9999999999991</v>
      </c>
      <c r="AD158" s="204">
        <v>7034</v>
      </c>
      <c r="AE158" s="204">
        <v>668</v>
      </c>
      <c r="AF158" s="206">
        <v>691</v>
      </c>
      <c r="AG158" s="204">
        <v>5751</v>
      </c>
      <c r="AH158" s="204">
        <v>6090.9999999999991</v>
      </c>
      <c r="AI158" s="204">
        <v>6520</v>
      </c>
      <c r="AJ158" s="204">
        <v>737</v>
      </c>
      <c r="AK158" s="204">
        <v>768.16035670873839</v>
      </c>
      <c r="AL158" s="204">
        <v>784</v>
      </c>
      <c r="AM158" s="204">
        <v>738</v>
      </c>
      <c r="AN158" s="204">
        <v>740</v>
      </c>
      <c r="AO158" s="204">
        <v>668</v>
      </c>
      <c r="AP158" s="204">
        <v>667</v>
      </c>
      <c r="AQ158" s="204">
        <v>668</v>
      </c>
      <c r="AR158" s="204">
        <v>668</v>
      </c>
      <c r="AS158" s="204">
        <v>737</v>
      </c>
      <c r="AT158" s="204">
        <v>691</v>
      </c>
      <c r="AU158" s="204">
        <v>668</v>
      </c>
      <c r="AV158" s="204">
        <v>737</v>
      </c>
      <c r="AW158" s="204">
        <v>691</v>
      </c>
      <c r="AX158" s="204">
        <v>715</v>
      </c>
      <c r="AY158" s="204">
        <v>691</v>
      </c>
    </row>
    <row r="159" spans="1:51" ht="15" customHeight="1" x14ac:dyDescent="0.25">
      <c r="A159" s="38" t="s">
        <v>307</v>
      </c>
      <c r="B159" s="1" t="s">
        <v>308</v>
      </c>
      <c r="C159" s="64" t="s">
        <v>309</v>
      </c>
      <c r="D159" s="204">
        <v>15552.026060366203</v>
      </c>
      <c r="E159" s="204">
        <v>15224.993011986962</v>
      </c>
      <c r="F159" s="204">
        <v>15361.643369318841</v>
      </c>
      <c r="G159" s="204">
        <v>14563.732521960845</v>
      </c>
      <c r="H159" s="204">
        <v>14671.366021041949</v>
      </c>
      <c r="I159" s="204">
        <v>16360.610660465483</v>
      </c>
      <c r="J159" s="204">
        <v>19536.023880777509</v>
      </c>
      <c r="K159" s="204">
        <v>21250.422188519042</v>
      </c>
      <c r="L159" s="204">
        <v>17845.199104210598</v>
      </c>
      <c r="M159" s="204">
        <v>17736.912977603672</v>
      </c>
      <c r="N159" s="204">
        <v>16366.827812076281</v>
      </c>
      <c r="O159" s="204">
        <v>15412.967022635736</v>
      </c>
      <c r="P159" s="204">
        <v>15699.021497267289</v>
      </c>
      <c r="Q159" s="204">
        <v>25233</v>
      </c>
      <c r="R159" s="204">
        <v>16801.640778676472</v>
      </c>
      <c r="S159" s="204">
        <v>15597.977701666079</v>
      </c>
      <c r="T159" s="204">
        <v>12782.97296058915</v>
      </c>
      <c r="U159" s="204">
        <v>14590.948364069336</v>
      </c>
      <c r="V159" s="204">
        <v>17338.634983944863</v>
      </c>
      <c r="W159" s="204">
        <v>15714.98597596981</v>
      </c>
      <c r="X159" s="204">
        <v>18381.002858835149</v>
      </c>
      <c r="Y159" s="204">
        <v>15847.011463847888</v>
      </c>
      <c r="Z159" s="204">
        <v>14127.31514106957</v>
      </c>
      <c r="AA159" s="204">
        <v>16040.611772681887</v>
      </c>
      <c r="AB159" s="204">
        <v>14476.044133423447</v>
      </c>
      <c r="AC159" s="204">
        <v>14881</v>
      </c>
      <c r="AD159" s="204">
        <v>13704</v>
      </c>
      <c r="AE159" s="204">
        <v>13612</v>
      </c>
      <c r="AF159" s="206">
        <v>16148.999999999998</v>
      </c>
      <c r="AG159" s="204">
        <v>18210</v>
      </c>
      <c r="AH159" s="204">
        <v>18032</v>
      </c>
      <c r="AI159" s="204">
        <v>19205</v>
      </c>
      <c r="AJ159" s="204">
        <v>19277</v>
      </c>
      <c r="AK159" s="204">
        <v>18255.282548488896</v>
      </c>
      <c r="AL159" s="204">
        <v>19109</v>
      </c>
      <c r="AM159" s="204">
        <v>17861</v>
      </c>
      <c r="AN159" s="204">
        <v>18594</v>
      </c>
      <c r="AO159" s="204">
        <v>17201</v>
      </c>
      <c r="AP159" s="204">
        <v>18772</v>
      </c>
      <c r="AQ159" s="204">
        <v>16184</v>
      </c>
      <c r="AR159" s="204">
        <v>16037</v>
      </c>
      <c r="AS159" s="204">
        <v>19549</v>
      </c>
      <c r="AT159" s="204">
        <v>20637</v>
      </c>
      <c r="AU159" s="204">
        <v>21665</v>
      </c>
      <c r="AV159" s="204">
        <v>22708</v>
      </c>
      <c r="AW159" s="204">
        <v>22285</v>
      </c>
      <c r="AX159" s="204">
        <v>23229</v>
      </c>
      <c r="AY159" s="204">
        <v>22986</v>
      </c>
    </row>
    <row r="160" spans="1:51" ht="15" customHeight="1" x14ac:dyDescent="0.25">
      <c r="A160" s="38" t="s">
        <v>379</v>
      </c>
      <c r="B160" s="1" t="s">
        <v>380</v>
      </c>
      <c r="C160" s="40" t="s">
        <v>381</v>
      </c>
      <c r="D160" s="204">
        <v>29241.015995632843</v>
      </c>
      <c r="E160" s="204">
        <v>29450.023029308148</v>
      </c>
      <c r="F160" s="204">
        <v>26350.009792332741</v>
      </c>
      <c r="G160" s="204">
        <v>29876.997140987838</v>
      </c>
      <c r="H160" s="204">
        <v>26737.000628067475</v>
      </c>
      <c r="I160" s="204">
        <v>21091.980320214003</v>
      </c>
      <c r="J160" s="204">
        <v>25319.003989369197</v>
      </c>
      <c r="K160" s="204">
        <v>33850.759425217184</v>
      </c>
      <c r="L160" s="204">
        <v>38928.126650764585</v>
      </c>
      <c r="M160" s="204">
        <v>38159.761063522361</v>
      </c>
      <c r="N160" s="204">
        <v>39347.450517322111</v>
      </c>
      <c r="O160" s="204">
        <v>29928.597756322783</v>
      </c>
      <c r="P160" s="204">
        <v>29756.029433666186</v>
      </c>
      <c r="Q160" s="204">
        <v>30115.031676962528</v>
      </c>
      <c r="R160" s="204">
        <v>29202.992270345025</v>
      </c>
      <c r="S160" s="204">
        <v>34711.972896730396</v>
      </c>
      <c r="T160" s="204">
        <v>25900.000614973847</v>
      </c>
      <c r="U160" s="204">
        <v>22536.934695680829</v>
      </c>
      <c r="V160" s="204">
        <v>26631.980094664985</v>
      </c>
      <c r="W160" s="204">
        <v>26728.957749184909</v>
      </c>
      <c r="X160" s="204">
        <v>40288.94904703927</v>
      </c>
      <c r="Y160" s="204">
        <v>37598.325614929345</v>
      </c>
      <c r="Z160" s="204">
        <v>31726.942616951175</v>
      </c>
      <c r="AA160" s="204">
        <v>26790.102151575473</v>
      </c>
      <c r="AB160" s="204">
        <v>23369.020987616932</v>
      </c>
      <c r="AC160" s="204">
        <v>28942</v>
      </c>
      <c r="AD160" s="204">
        <v>22892</v>
      </c>
      <c r="AE160" s="204">
        <v>18970</v>
      </c>
      <c r="AF160" s="206">
        <v>20700</v>
      </c>
      <c r="AG160" s="204">
        <v>21694</v>
      </c>
      <c r="AH160" s="204">
        <v>20964</v>
      </c>
      <c r="AI160" s="204">
        <v>21851</v>
      </c>
      <c r="AJ160" s="204">
        <v>19914</v>
      </c>
      <c r="AK160" s="204">
        <v>19981.17031591629</v>
      </c>
      <c r="AL160" s="204">
        <v>18485</v>
      </c>
      <c r="AM160" s="204">
        <v>12824</v>
      </c>
      <c r="AN160" s="204">
        <v>14079</v>
      </c>
      <c r="AO160" s="204">
        <v>12912</v>
      </c>
      <c r="AP160" s="204">
        <v>13098</v>
      </c>
      <c r="AQ160" s="204">
        <v>13055</v>
      </c>
      <c r="AR160" s="204">
        <v>13165</v>
      </c>
      <c r="AS160" s="204">
        <v>15052</v>
      </c>
      <c r="AT160" s="204">
        <v>16309</v>
      </c>
      <c r="AU160" s="204">
        <v>23528</v>
      </c>
      <c r="AV160" s="204">
        <v>36457</v>
      </c>
      <c r="AW160" s="204">
        <v>30345</v>
      </c>
      <c r="AX160" s="204">
        <v>28014</v>
      </c>
      <c r="AY160" s="204">
        <v>20595</v>
      </c>
    </row>
    <row r="161" spans="1:51" ht="15" customHeight="1" x14ac:dyDescent="0.25">
      <c r="A161" s="38" t="s">
        <v>248</v>
      </c>
      <c r="B161" s="1" t="s">
        <v>249</v>
      </c>
      <c r="C161" s="258" t="s">
        <v>250</v>
      </c>
      <c r="D161" s="204">
        <v>0</v>
      </c>
      <c r="E161" s="204">
        <v>0</v>
      </c>
      <c r="F161" s="204">
        <v>0</v>
      </c>
      <c r="G161" s="204">
        <v>0</v>
      </c>
      <c r="H161" s="204">
        <v>0</v>
      </c>
      <c r="I161" s="204">
        <v>0</v>
      </c>
      <c r="J161" s="204">
        <v>0</v>
      </c>
      <c r="K161" s="204">
        <v>0</v>
      </c>
      <c r="L161" s="204">
        <v>0</v>
      </c>
      <c r="M161" s="204">
        <v>0</v>
      </c>
      <c r="N161" s="204">
        <v>0</v>
      </c>
      <c r="O161" s="204">
        <v>0</v>
      </c>
      <c r="P161" s="204">
        <v>0</v>
      </c>
      <c r="Q161" s="204">
        <v>0</v>
      </c>
      <c r="R161" s="204">
        <v>0</v>
      </c>
      <c r="S161" s="204">
        <v>0</v>
      </c>
      <c r="T161" s="204">
        <v>0</v>
      </c>
      <c r="U161" s="204">
        <v>0</v>
      </c>
      <c r="V161" s="204">
        <v>0</v>
      </c>
      <c r="W161" s="204">
        <v>0</v>
      </c>
      <c r="X161" s="204">
        <v>0</v>
      </c>
      <c r="Y161" s="204">
        <v>0</v>
      </c>
      <c r="Z161" s="204">
        <v>0</v>
      </c>
      <c r="AA161" s="204">
        <v>0</v>
      </c>
      <c r="AB161" s="204">
        <v>0</v>
      </c>
      <c r="AC161" s="204">
        <v>0</v>
      </c>
      <c r="AD161" s="204">
        <v>0</v>
      </c>
      <c r="AE161" s="204">
        <v>0</v>
      </c>
      <c r="AF161" s="206">
        <v>0</v>
      </c>
      <c r="AG161" s="204">
        <v>0</v>
      </c>
      <c r="AH161" s="204">
        <v>0</v>
      </c>
      <c r="AI161" s="204">
        <v>0</v>
      </c>
      <c r="AJ161" s="204">
        <v>0</v>
      </c>
      <c r="AK161" s="204">
        <v>0</v>
      </c>
      <c r="AL161" s="204">
        <v>0</v>
      </c>
      <c r="AM161" s="204">
        <v>0</v>
      </c>
      <c r="AN161" s="204">
        <v>0</v>
      </c>
      <c r="AO161" s="204">
        <v>0</v>
      </c>
      <c r="AP161" s="204">
        <v>0</v>
      </c>
      <c r="AQ161" s="204">
        <v>0</v>
      </c>
      <c r="AR161" s="204">
        <v>0</v>
      </c>
      <c r="AS161" s="204">
        <v>0</v>
      </c>
      <c r="AT161" s="204">
        <v>0</v>
      </c>
      <c r="AU161" s="204">
        <v>0</v>
      </c>
      <c r="AV161" s="204">
        <v>0</v>
      </c>
      <c r="AW161" s="204">
        <v>0</v>
      </c>
      <c r="AX161" s="204">
        <v>0</v>
      </c>
      <c r="AY161" s="204">
        <v>0</v>
      </c>
    </row>
    <row r="162" spans="1:51" ht="15" customHeight="1" x14ac:dyDescent="0.25">
      <c r="A162" s="38" t="s">
        <v>341</v>
      </c>
      <c r="B162" s="1" t="s">
        <v>342</v>
      </c>
      <c r="C162" s="40" t="s">
        <v>343</v>
      </c>
      <c r="D162" s="204">
        <v>107840</v>
      </c>
      <c r="E162" s="204">
        <v>0</v>
      </c>
      <c r="F162" s="204">
        <v>112800</v>
      </c>
      <c r="G162" s="204">
        <v>51600</v>
      </c>
      <c r="H162" s="204">
        <v>50400</v>
      </c>
      <c r="I162" s="204">
        <v>54080</v>
      </c>
      <c r="J162" s="204">
        <v>0</v>
      </c>
      <c r="K162" s="204">
        <v>135120</v>
      </c>
      <c r="L162" s="204">
        <v>60160</v>
      </c>
      <c r="M162" s="204">
        <v>60960</v>
      </c>
      <c r="N162" s="204">
        <v>0</v>
      </c>
      <c r="O162" s="204">
        <v>111680</v>
      </c>
      <c r="P162" s="204">
        <v>56720</v>
      </c>
      <c r="Q162" s="204">
        <v>50800</v>
      </c>
      <c r="R162" s="204">
        <v>52720</v>
      </c>
      <c r="S162" s="204">
        <v>0</v>
      </c>
      <c r="T162" s="204">
        <v>100160</v>
      </c>
      <c r="U162" s="204">
        <v>55280</v>
      </c>
      <c r="V162" s="204">
        <v>60320</v>
      </c>
      <c r="W162" s="204">
        <v>58800</v>
      </c>
      <c r="X162" s="204">
        <v>0</v>
      </c>
      <c r="Y162" s="204">
        <v>0</v>
      </c>
      <c r="Z162" s="204">
        <v>0</v>
      </c>
      <c r="AA162" s="204">
        <v>0</v>
      </c>
      <c r="AB162" s="204">
        <v>0</v>
      </c>
      <c r="AC162" s="204">
        <v>0</v>
      </c>
      <c r="AD162" s="204">
        <v>0</v>
      </c>
      <c r="AE162" s="204">
        <v>0</v>
      </c>
      <c r="AF162" s="206">
        <v>0</v>
      </c>
      <c r="AG162" s="204">
        <v>0</v>
      </c>
      <c r="AH162" s="204">
        <v>0</v>
      </c>
      <c r="AI162" s="204">
        <v>0</v>
      </c>
      <c r="AJ162" s="204">
        <v>0</v>
      </c>
      <c r="AK162" s="204">
        <v>0</v>
      </c>
      <c r="AL162" s="204">
        <v>0</v>
      </c>
      <c r="AM162" s="204">
        <v>0</v>
      </c>
      <c r="AN162" s="204">
        <v>0</v>
      </c>
      <c r="AO162" s="204">
        <v>0</v>
      </c>
      <c r="AP162" s="204">
        <v>0</v>
      </c>
      <c r="AQ162" s="204">
        <v>0</v>
      </c>
      <c r="AR162" s="204">
        <v>0</v>
      </c>
      <c r="AS162" s="204">
        <v>0</v>
      </c>
      <c r="AT162" s="204">
        <v>1015120</v>
      </c>
      <c r="AU162" s="204">
        <v>47680</v>
      </c>
      <c r="AV162" s="204">
        <v>0</v>
      </c>
      <c r="AW162" s="204">
        <v>0</v>
      </c>
      <c r="AX162" s="204">
        <v>0</v>
      </c>
      <c r="AY162" s="204">
        <v>0</v>
      </c>
    </row>
    <row r="163" spans="1:51" ht="15" customHeight="1" x14ac:dyDescent="0.25">
      <c r="A163" s="38" t="s">
        <v>318</v>
      </c>
      <c r="B163" s="1" t="s">
        <v>319</v>
      </c>
      <c r="C163" s="258" t="s">
        <v>320</v>
      </c>
      <c r="D163" s="204">
        <v>0</v>
      </c>
      <c r="E163" s="204">
        <v>0</v>
      </c>
      <c r="F163" s="204">
        <v>0</v>
      </c>
      <c r="G163" s="204">
        <v>0</v>
      </c>
      <c r="H163" s="204">
        <v>0</v>
      </c>
      <c r="I163" s="204">
        <v>0</v>
      </c>
      <c r="J163" s="204">
        <v>0</v>
      </c>
      <c r="K163" s="204">
        <v>0</v>
      </c>
      <c r="L163" s="204">
        <v>0</v>
      </c>
      <c r="M163" s="204">
        <v>0</v>
      </c>
      <c r="N163" s="204">
        <v>0</v>
      </c>
      <c r="O163" s="204">
        <v>0</v>
      </c>
      <c r="P163" s="204">
        <v>0</v>
      </c>
      <c r="Q163" s="204">
        <v>0</v>
      </c>
      <c r="R163" s="204">
        <v>0</v>
      </c>
      <c r="S163" s="204">
        <v>0</v>
      </c>
      <c r="T163" s="204">
        <v>0</v>
      </c>
      <c r="U163" s="204">
        <v>0</v>
      </c>
      <c r="V163" s="204">
        <v>0</v>
      </c>
      <c r="W163" s="204">
        <v>0</v>
      </c>
      <c r="X163" s="204">
        <v>0</v>
      </c>
      <c r="Y163" s="204">
        <v>0</v>
      </c>
      <c r="Z163" s="204">
        <v>0</v>
      </c>
      <c r="AA163" s="204">
        <v>0</v>
      </c>
      <c r="AB163" s="204">
        <v>0</v>
      </c>
      <c r="AC163" s="204">
        <v>0</v>
      </c>
      <c r="AD163" s="204">
        <v>0</v>
      </c>
      <c r="AE163" s="204">
        <v>0</v>
      </c>
      <c r="AF163" s="206">
        <v>0</v>
      </c>
      <c r="AG163" s="204">
        <v>0</v>
      </c>
      <c r="AH163" s="204">
        <v>0</v>
      </c>
      <c r="AI163" s="204">
        <v>0</v>
      </c>
      <c r="AJ163" s="204">
        <v>0</v>
      </c>
      <c r="AK163" s="204">
        <v>0</v>
      </c>
      <c r="AL163" s="204">
        <v>0</v>
      </c>
      <c r="AM163" s="204">
        <v>0</v>
      </c>
      <c r="AN163" s="204">
        <v>0</v>
      </c>
      <c r="AO163" s="204">
        <v>0</v>
      </c>
      <c r="AP163" s="204">
        <v>0</v>
      </c>
      <c r="AQ163" s="204">
        <v>0</v>
      </c>
      <c r="AR163" s="204">
        <v>0</v>
      </c>
      <c r="AS163" s="204">
        <v>0</v>
      </c>
      <c r="AT163" s="204">
        <v>0</v>
      </c>
      <c r="AU163" s="204">
        <v>0</v>
      </c>
      <c r="AV163" s="204">
        <v>0</v>
      </c>
      <c r="AW163" s="204">
        <v>0</v>
      </c>
      <c r="AX163" s="204">
        <v>0</v>
      </c>
      <c r="AY163" s="204">
        <v>0</v>
      </c>
    </row>
    <row r="164" spans="1:51" ht="15" customHeight="1" x14ac:dyDescent="0.25">
      <c r="A164" s="38" t="s">
        <v>486</v>
      </c>
      <c r="B164" s="63" t="s">
        <v>487</v>
      </c>
      <c r="C164" s="40" t="s">
        <v>488</v>
      </c>
      <c r="D164" s="269">
        <v>40500.008112221243</v>
      </c>
      <c r="E164" s="269">
        <v>38650.994137420254</v>
      </c>
      <c r="F164" s="269">
        <v>39473.002845872114</v>
      </c>
      <c r="G164" s="269">
        <v>33917.003508057314</v>
      </c>
      <c r="H164" s="269">
        <v>34237.540929870076</v>
      </c>
      <c r="I164" s="269">
        <v>30758.460473275849</v>
      </c>
      <c r="J164" s="269">
        <v>30530.017291997909</v>
      </c>
      <c r="K164" s="269">
        <v>31720.994486672127</v>
      </c>
      <c r="L164" s="269">
        <v>32988.890029756731</v>
      </c>
      <c r="M164" s="269">
        <v>32927.770048577127</v>
      </c>
      <c r="N164" s="269">
        <v>35018.474843141033</v>
      </c>
      <c r="O164" s="269">
        <v>32770.798822230616</v>
      </c>
      <c r="P164" s="269">
        <v>31317.048938574429</v>
      </c>
      <c r="Q164" s="269">
        <v>31699.083431988136</v>
      </c>
      <c r="R164" s="269">
        <v>31552.029633650658</v>
      </c>
      <c r="S164" s="269">
        <v>34695.984785336579</v>
      </c>
      <c r="T164" s="269">
        <v>30975.975394697271</v>
      </c>
      <c r="U164" s="269">
        <v>29344.952117330726</v>
      </c>
      <c r="V164" s="269">
        <v>31502.997074025829</v>
      </c>
      <c r="W164" s="269">
        <v>29306.973450290174</v>
      </c>
      <c r="X164" s="269">
        <v>31334.952221110321</v>
      </c>
      <c r="Y164" s="269">
        <v>32560.01853519932</v>
      </c>
      <c r="Z164" s="269">
        <v>31083.984378511039</v>
      </c>
      <c r="AA164" s="269">
        <v>33274.923579689093</v>
      </c>
      <c r="AB164" s="269">
        <v>30598.045044097173</v>
      </c>
      <c r="AC164" s="269">
        <v>34155</v>
      </c>
      <c r="AD164" s="269">
        <v>28451</v>
      </c>
      <c r="AE164" s="269">
        <v>23831</v>
      </c>
      <c r="AF164" s="269">
        <v>26826</v>
      </c>
      <c r="AG164" s="269">
        <v>26113.000000000004</v>
      </c>
      <c r="AH164" s="269">
        <v>24184</v>
      </c>
      <c r="AI164" s="269">
        <v>29452</v>
      </c>
      <c r="AJ164" s="269">
        <v>24663</v>
      </c>
      <c r="AK164" s="269">
        <v>22151.103145955665</v>
      </c>
      <c r="AL164" s="269">
        <v>26647</v>
      </c>
      <c r="AM164" s="269">
        <v>22081</v>
      </c>
      <c r="AN164" s="269">
        <v>19461</v>
      </c>
      <c r="AO164" s="269">
        <v>17892</v>
      </c>
      <c r="AP164" s="269">
        <v>18137</v>
      </c>
      <c r="AQ164" s="269">
        <v>17453</v>
      </c>
      <c r="AR164" s="269">
        <v>17723</v>
      </c>
      <c r="AS164" s="269">
        <v>19943</v>
      </c>
      <c r="AT164" s="269">
        <v>18912</v>
      </c>
      <c r="AU164" s="269">
        <v>21178</v>
      </c>
      <c r="AV164" s="269">
        <v>26557</v>
      </c>
      <c r="AW164" s="269">
        <v>25557</v>
      </c>
      <c r="AX164" s="269">
        <v>29902</v>
      </c>
      <c r="AY164" s="269">
        <v>26495</v>
      </c>
    </row>
    <row r="165" spans="1:51" ht="15" customHeight="1" x14ac:dyDescent="0.25">
      <c r="A165" s="38" t="s">
        <v>486</v>
      </c>
      <c r="B165" s="63" t="s">
        <v>489</v>
      </c>
      <c r="C165" s="40" t="s">
        <v>490</v>
      </c>
      <c r="D165" s="269">
        <v>0</v>
      </c>
      <c r="E165" s="269">
        <v>0</v>
      </c>
      <c r="F165" s="269">
        <v>0</v>
      </c>
      <c r="G165" s="269">
        <v>0</v>
      </c>
      <c r="H165" s="269">
        <v>0</v>
      </c>
      <c r="I165" s="269">
        <v>0</v>
      </c>
      <c r="J165" s="269">
        <v>0</v>
      </c>
      <c r="K165" s="269">
        <v>0</v>
      </c>
      <c r="L165" s="269">
        <v>0</v>
      </c>
      <c r="M165" s="269">
        <v>0</v>
      </c>
      <c r="N165" s="269">
        <v>0</v>
      </c>
      <c r="O165" s="269">
        <v>0</v>
      </c>
      <c r="P165" s="269">
        <v>0</v>
      </c>
      <c r="Q165" s="269">
        <v>0</v>
      </c>
      <c r="R165" s="269">
        <v>0</v>
      </c>
      <c r="S165" s="269">
        <v>0</v>
      </c>
      <c r="T165" s="269">
        <v>0</v>
      </c>
      <c r="U165" s="269">
        <v>0</v>
      </c>
      <c r="V165" s="269">
        <v>0</v>
      </c>
      <c r="W165" s="269">
        <v>0</v>
      </c>
      <c r="X165" s="269">
        <v>0</v>
      </c>
      <c r="Y165" s="269">
        <v>0</v>
      </c>
      <c r="Z165" s="269">
        <v>0</v>
      </c>
      <c r="AA165" s="269">
        <v>0</v>
      </c>
      <c r="AB165" s="269">
        <v>0</v>
      </c>
      <c r="AC165" s="269">
        <v>0</v>
      </c>
      <c r="AD165" s="269">
        <v>0</v>
      </c>
      <c r="AE165" s="269">
        <v>0</v>
      </c>
      <c r="AF165" s="269">
        <v>0</v>
      </c>
      <c r="AG165" s="269">
        <v>0</v>
      </c>
      <c r="AH165" s="269">
        <v>0</v>
      </c>
      <c r="AI165" s="269">
        <v>0</v>
      </c>
      <c r="AJ165" s="269">
        <v>0</v>
      </c>
      <c r="AK165" s="269">
        <v>0</v>
      </c>
      <c r="AL165" s="269">
        <v>0</v>
      </c>
      <c r="AM165" s="269">
        <v>0</v>
      </c>
      <c r="AN165" s="269">
        <v>0</v>
      </c>
      <c r="AO165" s="269">
        <v>0</v>
      </c>
      <c r="AP165" s="269">
        <v>0</v>
      </c>
      <c r="AQ165" s="269">
        <v>0</v>
      </c>
      <c r="AR165" s="269">
        <v>0</v>
      </c>
      <c r="AS165" s="269">
        <v>0</v>
      </c>
      <c r="AT165" s="269">
        <v>0</v>
      </c>
      <c r="AU165" s="269">
        <v>0</v>
      </c>
      <c r="AV165" s="269">
        <v>0</v>
      </c>
      <c r="AW165" s="269">
        <v>0</v>
      </c>
      <c r="AX165" s="269">
        <v>0</v>
      </c>
      <c r="AY165" s="269">
        <v>0</v>
      </c>
    </row>
    <row r="166" spans="1:51" ht="15" customHeight="1" x14ac:dyDescent="0.25">
      <c r="A166" s="38" t="s">
        <v>193</v>
      </c>
      <c r="B166" s="1" t="s">
        <v>194</v>
      </c>
      <c r="C166" s="40" t="s">
        <v>195</v>
      </c>
      <c r="D166" s="204">
        <v>7603.0230122658859</v>
      </c>
      <c r="E166" s="204">
        <v>7488.9915375545343</v>
      </c>
      <c r="F166" s="204">
        <v>6942.9716055937661</v>
      </c>
      <c r="G166" s="204">
        <v>7295.9822399271925</v>
      </c>
      <c r="H166" s="204">
        <v>6396.9826619824789</v>
      </c>
      <c r="I166" s="204">
        <v>5285.0051956959242</v>
      </c>
      <c r="J166" s="204">
        <v>5378</v>
      </c>
      <c r="K166" s="204">
        <v>6165.9949409129385</v>
      </c>
      <c r="L166" s="204">
        <v>7251.9979381318099</v>
      </c>
      <c r="M166" s="204">
        <v>7520.9454352392304</v>
      </c>
      <c r="N166" s="204">
        <v>7957.8986288118349</v>
      </c>
      <c r="O166" s="204">
        <v>6295.8946147242641</v>
      </c>
      <c r="P166" s="204">
        <v>7375.0279878384972</v>
      </c>
      <c r="Q166" s="204">
        <v>7629.0001275044215</v>
      </c>
      <c r="R166" s="204">
        <v>6850.0184056015987</v>
      </c>
      <c r="S166" s="204">
        <v>7726.0022307898826</v>
      </c>
      <c r="T166" s="204">
        <v>5742.9759013494222</v>
      </c>
      <c r="U166" s="204">
        <v>4879.9715362592233</v>
      </c>
      <c r="V166" s="204">
        <v>5407.2358337444111</v>
      </c>
      <c r="W166" s="204">
        <v>5237</v>
      </c>
      <c r="X166" s="204">
        <v>7543.9825906340529</v>
      </c>
      <c r="Y166" s="204">
        <v>7907.0309219278461</v>
      </c>
      <c r="Z166" s="204">
        <v>7673.9669511523416</v>
      </c>
      <c r="AA166" s="204">
        <v>7187.7125503900879</v>
      </c>
      <c r="AB166" s="204">
        <v>7046.2342888846233</v>
      </c>
      <c r="AC166" s="204">
        <v>8327</v>
      </c>
      <c r="AD166" s="204">
        <v>6200</v>
      </c>
      <c r="AE166" s="204">
        <v>4714</v>
      </c>
      <c r="AF166" s="206">
        <v>4966</v>
      </c>
      <c r="AG166" s="204">
        <v>4933</v>
      </c>
      <c r="AH166" s="204">
        <v>4844</v>
      </c>
      <c r="AI166" s="204">
        <v>5204</v>
      </c>
      <c r="AJ166" s="204">
        <v>5794</v>
      </c>
      <c r="AK166" s="204">
        <v>5463.7464936421948</v>
      </c>
      <c r="AL166" s="204">
        <v>6113</v>
      </c>
      <c r="AM166" s="204">
        <v>2338</v>
      </c>
      <c r="AN166" s="204">
        <v>3479</v>
      </c>
      <c r="AO166" s="204">
        <v>3374</v>
      </c>
      <c r="AP166" s="204">
        <v>7651</v>
      </c>
      <c r="AQ166" s="204">
        <v>7882</v>
      </c>
      <c r="AR166" s="204">
        <v>5999</v>
      </c>
      <c r="AS166" s="204">
        <v>5353</v>
      </c>
      <c r="AT166" s="204">
        <v>5076</v>
      </c>
      <c r="AU166" s="204">
        <v>5237</v>
      </c>
      <c r="AV166" s="204">
        <v>7279</v>
      </c>
      <c r="AW166" s="204">
        <v>8318</v>
      </c>
      <c r="AX166" s="204">
        <v>9160</v>
      </c>
      <c r="AY166" s="204">
        <v>8402</v>
      </c>
    </row>
    <row r="167" spans="1:51" ht="15" customHeight="1" x14ac:dyDescent="0.25">
      <c r="A167" s="38" t="s">
        <v>445</v>
      </c>
      <c r="B167" s="1" t="s">
        <v>446</v>
      </c>
      <c r="C167" s="258" t="s">
        <v>447</v>
      </c>
      <c r="D167" s="204">
        <v>0</v>
      </c>
      <c r="E167" s="204">
        <v>0</v>
      </c>
      <c r="F167" s="204">
        <v>0</v>
      </c>
      <c r="G167" s="204">
        <v>0</v>
      </c>
      <c r="H167" s="204">
        <v>0</v>
      </c>
      <c r="I167" s="204">
        <v>0</v>
      </c>
      <c r="J167" s="204">
        <v>0</v>
      </c>
      <c r="K167" s="204">
        <v>0</v>
      </c>
      <c r="L167" s="204">
        <v>0</v>
      </c>
      <c r="M167" s="204">
        <v>0</v>
      </c>
      <c r="N167" s="204">
        <v>0</v>
      </c>
      <c r="O167" s="204">
        <v>0</v>
      </c>
      <c r="P167" s="204">
        <v>0</v>
      </c>
      <c r="Q167" s="204">
        <v>0</v>
      </c>
      <c r="R167" s="204">
        <v>0</v>
      </c>
      <c r="S167" s="204">
        <v>0</v>
      </c>
      <c r="T167" s="204">
        <v>0</v>
      </c>
      <c r="U167" s="204">
        <v>0</v>
      </c>
      <c r="V167" s="204">
        <v>0</v>
      </c>
      <c r="W167" s="204">
        <v>0</v>
      </c>
      <c r="X167" s="204">
        <v>0</v>
      </c>
      <c r="Y167" s="204">
        <v>0</v>
      </c>
      <c r="Z167" s="204">
        <v>0</v>
      </c>
      <c r="AA167" s="204">
        <v>0</v>
      </c>
      <c r="AB167" s="204">
        <v>0</v>
      </c>
      <c r="AC167" s="204">
        <v>0</v>
      </c>
      <c r="AD167" s="204">
        <v>0</v>
      </c>
      <c r="AE167" s="204">
        <v>0</v>
      </c>
      <c r="AF167" s="206">
        <v>0</v>
      </c>
      <c r="AG167" s="204">
        <v>0</v>
      </c>
      <c r="AH167" s="204">
        <v>0</v>
      </c>
      <c r="AI167" s="204">
        <v>0</v>
      </c>
      <c r="AJ167" s="204">
        <v>0</v>
      </c>
      <c r="AK167" s="204">
        <v>0</v>
      </c>
      <c r="AL167" s="204">
        <v>0</v>
      </c>
      <c r="AM167" s="204">
        <v>0</v>
      </c>
      <c r="AN167" s="204">
        <v>0</v>
      </c>
      <c r="AO167" s="204">
        <v>0</v>
      </c>
      <c r="AP167" s="204">
        <v>0</v>
      </c>
      <c r="AQ167" s="204">
        <v>0</v>
      </c>
      <c r="AR167" s="204">
        <v>0</v>
      </c>
      <c r="AS167" s="204">
        <v>0</v>
      </c>
      <c r="AT167" s="204">
        <v>0</v>
      </c>
      <c r="AU167" s="204">
        <v>0</v>
      </c>
      <c r="AV167" s="204">
        <v>0</v>
      </c>
      <c r="AW167" s="204">
        <v>0</v>
      </c>
      <c r="AX167" s="204">
        <v>0</v>
      </c>
      <c r="AY167" s="204">
        <v>0</v>
      </c>
    </row>
    <row r="168" spans="1:51" ht="15" customHeight="1" x14ac:dyDescent="0.25">
      <c r="A168" s="38" t="s">
        <v>281</v>
      </c>
      <c r="B168" s="1" t="s">
        <v>282</v>
      </c>
      <c r="C168" s="40" t="s">
        <v>283</v>
      </c>
      <c r="D168" s="204">
        <v>35029.694887071222</v>
      </c>
      <c r="E168" s="204">
        <v>36228.918958567963</v>
      </c>
      <c r="F168" s="204">
        <v>33478.036832935024</v>
      </c>
      <c r="G168" s="204">
        <v>32875.983041992193</v>
      </c>
      <c r="H168" s="204">
        <v>35676.010754807998</v>
      </c>
      <c r="I168" s="204">
        <v>35761.997830582673</v>
      </c>
      <c r="J168" s="204">
        <v>43249.024219063882</v>
      </c>
      <c r="K168" s="204">
        <v>43922.98848155966</v>
      </c>
      <c r="L168" s="204">
        <v>39345.867084523852</v>
      </c>
      <c r="M168" s="204">
        <v>38805.786098934579</v>
      </c>
      <c r="N168" s="204">
        <v>39963.406402722831</v>
      </c>
      <c r="O168" s="204">
        <v>33097.295700303977</v>
      </c>
      <c r="P168" s="204">
        <v>33250.047737852052</v>
      </c>
      <c r="Q168" s="204">
        <v>33890.03252346794</v>
      </c>
      <c r="R168" s="204">
        <v>30968.017452979992</v>
      </c>
      <c r="S168" s="204">
        <v>33501.987871617537</v>
      </c>
      <c r="T168" s="204">
        <v>29923.997674668866</v>
      </c>
      <c r="U168" s="204">
        <v>34218.913157336334</v>
      </c>
      <c r="V168" s="204">
        <v>43970.001811049209</v>
      </c>
      <c r="W168" s="204">
        <v>43494.912175730264</v>
      </c>
      <c r="X168" s="204">
        <v>49735.97253761741</v>
      </c>
      <c r="Y168" s="204">
        <v>44790.004485055077</v>
      </c>
      <c r="Z168" s="204">
        <v>37012.970359473911</v>
      </c>
      <c r="AA168" s="204">
        <v>39656.885714353535</v>
      </c>
      <c r="AB168" s="204">
        <v>33879.036485549441</v>
      </c>
      <c r="AC168" s="204">
        <v>38102</v>
      </c>
      <c r="AD168" s="204">
        <v>27352</v>
      </c>
      <c r="AE168" s="204">
        <v>22881</v>
      </c>
      <c r="AF168" s="206">
        <v>22209</v>
      </c>
      <c r="AG168" s="204">
        <v>17032</v>
      </c>
      <c r="AH168" s="204">
        <v>14867.999999999998</v>
      </c>
      <c r="AI168" s="204">
        <v>25496</v>
      </c>
      <c r="AJ168" s="204">
        <v>30641</v>
      </c>
      <c r="AK168" s="204">
        <v>27716.19882036572</v>
      </c>
      <c r="AL168" s="204">
        <v>26855</v>
      </c>
      <c r="AM168" s="204">
        <v>25077</v>
      </c>
      <c r="AN168" s="204">
        <v>28251</v>
      </c>
      <c r="AO168" s="204">
        <v>23340</v>
      </c>
      <c r="AP168" s="204">
        <v>24853</v>
      </c>
      <c r="AQ168" s="204">
        <v>23233</v>
      </c>
      <c r="AR168" s="204">
        <v>23321</v>
      </c>
      <c r="AS168" s="204">
        <v>29456</v>
      </c>
      <c r="AT168" s="204">
        <v>31169</v>
      </c>
      <c r="AU168" s="204">
        <v>34183</v>
      </c>
      <c r="AV168" s="204">
        <v>49140</v>
      </c>
      <c r="AW168" s="204">
        <v>25227</v>
      </c>
      <c r="AX168" s="204">
        <v>30085</v>
      </c>
      <c r="AY168" s="204">
        <v>26792</v>
      </c>
    </row>
    <row r="169" spans="1:51" ht="15" customHeight="1" x14ac:dyDescent="0.25">
      <c r="A169" s="137">
        <v>2910</v>
      </c>
      <c r="B169" s="134" t="s">
        <v>527</v>
      </c>
      <c r="C169" s="132" t="s">
        <v>528</v>
      </c>
      <c r="D169" s="204">
        <v>457455.8439217424</v>
      </c>
      <c r="E169" s="204">
        <v>428277.07615537354</v>
      </c>
      <c r="F169" s="204">
        <v>425544.1629883438</v>
      </c>
      <c r="G169" s="204">
        <v>423076.66722802888</v>
      </c>
      <c r="H169" s="204">
        <v>461507.25855814724</v>
      </c>
      <c r="I169" s="204">
        <v>419503.97765868017</v>
      </c>
      <c r="J169" s="204">
        <v>430916.25429158786</v>
      </c>
      <c r="K169" s="204">
        <v>449943.79827332363</v>
      </c>
      <c r="L169" s="204">
        <v>436442.36087374942</v>
      </c>
      <c r="M169" s="204">
        <v>435274.93666694174</v>
      </c>
      <c r="N169" s="204">
        <v>474599.54073369532</v>
      </c>
      <c r="O169" s="204">
        <v>467736.07107455219</v>
      </c>
      <c r="P169" s="204">
        <v>427564.29858059163</v>
      </c>
      <c r="Q169" s="204">
        <v>411432.72307126399</v>
      </c>
      <c r="R169" s="204">
        <v>414260.12109497219</v>
      </c>
      <c r="S169" s="204">
        <v>447291.96304507001</v>
      </c>
      <c r="T169" s="204">
        <v>430720.04279267433</v>
      </c>
      <c r="U169" s="204">
        <v>418379.00921667542</v>
      </c>
      <c r="V169" s="204">
        <v>461895.84367788519</v>
      </c>
      <c r="W169" s="204">
        <v>421699.26346948405</v>
      </c>
      <c r="X169" s="204">
        <v>437215.61489550344</v>
      </c>
      <c r="Y169" s="204">
        <v>464232.22922689468</v>
      </c>
      <c r="Z169" s="204">
        <v>437871.39448997664</v>
      </c>
      <c r="AA169" s="204">
        <v>480630.64364043967</v>
      </c>
      <c r="AB169" s="204">
        <v>425160.62392101623</v>
      </c>
      <c r="AC169" s="204">
        <v>464312.00000000006</v>
      </c>
      <c r="AD169" s="204">
        <v>405648.00000000006</v>
      </c>
      <c r="AE169" s="204">
        <v>364350</v>
      </c>
      <c r="AF169" s="206">
        <v>391300</v>
      </c>
      <c r="AG169" s="204">
        <v>408552</v>
      </c>
      <c r="AH169" s="204">
        <v>401143</v>
      </c>
      <c r="AI169" s="204">
        <v>390241</v>
      </c>
      <c r="AJ169" s="204">
        <v>455668</v>
      </c>
      <c r="AK169" s="204">
        <v>430523.25325372827</v>
      </c>
      <c r="AL169" s="204">
        <v>477368</v>
      </c>
      <c r="AM169" s="204">
        <v>425217</v>
      </c>
      <c r="AN169" s="204">
        <v>454904</v>
      </c>
      <c r="AO169" s="204">
        <v>413932</v>
      </c>
      <c r="AP169" s="204">
        <v>410572</v>
      </c>
      <c r="AQ169" s="204">
        <v>404864</v>
      </c>
      <c r="AR169" s="204">
        <v>399508</v>
      </c>
      <c r="AS169" s="204">
        <v>446788</v>
      </c>
      <c r="AT169" s="204">
        <v>427756</v>
      </c>
      <c r="AU169" s="204">
        <v>411300</v>
      </c>
      <c r="AV169" s="204">
        <v>450716</v>
      </c>
      <c r="AW169" s="204">
        <v>421564</v>
      </c>
      <c r="AX169" s="204">
        <v>436424</v>
      </c>
      <c r="AY169" s="204">
        <v>414608</v>
      </c>
    </row>
    <row r="170" spans="1:51" ht="15" customHeight="1" x14ac:dyDescent="0.25">
      <c r="A170" s="137">
        <v>2900</v>
      </c>
      <c r="B170" s="102" t="s">
        <v>525</v>
      </c>
      <c r="C170" s="40" t="s">
        <v>526</v>
      </c>
      <c r="D170" s="204">
        <v>314789.67213352059</v>
      </c>
      <c r="E170" s="204">
        <v>291816.96976129024</v>
      </c>
      <c r="F170" s="204">
        <v>289812.09526069404</v>
      </c>
      <c r="G170" s="204">
        <v>294012.88650481665</v>
      </c>
      <c r="H170" s="204">
        <v>314616.0135937804</v>
      </c>
      <c r="I170" s="204">
        <v>278341.63608254661</v>
      </c>
      <c r="J170" s="204">
        <v>296694.17090095003</v>
      </c>
      <c r="K170" s="204">
        <v>307300.89183054591</v>
      </c>
      <c r="L170" s="204">
        <v>305369.81760263431</v>
      </c>
      <c r="M170" s="204">
        <v>304656.17430960975</v>
      </c>
      <c r="N170" s="204">
        <v>329277.1943963861</v>
      </c>
      <c r="O170" s="204">
        <v>333153.31878595013</v>
      </c>
      <c r="P170" s="204">
        <v>314429.19041803933</v>
      </c>
      <c r="Q170" s="204">
        <v>302468.55506566569</v>
      </c>
      <c r="R170" s="204">
        <v>302867.09629477735</v>
      </c>
      <c r="S170" s="204">
        <v>319782.97081643291</v>
      </c>
      <c r="T170" s="204">
        <v>312099.01175035612</v>
      </c>
      <c r="U170" s="204">
        <v>303547.26516371226</v>
      </c>
      <c r="V170" s="204">
        <v>341459.90704949113</v>
      </c>
      <c r="W170" s="204">
        <v>301828.49073483492</v>
      </c>
      <c r="X170" s="204">
        <v>321867.72460633452</v>
      </c>
      <c r="Y170" s="204">
        <v>332966.15191010607</v>
      </c>
      <c r="Z170" s="204">
        <v>308575.56831449567</v>
      </c>
      <c r="AA170" s="204">
        <v>315632.07251026318</v>
      </c>
      <c r="AB170" s="204">
        <v>288880.43938677252</v>
      </c>
      <c r="AC170" s="204">
        <v>323121</v>
      </c>
      <c r="AD170" s="204">
        <v>274351</v>
      </c>
      <c r="AE170" s="204">
        <v>231094</v>
      </c>
      <c r="AF170" s="206">
        <v>263923</v>
      </c>
      <c r="AG170" s="204">
        <v>273571</v>
      </c>
      <c r="AH170" s="204">
        <v>278529</v>
      </c>
      <c r="AI170" s="204">
        <v>269293</v>
      </c>
      <c r="AJ170" s="204">
        <v>312074</v>
      </c>
      <c r="AK170" s="204">
        <v>301365.60212388344</v>
      </c>
      <c r="AL170" s="204">
        <v>325553</v>
      </c>
      <c r="AM170" s="204">
        <v>274637</v>
      </c>
      <c r="AN170" s="204">
        <v>299998</v>
      </c>
      <c r="AO170" s="204">
        <v>269153</v>
      </c>
      <c r="AP170" s="204">
        <v>248359</v>
      </c>
      <c r="AQ170" s="204">
        <v>244249</v>
      </c>
      <c r="AR170" s="204">
        <v>246685</v>
      </c>
      <c r="AS170" s="204">
        <v>274876</v>
      </c>
      <c r="AT170" s="204">
        <v>263011</v>
      </c>
      <c r="AU170" s="204">
        <v>296047</v>
      </c>
      <c r="AV170" s="204">
        <v>333937</v>
      </c>
      <c r="AW170" s="204">
        <v>260095</v>
      </c>
      <c r="AX170" s="204">
        <v>268027</v>
      </c>
      <c r="AY170" s="204">
        <v>258780</v>
      </c>
    </row>
    <row r="171" spans="1:51" ht="15" customHeight="1" x14ac:dyDescent="0.25">
      <c r="A171" s="38" t="s">
        <v>405</v>
      </c>
      <c r="B171" s="1" t="s">
        <v>406</v>
      </c>
      <c r="C171" s="40" t="s">
        <v>407</v>
      </c>
      <c r="D171" s="204">
        <v>80480</v>
      </c>
      <c r="E171" s="204">
        <v>82320</v>
      </c>
      <c r="F171" s="204">
        <v>86560</v>
      </c>
      <c r="G171" s="204">
        <v>93280</v>
      </c>
      <c r="H171" s="204">
        <v>89680</v>
      </c>
      <c r="I171" s="204">
        <v>0</v>
      </c>
      <c r="J171" s="204">
        <v>0</v>
      </c>
      <c r="K171" s="204">
        <v>355840</v>
      </c>
      <c r="L171" s="204">
        <v>129440</v>
      </c>
      <c r="M171" s="204">
        <v>116320</v>
      </c>
      <c r="N171" s="204">
        <v>105680</v>
      </c>
      <c r="O171" s="204">
        <v>0</v>
      </c>
      <c r="P171" s="204">
        <v>147920</v>
      </c>
      <c r="Q171" s="204">
        <v>0</v>
      </c>
      <c r="R171" s="204">
        <v>0</v>
      </c>
      <c r="S171" s="204">
        <v>237280</v>
      </c>
      <c r="T171" s="204">
        <v>68096</v>
      </c>
      <c r="U171" s="204">
        <v>74240</v>
      </c>
      <c r="V171" s="204">
        <v>85632</v>
      </c>
      <c r="W171" s="204">
        <v>80832</v>
      </c>
      <c r="X171" s="204">
        <v>97088</v>
      </c>
      <c r="Y171" s="204">
        <v>86656</v>
      </c>
      <c r="Z171" s="204">
        <v>74880</v>
      </c>
      <c r="AA171" s="204">
        <v>0</v>
      </c>
      <c r="AB171" s="204">
        <v>107456</v>
      </c>
      <c r="AC171" s="204">
        <v>67904</v>
      </c>
      <c r="AD171" s="204">
        <v>0</v>
      </c>
      <c r="AE171" s="204">
        <v>0</v>
      </c>
      <c r="AF171" s="206">
        <v>0</v>
      </c>
      <c r="AG171" s="204">
        <v>0</v>
      </c>
      <c r="AH171" s="204">
        <v>266880</v>
      </c>
      <c r="AI171" s="204">
        <v>0</v>
      </c>
      <c r="AJ171" s="204">
        <v>0</v>
      </c>
      <c r="AK171" s="204">
        <v>207021.97985547912</v>
      </c>
      <c r="AL171" s="204">
        <v>0</v>
      </c>
      <c r="AM171" s="204">
        <v>0</v>
      </c>
      <c r="AN171" s="204">
        <v>103936</v>
      </c>
      <c r="AO171" s="204">
        <v>28800</v>
      </c>
      <c r="AP171" s="204">
        <v>31552</v>
      </c>
      <c r="AQ171" s="204">
        <v>38464</v>
      </c>
      <c r="AR171" s="204">
        <v>42112</v>
      </c>
      <c r="AS171" s="204">
        <v>0</v>
      </c>
      <c r="AT171" s="204">
        <v>0</v>
      </c>
      <c r="AU171" s="204">
        <v>198016</v>
      </c>
      <c r="AV171" s="204">
        <v>99328</v>
      </c>
      <c r="AW171" s="204">
        <v>0</v>
      </c>
      <c r="AX171" s="204">
        <v>0</v>
      </c>
      <c r="AY171" s="204">
        <v>0</v>
      </c>
    </row>
    <row r="172" spans="1:51" ht="15" customHeight="1" x14ac:dyDescent="0.25">
      <c r="A172" s="38" t="s">
        <v>184</v>
      </c>
      <c r="B172" s="1" t="s">
        <v>185</v>
      </c>
      <c r="C172" s="40" t="s">
        <v>186</v>
      </c>
      <c r="D172" s="204">
        <v>36413.948537287513</v>
      </c>
      <c r="E172" s="204">
        <v>45457.64473644457</v>
      </c>
      <c r="F172" s="204">
        <v>80144.023878155742</v>
      </c>
      <c r="G172" s="204">
        <v>74822.999695208782</v>
      </c>
      <c r="H172" s="204">
        <v>80781.005631018517</v>
      </c>
      <c r="I172" s="204">
        <v>71398.228193771356</v>
      </c>
      <c r="J172" s="204">
        <v>72384.018068593592</v>
      </c>
      <c r="K172" s="204">
        <v>77731.727811045494</v>
      </c>
      <c r="L172" s="204">
        <v>75910.699255508094</v>
      </c>
      <c r="M172" s="204">
        <v>75576.569104323848</v>
      </c>
      <c r="N172" s="204">
        <v>79469.874102704518</v>
      </c>
      <c r="O172" s="204">
        <v>78315.992476157509</v>
      </c>
      <c r="P172" s="204">
        <v>72233.050566369478</v>
      </c>
      <c r="Q172" s="204">
        <v>71992.131389448579</v>
      </c>
      <c r="R172" s="204">
        <v>73397.020732710633</v>
      </c>
      <c r="S172" s="204">
        <v>82499.011404253964</v>
      </c>
      <c r="T172" s="204">
        <v>78101.019134924049</v>
      </c>
      <c r="U172" s="204">
        <v>75159.601386408336</v>
      </c>
      <c r="V172" s="204">
        <v>82385.249064222284</v>
      </c>
      <c r="W172" s="204">
        <v>77485.844805235334</v>
      </c>
      <c r="X172" s="204">
        <v>76445.951990155212</v>
      </c>
      <c r="Y172" s="204">
        <v>79300.020157945182</v>
      </c>
      <c r="Z172" s="204">
        <v>76039.917987843277</v>
      </c>
      <c r="AA172" s="204">
        <v>85024.776259983657</v>
      </c>
      <c r="AB172" s="204">
        <v>76990.144651123002</v>
      </c>
      <c r="AC172" s="204">
        <v>83083</v>
      </c>
      <c r="AD172" s="204">
        <v>71861</v>
      </c>
      <c r="AE172" s="204">
        <v>38242</v>
      </c>
      <c r="AF172" s="206">
        <v>26103</v>
      </c>
      <c r="AG172" s="204">
        <v>24447</v>
      </c>
      <c r="AH172" s="204">
        <v>23047</v>
      </c>
      <c r="AI172" s="204">
        <v>22105</v>
      </c>
      <c r="AJ172" s="204">
        <v>25182</v>
      </c>
      <c r="AK172" s="204">
        <v>23706.771201248459</v>
      </c>
      <c r="AL172" s="204">
        <v>24366</v>
      </c>
      <c r="AM172" s="204">
        <v>18069</v>
      </c>
      <c r="AN172" s="204">
        <v>20150</v>
      </c>
      <c r="AO172" s="204">
        <v>21542</v>
      </c>
      <c r="AP172" s="204">
        <v>20745</v>
      </c>
      <c r="AQ172" s="204">
        <v>19364</v>
      </c>
      <c r="AR172" s="204">
        <v>18435</v>
      </c>
      <c r="AS172" s="204">
        <v>20606</v>
      </c>
      <c r="AT172" s="204">
        <v>24318</v>
      </c>
      <c r="AU172" s="204">
        <v>24532</v>
      </c>
      <c r="AV172" s="204">
        <v>27264</v>
      </c>
      <c r="AW172" s="204">
        <v>27001</v>
      </c>
      <c r="AX172" s="204">
        <v>31072</v>
      </c>
      <c r="AY172" s="204">
        <v>25973</v>
      </c>
    </row>
    <row r="173" spans="1:51" ht="15" customHeight="1" x14ac:dyDescent="0.25">
      <c r="A173" s="62">
        <v>2940</v>
      </c>
      <c r="B173" s="207" t="s">
        <v>533</v>
      </c>
      <c r="C173" s="126" t="s">
        <v>534</v>
      </c>
      <c r="D173" s="204">
        <v>116821.99005225813</v>
      </c>
      <c r="E173" s="204">
        <v>124552.02825987153</v>
      </c>
      <c r="F173" s="204">
        <v>119705.04169774499</v>
      </c>
      <c r="G173" s="204">
        <v>124303.92539237594</v>
      </c>
      <c r="H173" s="204">
        <v>116331.00784184369</v>
      </c>
      <c r="I173" s="204">
        <v>101940.01386279055</v>
      </c>
      <c r="J173" s="204">
        <v>110853.04254562288</v>
      </c>
      <c r="K173" s="204">
        <v>111481.97807356231</v>
      </c>
      <c r="L173" s="204">
        <v>123119.5096625367</v>
      </c>
      <c r="M173" s="204">
        <v>124979.24973574591</v>
      </c>
      <c r="N173" s="204">
        <v>128554.14155746055</v>
      </c>
      <c r="O173" s="204">
        <v>108676.93050376094</v>
      </c>
      <c r="P173" s="204">
        <v>117373.08505547697</v>
      </c>
      <c r="Q173" s="204">
        <v>119137.21359808314</v>
      </c>
      <c r="R173" s="204">
        <v>114164.01424098562</v>
      </c>
      <c r="S173" s="204">
        <v>124993.98504042359</v>
      </c>
      <c r="T173" s="204">
        <v>107776.99855256155</v>
      </c>
      <c r="U173" s="204">
        <v>101571.76218498065</v>
      </c>
      <c r="V173" s="204">
        <v>112781.967210453</v>
      </c>
      <c r="W173" s="204">
        <v>98342.839164060715</v>
      </c>
      <c r="X173" s="204">
        <v>116277.92791509257</v>
      </c>
      <c r="Y173" s="204">
        <v>123768.07817838735</v>
      </c>
      <c r="Z173" s="204">
        <v>117239.86408378008</v>
      </c>
      <c r="AA173" s="204">
        <v>112529.68686479764</v>
      </c>
      <c r="AB173" s="204">
        <v>102076.1444464337</v>
      </c>
      <c r="AC173" s="204">
        <v>123956</v>
      </c>
      <c r="AD173" s="204">
        <v>92296</v>
      </c>
      <c r="AE173" s="204">
        <v>72900</v>
      </c>
      <c r="AF173" s="206">
        <v>81966</v>
      </c>
      <c r="AG173" s="204">
        <v>80102</v>
      </c>
      <c r="AH173" s="204">
        <v>84688</v>
      </c>
      <c r="AI173" s="204">
        <v>83749</v>
      </c>
      <c r="AJ173" s="204">
        <v>93314</v>
      </c>
      <c r="AK173" s="204">
        <v>87234.758443807252</v>
      </c>
      <c r="AL173" s="204">
        <v>95372</v>
      </c>
      <c r="AM173" s="204">
        <v>72781</v>
      </c>
      <c r="AN173" s="204">
        <v>86191</v>
      </c>
      <c r="AO173" s="204">
        <v>73098</v>
      </c>
      <c r="AP173" s="204">
        <v>69023</v>
      </c>
      <c r="AQ173" s="204">
        <v>106932</v>
      </c>
      <c r="AR173" s="204">
        <v>71197</v>
      </c>
      <c r="AS173" s="204">
        <v>79474</v>
      </c>
      <c r="AT173" s="204">
        <v>74715</v>
      </c>
      <c r="AU173" s="204">
        <v>98346</v>
      </c>
      <c r="AV173" s="204">
        <v>117193</v>
      </c>
      <c r="AW173" s="204">
        <v>152196</v>
      </c>
      <c r="AX173" s="204">
        <v>98850</v>
      </c>
      <c r="AY173" s="204">
        <v>79605</v>
      </c>
    </row>
    <row r="174" spans="1:51" ht="15" customHeight="1" x14ac:dyDescent="0.25">
      <c r="A174" s="62">
        <v>3120</v>
      </c>
      <c r="B174" s="207" t="s">
        <v>543</v>
      </c>
      <c r="C174" s="40" t="s">
        <v>544</v>
      </c>
      <c r="D174" s="204">
        <v>29894.422672138349</v>
      </c>
      <c r="E174" s="204">
        <v>31525.992839378727</v>
      </c>
      <c r="F174" s="204">
        <v>31707.262522648805</v>
      </c>
      <c r="G174" s="204">
        <v>32904.742700033275</v>
      </c>
      <c r="H174" s="204">
        <v>32034.023990459908</v>
      </c>
      <c r="I174" s="204">
        <v>24776.991750992627</v>
      </c>
      <c r="J174" s="204">
        <v>27157.031910795504</v>
      </c>
      <c r="K174" s="204">
        <v>26183.968932585231</v>
      </c>
      <c r="L174" s="204">
        <v>26595.900868631048</v>
      </c>
      <c r="M174" s="204">
        <v>28192.837868549108</v>
      </c>
      <c r="N174" s="204">
        <v>30632.554675881063</v>
      </c>
      <c r="O174" s="204">
        <v>27678.44113141195</v>
      </c>
      <c r="P174" s="204">
        <v>25870.035500416005</v>
      </c>
      <c r="Q174" s="204">
        <v>27897.039675697273</v>
      </c>
      <c r="R174" s="204">
        <v>26984.020056029811</v>
      </c>
      <c r="S174" s="204">
        <v>32264.008792725912</v>
      </c>
      <c r="T174" s="204">
        <v>25554.979921102593</v>
      </c>
      <c r="U174" s="204">
        <v>22569.964853991973</v>
      </c>
      <c r="V174" s="204">
        <v>25251.01305130035</v>
      </c>
      <c r="W174" s="204">
        <v>21775.962341495961</v>
      </c>
      <c r="X174" s="204">
        <v>26481.990563086427</v>
      </c>
      <c r="Y174" s="204">
        <v>28769.992884978194</v>
      </c>
      <c r="Z174" s="204">
        <v>28892.986808236761</v>
      </c>
      <c r="AA174" s="204">
        <v>28294.925515580035</v>
      </c>
      <c r="AB174" s="204">
        <v>24691.049396533686</v>
      </c>
      <c r="AC174" s="204">
        <v>30404</v>
      </c>
      <c r="AD174" s="204">
        <v>21463</v>
      </c>
      <c r="AE174" s="204">
        <v>15081</v>
      </c>
      <c r="AF174" s="206">
        <v>16826</v>
      </c>
      <c r="AG174" s="204">
        <v>16186</v>
      </c>
      <c r="AH174" s="204">
        <v>17103</v>
      </c>
      <c r="AI174" s="204">
        <v>18771</v>
      </c>
      <c r="AJ174" s="204">
        <v>25785</v>
      </c>
      <c r="AK174" s="204">
        <v>24747.909509810772</v>
      </c>
      <c r="AL174" s="204">
        <v>23239</v>
      </c>
      <c r="AM174" s="204">
        <v>18330</v>
      </c>
      <c r="AN174" s="204">
        <v>19627</v>
      </c>
      <c r="AO174" s="204">
        <v>20232</v>
      </c>
      <c r="AP174" s="204">
        <v>18366</v>
      </c>
      <c r="AQ174" s="204">
        <v>15776</v>
      </c>
      <c r="AR174" s="204">
        <v>16518</v>
      </c>
      <c r="AS174" s="204">
        <v>18503</v>
      </c>
      <c r="AT174" s="204">
        <v>17280</v>
      </c>
      <c r="AU174" s="204">
        <v>21829</v>
      </c>
      <c r="AV174" s="204">
        <v>27498</v>
      </c>
      <c r="AW174" s="204">
        <v>32117</v>
      </c>
      <c r="AX174" s="204">
        <v>33910</v>
      </c>
      <c r="AY174" s="204">
        <v>27630</v>
      </c>
    </row>
    <row r="175" spans="1:51" ht="15" customHeight="1" x14ac:dyDescent="0.25">
      <c r="A175" s="62">
        <v>3130</v>
      </c>
      <c r="B175" s="215" t="s">
        <v>545</v>
      </c>
      <c r="C175" s="40" t="s">
        <v>546</v>
      </c>
      <c r="D175" s="204">
        <v>7723.0187871774224</v>
      </c>
      <c r="E175" s="204">
        <v>10687.998749027041</v>
      </c>
      <c r="F175" s="204">
        <v>7681.0193230734558</v>
      </c>
      <c r="G175" s="204">
        <v>8096.9651013787679</v>
      </c>
      <c r="H175" s="204">
        <v>7469.0215068243415</v>
      </c>
      <c r="I175" s="204">
        <v>6991.9813753357357</v>
      </c>
      <c r="J175" s="204">
        <v>7793.0177539496217</v>
      </c>
      <c r="K175" s="204">
        <v>7642.0264880871055</v>
      </c>
      <c r="L175" s="204">
        <v>9338.9595217874903</v>
      </c>
      <c r="M175" s="204">
        <v>10752.948592054414</v>
      </c>
      <c r="N175" s="204">
        <v>9120.8610520332168</v>
      </c>
      <c r="O175" s="204">
        <v>6446.6320859891566</v>
      </c>
      <c r="P175" s="204">
        <v>8750.9775582854036</v>
      </c>
      <c r="Q175" s="204">
        <v>10169.021702188533</v>
      </c>
      <c r="R175" s="204">
        <v>8633.9903208883952</v>
      </c>
      <c r="S175" s="204">
        <v>9019.9694172390427</v>
      </c>
      <c r="T175" s="204">
        <v>6336.0148522520458</v>
      </c>
      <c r="U175" s="204">
        <v>5457.9717356204419</v>
      </c>
      <c r="V175" s="204">
        <v>7355.9213834708553</v>
      </c>
      <c r="W175" s="204">
        <v>7038.0397140958339</v>
      </c>
      <c r="X175" s="204">
        <v>9134.9833976423652</v>
      </c>
      <c r="Y175" s="204">
        <v>10448.014316601184</v>
      </c>
      <c r="Z175" s="204">
        <v>9572.9596610080262</v>
      </c>
      <c r="AA175" s="204">
        <v>8007.9835975306651</v>
      </c>
      <c r="AB175" s="204">
        <v>8382.070965074854</v>
      </c>
      <c r="AC175" s="204">
        <v>12173</v>
      </c>
      <c r="AD175" s="204">
        <v>7097.0000000000009</v>
      </c>
      <c r="AE175" s="204">
        <v>3933</v>
      </c>
      <c r="AF175" s="206">
        <v>4382</v>
      </c>
      <c r="AG175" s="204">
        <v>4242</v>
      </c>
      <c r="AH175" s="204">
        <v>5862.9999999999991</v>
      </c>
      <c r="AI175" s="204">
        <v>5283</v>
      </c>
      <c r="AJ175" s="204">
        <v>6298</v>
      </c>
      <c r="AK175" s="204">
        <v>5897.6936757679632</v>
      </c>
      <c r="AL175" s="204">
        <v>6170</v>
      </c>
      <c r="AM175" s="204">
        <v>4714</v>
      </c>
      <c r="AN175" s="204">
        <v>6066</v>
      </c>
      <c r="AO175" s="204">
        <v>6328</v>
      </c>
      <c r="AP175" s="204">
        <v>6419</v>
      </c>
      <c r="AQ175" s="204">
        <v>6587</v>
      </c>
      <c r="AR175" s="204">
        <v>5098</v>
      </c>
      <c r="AS175" s="204">
        <v>6192</v>
      </c>
      <c r="AT175" s="204">
        <v>5600</v>
      </c>
      <c r="AU175" s="204">
        <v>7038</v>
      </c>
      <c r="AV175" s="204">
        <v>9564</v>
      </c>
      <c r="AW175" s="204">
        <v>12299</v>
      </c>
      <c r="AX175" s="204">
        <v>8727</v>
      </c>
      <c r="AY175" s="204">
        <v>7228</v>
      </c>
    </row>
    <row r="176" spans="1:51" ht="15" customHeight="1" x14ac:dyDescent="0.25">
      <c r="A176" s="38" t="s">
        <v>67</v>
      </c>
      <c r="B176" s="1" t="s">
        <v>68</v>
      </c>
      <c r="C176" s="40" t="s">
        <v>69</v>
      </c>
      <c r="D176" s="204">
        <v>3910.9684636814877</v>
      </c>
      <c r="E176" s="204">
        <v>4115.3749955349303</v>
      </c>
      <c r="F176" s="204">
        <v>3261.6267468269148</v>
      </c>
      <c r="G176" s="204">
        <v>3639.7458051582394</v>
      </c>
      <c r="H176" s="204">
        <v>3500.2521408412131</v>
      </c>
      <c r="I176" s="204">
        <v>3067.9994384412016</v>
      </c>
      <c r="J176" s="204">
        <v>4626.9956237099141</v>
      </c>
      <c r="K176" s="204">
        <v>4925.009520005492</v>
      </c>
      <c r="L176" s="204">
        <v>3503.9779486876587</v>
      </c>
      <c r="M176" s="204">
        <v>4621.1629549244781</v>
      </c>
      <c r="N176" s="204">
        <v>3928.2900854637769</v>
      </c>
      <c r="O176" s="204">
        <v>2190.7825405701606</v>
      </c>
      <c r="P176" s="204">
        <v>3916.0181034449306</v>
      </c>
      <c r="Q176" s="204">
        <v>4396.9877715707516</v>
      </c>
      <c r="R176" s="204">
        <v>3815.0259070111847</v>
      </c>
      <c r="S176" s="204">
        <v>4888.9742710830324</v>
      </c>
      <c r="T176" s="204">
        <v>2348.007271528887</v>
      </c>
      <c r="U176" s="204">
        <v>1948.0073500127639</v>
      </c>
      <c r="V176" s="204">
        <v>2077.973501828285</v>
      </c>
      <c r="W176" s="204">
        <v>2094</v>
      </c>
      <c r="X176" s="204">
        <v>4660.9710142753584</v>
      </c>
      <c r="Y176" s="204">
        <v>4849.9733725632705</v>
      </c>
      <c r="Z176" s="204">
        <v>3658.0118151660117</v>
      </c>
      <c r="AA176" s="204">
        <v>2639.9780637007625</v>
      </c>
      <c r="AB176" s="204">
        <v>3775.0331352942844</v>
      </c>
      <c r="AC176" s="204">
        <v>6390.0000000000009</v>
      </c>
      <c r="AD176" s="204">
        <v>2624</v>
      </c>
      <c r="AE176" s="204">
        <v>544</v>
      </c>
      <c r="AF176" s="206">
        <v>1400</v>
      </c>
      <c r="AG176" s="204">
        <v>2492</v>
      </c>
      <c r="AH176" s="204">
        <v>2540</v>
      </c>
      <c r="AI176" s="204">
        <v>2509</v>
      </c>
      <c r="AJ176" s="204">
        <v>2034</v>
      </c>
      <c r="AK176" s="204">
        <v>2241.7983924384212</v>
      </c>
      <c r="AL176" s="204">
        <v>1665</v>
      </c>
      <c r="AM176" s="204">
        <v>1380</v>
      </c>
      <c r="AN176" s="204">
        <v>1462</v>
      </c>
      <c r="AO176" s="204">
        <v>1500</v>
      </c>
      <c r="AP176" s="204">
        <v>1445</v>
      </c>
      <c r="AQ176" s="204">
        <v>1469</v>
      </c>
      <c r="AR176" s="204">
        <v>1450</v>
      </c>
      <c r="AS176" s="204">
        <v>1482</v>
      </c>
      <c r="AT176" s="204">
        <v>1359</v>
      </c>
      <c r="AU176" s="204">
        <v>2094</v>
      </c>
      <c r="AV176" s="204">
        <v>3250</v>
      </c>
      <c r="AW176" s="204">
        <v>1500</v>
      </c>
      <c r="AX176" s="204">
        <v>1498</v>
      </c>
      <c r="AY176" s="204">
        <v>1399</v>
      </c>
    </row>
    <row r="177" spans="1:51" ht="15" customHeight="1" x14ac:dyDescent="0.25">
      <c r="A177" s="62">
        <v>3150</v>
      </c>
      <c r="B177" s="207" t="s">
        <v>549</v>
      </c>
      <c r="C177" s="40" t="s">
        <v>550</v>
      </c>
      <c r="D177" s="204">
        <v>5574.9676836470708</v>
      </c>
      <c r="E177" s="204">
        <v>5921.0182965149497</v>
      </c>
      <c r="F177" s="204">
        <v>5549.0278714017868</v>
      </c>
      <c r="G177" s="204">
        <v>5395.0084209225834</v>
      </c>
      <c r="H177" s="204">
        <v>3709.955413138413</v>
      </c>
      <c r="I177" s="204">
        <v>4567.0466416255194</v>
      </c>
      <c r="J177" s="204">
        <v>5234.9951393567198</v>
      </c>
      <c r="K177" s="204">
        <v>4512.9825006224337</v>
      </c>
      <c r="L177" s="204">
        <v>5766.9787122594216</v>
      </c>
      <c r="M177" s="204">
        <v>5969.1889384196602</v>
      </c>
      <c r="N177" s="204">
        <v>5746.5541475818827</v>
      </c>
      <c r="O177" s="204">
        <v>3479.3213423634725</v>
      </c>
      <c r="P177" s="204">
        <v>5647.9855022881211</v>
      </c>
      <c r="Q177" s="204">
        <v>6209.0402517677712</v>
      </c>
      <c r="R177" s="204">
        <v>5785.0094554395691</v>
      </c>
      <c r="S177" s="204">
        <v>5505.0217602909488</v>
      </c>
      <c r="T177" s="204">
        <v>4579.9965954483205</v>
      </c>
      <c r="U177" s="204">
        <v>3786.9986349485262</v>
      </c>
      <c r="V177" s="204">
        <v>4814.9866249570669</v>
      </c>
      <c r="W177" s="204">
        <v>3271</v>
      </c>
      <c r="X177" s="204">
        <v>6374.0119568692171</v>
      </c>
      <c r="Y177" s="204">
        <v>6680.9890227866863</v>
      </c>
      <c r="Z177" s="204">
        <v>6457.0179098865838</v>
      </c>
      <c r="AA177" s="204">
        <v>5061.0474848752583</v>
      </c>
      <c r="AB177" s="204">
        <v>5729.9215971589419</v>
      </c>
      <c r="AC177" s="204">
        <v>7287</v>
      </c>
      <c r="AD177" s="204">
        <v>4449</v>
      </c>
      <c r="AE177" s="204">
        <v>1884.9999999999998</v>
      </c>
      <c r="AF177" s="206">
        <v>2846</v>
      </c>
      <c r="AG177" s="204">
        <v>2849</v>
      </c>
      <c r="AH177" s="204">
        <v>3963</v>
      </c>
      <c r="AI177" s="204">
        <v>3620.0000000000005</v>
      </c>
      <c r="AJ177" s="204">
        <v>4173</v>
      </c>
      <c r="AK177" s="204">
        <v>3855.2831596971664</v>
      </c>
      <c r="AL177" s="204">
        <v>4680</v>
      </c>
      <c r="AM177" s="204">
        <v>2624</v>
      </c>
      <c r="AN177" s="204">
        <v>2792</v>
      </c>
      <c r="AO177" s="204">
        <v>2702</v>
      </c>
      <c r="AP177" s="204">
        <v>3007</v>
      </c>
      <c r="AQ177" s="204">
        <v>2911</v>
      </c>
      <c r="AR177" s="204">
        <v>2526</v>
      </c>
      <c r="AS177" s="204">
        <v>2824</v>
      </c>
      <c r="AT177" s="204">
        <v>2880</v>
      </c>
      <c r="AU177" s="204">
        <v>3274</v>
      </c>
      <c r="AV177" s="204">
        <v>5200</v>
      </c>
      <c r="AW177" s="204">
        <v>5992</v>
      </c>
      <c r="AX177" s="204">
        <v>6095</v>
      </c>
      <c r="AY177" s="204">
        <v>4917</v>
      </c>
    </row>
    <row r="178" spans="1:51" ht="15" customHeight="1" x14ac:dyDescent="0.25">
      <c r="A178" s="62">
        <v>3280</v>
      </c>
      <c r="B178" s="207" t="s">
        <v>559</v>
      </c>
      <c r="C178" s="40" t="s">
        <v>560</v>
      </c>
      <c r="D178" s="204">
        <v>77872.98902954103</v>
      </c>
      <c r="E178" s="204">
        <v>81183.005223533386</v>
      </c>
      <c r="F178" s="204">
        <v>78073.03681694968</v>
      </c>
      <c r="G178" s="204">
        <v>86729.959861846801</v>
      </c>
      <c r="H178" s="204">
        <v>79393.978744184642</v>
      </c>
      <c r="I178" s="204">
        <v>70474.0036023344</v>
      </c>
      <c r="J178" s="204">
        <v>75512.028987619429</v>
      </c>
      <c r="K178" s="204">
        <v>80577.95354611658</v>
      </c>
      <c r="L178" s="204">
        <v>89377.666508999784</v>
      </c>
      <c r="M178" s="204">
        <v>86802.465694452461</v>
      </c>
      <c r="N178" s="204">
        <v>85228.747367994409</v>
      </c>
      <c r="O178" s="204">
        <v>74252.19991784048</v>
      </c>
      <c r="P178" s="204">
        <v>71465.060774213955</v>
      </c>
      <c r="Q178" s="204">
        <v>72530.149192007244</v>
      </c>
      <c r="R178" s="204">
        <v>70150.039319732721</v>
      </c>
      <c r="S178" s="204">
        <v>80487.005653683154</v>
      </c>
      <c r="T178" s="204">
        <v>67297.000879486193</v>
      </c>
      <c r="U178" s="204">
        <v>64043.82270027668</v>
      </c>
      <c r="V178" s="204">
        <v>66588.981995282782</v>
      </c>
      <c r="W178" s="204">
        <v>62119.918311047011</v>
      </c>
      <c r="X178" s="204">
        <v>68114.929413209844</v>
      </c>
      <c r="Y178" s="204">
        <v>75809.057666090157</v>
      </c>
      <c r="Z178" s="204">
        <v>73592.913762564058</v>
      </c>
      <c r="AA178" s="204">
        <v>78600.756360224972</v>
      </c>
      <c r="AB178" s="204">
        <v>67881.102368855194</v>
      </c>
      <c r="AC178" s="204">
        <v>71548</v>
      </c>
      <c r="AD178" s="204">
        <v>54016.000000000007</v>
      </c>
      <c r="AE178" s="204">
        <v>42934</v>
      </c>
      <c r="AF178" s="206">
        <v>43924</v>
      </c>
      <c r="AG178" s="204">
        <v>46833</v>
      </c>
      <c r="AH178" s="204">
        <v>48144.000000000007</v>
      </c>
      <c r="AI178" s="204">
        <v>50968</v>
      </c>
      <c r="AJ178" s="204">
        <v>64863</v>
      </c>
      <c r="AK178" s="204">
        <v>58044.011368284853</v>
      </c>
      <c r="AL178" s="204">
        <v>51240</v>
      </c>
      <c r="AM178" s="204">
        <v>43524</v>
      </c>
      <c r="AN178" s="204">
        <v>48169</v>
      </c>
      <c r="AO178" s="204">
        <v>43114</v>
      </c>
      <c r="AP178" s="204">
        <v>44998</v>
      </c>
      <c r="AQ178" s="204">
        <v>44204</v>
      </c>
      <c r="AR178" s="204">
        <v>43196</v>
      </c>
      <c r="AS178" s="204">
        <v>52521</v>
      </c>
      <c r="AT178" s="204">
        <v>48596</v>
      </c>
      <c r="AU178" s="204">
        <v>61658</v>
      </c>
      <c r="AV178" s="204">
        <v>70358</v>
      </c>
      <c r="AW178" s="204">
        <v>71101</v>
      </c>
      <c r="AX178" s="204">
        <v>66939</v>
      </c>
      <c r="AY178" s="204">
        <v>57515</v>
      </c>
    </row>
    <row r="179" spans="1:51" ht="15" customHeight="1" x14ac:dyDescent="0.25">
      <c r="A179" s="38">
        <v>3560</v>
      </c>
      <c r="B179" s="1" t="s">
        <v>408</v>
      </c>
      <c r="C179" s="40" t="s">
        <v>409</v>
      </c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>
        <v>17024</v>
      </c>
      <c r="U179" s="204">
        <v>18560</v>
      </c>
      <c r="V179" s="204">
        <v>21408</v>
      </c>
      <c r="W179" s="204">
        <v>20208</v>
      </c>
      <c r="X179" s="204">
        <v>24272</v>
      </c>
      <c r="Y179" s="204">
        <v>21664</v>
      </c>
      <c r="Z179" s="204">
        <v>18720</v>
      </c>
      <c r="AA179" s="204">
        <v>0</v>
      </c>
      <c r="AB179" s="204">
        <v>26864</v>
      </c>
      <c r="AC179" s="204">
        <v>16976</v>
      </c>
      <c r="AD179" s="204">
        <v>0</v>
      </c>
      <c r="AE179" s="204">
        <v>0</v>
      </c>
      <c r="AF179" s="206">
        <v>0</v>
      </c>
      <c r="AG179" s="204">
        <v>0</v>
      </c>
      <c r="AH179" s="204">
        <v>66720</v>
      </c>
      <c r="AI179" s="204">
        <v>0</v>
      </c>
      <c r="AJ179" s="204">
        <v>0</v>
      </c>
      <c r="AK179" s="204">
        <v>51755.49496386978</v>
      </c>
      <c r="AL179" s="204">
        <v>0</v>
      </c>
      <c r="AM179" s="204">
        <v>0</v>
      </c>
      <c r="AN179" s="204">
        <v>25984</v>
      </c>
      <c r="AO179" s="204">
        <v>7200</v>
      </c>
      <c r="AP179" s="204">
        <v>7888</v>
      </c>
      <c r="AQ179" s="204">
        <v>9616</v>
      </c>
      <c r="AR179" s="204">
        <v>10528</v>
      </c>
      <c r="AS179" s="204">
        <v>0</v>
      </c>
      <c r="AT179" s="204">
        <v>0</v>
      </c>
      <c r="AU179" s="204">
        <v>49504</v>
      </c>
      <c r="AV179" s="204">
        <v>24832</v>
      </c>
      <c r="AW179" s="204">
        <v>0</v>
      </c>
      <c r="AX179" s="204">
        <v>0</v>
      </c>
      <c r="AY179" s="204">
        <v>0</v>
      </c>
    </row>
    <row r="180" spans="1:51" ht="15" customHeight="1" x14ac:dyDescent="0.25">
      <c r="A180" s="62">
        <v>3140</v>
      </c>
      <c r="B180" s="207" t="s">
        <v>547</v>
      </c>
      <c r="C180" s="40" t="s">
        <v>548</v>
      </c>
      <c r="D180" s="204">
        <v>8721.0047706273399</v>
      </c>
      <c r="E180" s="204">
        <v>8751.0010085648919</v>
      </c>
      <c r="F180" s="204">
        <v>8157.9866956123233</v>
      </c>
      <c r="G180" s="204">
        <v>8099.0099394504959</v>
      </c>
      <c r="H180" s="204">
        <v>8254.9923033751747</v>
      </c>
      <c r="I180" s="204">
        <v>7897.9752271308498</v>
      </c>
      <c r="J180" s="204">
        <v>8370.0207456254775</v>
      </c>
      <c r="K180" s="204">
        <v>8674.9095040541288</v>
      </c>
      <c r="L180" s="204">
        <v>8988.021545323345</v>
      </c>
      <c r="M180" s="204">
        <v>8594.9681146112453</v>
      </c>
      <c r="N180" s="204">
        <v>8933.87444396514</v>
      </c>
      <c r="O180" s="204">
        <v>8231.6109358309186</v>
      </c>
      <c r="P180" s="204">
        <v>8144.0264971744709</v>
      </c>
      <c r="Q180" s="204">
        <v>8334.9561750764424</v>
      </c>
      <c r="R180" s="204">
        <v>8212.9915381278424</v>
      </c>
      <c r="S180" s="204">
        <v>8414.0259389491548</v>
      </c>
      <c r="T180" s="204">
        <v>7827.9741604242981</v>
      </c>
      <c r="U180" s="204">
        <v>7361.9204938291978</v>
      </c>
      <c r="V180" s="204">
        <v>8179.0379530403115</v>
      </c>
      <c r="W180" s="204">
        <v>7991.0094579822926</v>
      </c>
      <c r="X180" s="204">
        <v>8644.9980594350582</v>
      </c>
      <c r="Y180" s="204">
        <v>8986.9942216009495</v>
      </c>
      <c r="Z180" s="204">
        <v>8508.9738679886723</v>
      </c>
      <c r="AA180" s="204">
        <v>8617.9658192000534</v>
      </c>
      <c r="AB180" s="204">
        <v>8181.0022207196789</v>
      </c>
      <c r="AC180" s="204">
        <v>9091</v>
      </c>
      <c r="AD180" s="204">
        <v>7223</v>
      </c>
      <c r="AE180" s="204">
        <v>5232</v>
      </c>
      <c r="AF180" s="206">
        <v>5650</v>
      </c>
      <c r="AG180" s="204">
        <v>6094.9999999999991</v>
      </c>
      <c r="AH180" s="204">
        <v>6280.9999999999991</v>
      </c>
      <c r="AI180" s="204">
        <v>6405.9999999999991</v>
      </c>
      <c r="AJ180" s="204">
        <v>7461</v>
      </c>
      <c r="AK180" s="204">
        <v>7183.6587248899359</v>
      </c>
      <c r="AL180" s="204">
        <v>7664</v>
      </c>
      <c r="AM180" s="204">
        <v>5882</v>
      </c>
      <c r="AN180" s="204">
        <v>6147</v>
      </c>
      <c r="AO180" s="204">
        <v>5597</v>
      </c>
      <c r="AP180" s="204">
        <v>5523</v>
      </c>
      <c r="AQ180" s="204">
        <v>5393</v>
      </c>
      <c r="AR180" s="204">
        <v>5400</v>
      </c>
      <c r="AS180" s="204">
        <v>6026</v>
      </c>
      <c r="AT180" s="204">
        <v>5760</v>
      </c>
      <c r="AU180" s="204">
        <v>7991</v>
      </c>
      <c r="AV180" s="204">
        <v>7890</v>
      </c>
      <c r="AW180" s="204">
        <v>8005</v>
      </c>
      <c r="AX180" s="204">
        <v>8346</v>
      </c>
      <c r="AY180" s="204">
        <v>7057</v>
      </c>
    </row>
    <row r="181" spans="1:51" ht="15" customHeight="1" x14ac:dyDescent="0.25">
      <c r="A181" s="38" t="s">
        <v>254</v>
      </c>
      <c r="B181" s="1" t="s">
        <v>255</v>
      </c>
      <c r="C181" s="40" t="s">
        <v>256</v>
      </c>
      <c r="D181" s="204">
        <v>238322.81480543042</v>
      </c>
      <c r="E181" s="204">
        <v>219837.51901608569</v>
      </c>
      <c r="F181" s="204">
        <v>211491.6810288433</v>
      </c>
      <c r="G181" s="204">
        <v>222950.0142109243</v>
      </c>
      <c r="H181" s="204">
        <v>239154.82081327814</v>
      </c>
      <c r="I181" s="204">
        <v>224779.1071114768</v>
      </c>
      <c r="J181" s="204">
        <v>270033.08337368973</v>
      </c>
      <c r="K181" s="204">
        <v>305215.93218139739</v>
      </c>
      <c r="L181" s="204">
        <v>276918.93313547393</v>
      </c>
      <c r="M181" s="204">
        <v>265841.30121186498</v>
      </c>
      <c r="N181" s="204">
        <v>267374.19358738599</v>
      </c>
      <c r="O181" s="204">
        <v>212086.04683889652</v>
      </c>
      <c r="P181" s="204">
        <v>199709.68424651405</v>
      </c>
      <c r="Q181" s="204">
        <v>187425.82736864299</v>
      </c>
      <c r="R181" s="204">
        <v>214351.89368614982</v>
      </c>
      <c r="S181" s="204">
        <v>249186.90032112267</v>
      </c>
      <c r="T181" s="204">
        <v>231891.00402641814</v>
      </c>
      <c r="U181" s="204">
        <v>249502.42683191196</v>
      </c>
      <c r="V181" s="204">
        <v>293541.91168943816</v>
      </c>
      <c r="W181" s="204">
        <v>283410.47302806645</v>
      </c>
      <c r="X181" s="204">
        <v>332977.80069217103</v>
      </c>
      <c r="Y181" s="204">
        <v>310614.07781369623</v>
      </c>
      <c r="Z181" s="204">
        <v>267868.70443348872</v>
      </c>
      <c r="AA181" s="204">
        <v>223191.41887797511</v>
      </c>
      <c r="AB181" s="204">
        <v>217046.26778081007</v>
      </c>
      <c r="AC181" s="204">
        <v>266982</v>
      </c>
      <c r="AD181" s="204">
        <v>211072</v>
      </c>
      <c r="AE181" s="204">
        <v>211191.00000000003</v>
      </c>
      <c r="AF181" s="206">
        <v>245338</v>
      </c>
      <c r="AG181" s="204">
        <v>289010</v>
      </c>
      <c r="AH181" s="204">
        <v>281367</v>
      </c>
      <c r="AI181" s="204">
        <v>295533</v>
      </c>
      <c r="AJ181" s="204">
        <v>319383</v>
      </c>
      <c r="AK181" s="204">
        <v>304699.15834116424</v>
      </c>
      <c r="AL181" s="204">
        <v>271331</v>
      </c>
      <c r="AM181" s="204">
        <v>232815</v>
      </c>
      <c r="AN181" s="204">
        <v>248453</v>
      </c>
      <c r="AO181" s="204">
        <v>225681</v>
      </c>
      <c r="AP181" s="204">
        <v>222541</v>
      </c>
      <c r="AQ181" s="204">
        <v>236761</v>
      </c>
      <c r="AR181" s="204">
        <v>245850</v>
      </c>
      <c r="AS181" s="204">
        <v>295585</v>
      </c>
      <c r="AT181" s="204">
        <v>310101</v>
      </c>
      <c r="AU181" s="204">
        <v>303111</v>
      </c>
      <c r="AV181" s="204">
        <v>330153</v>
      </c>
      <c r="AW181" s="204">
        <v>288138</v>
      </c>
      <c r="AX181" s="204">
        <v>273375</v>
      </c>
      <c r="AY181" s="204">
        <v>203500</v>
      </c>
    </row>
    <row r="182" spans="1:51" ht="15" customHeight="1" x14ac:dyDescent="0.25">
      <c r="A182" s="38" t="s">
        <v>88</v>
      </c>
      <c r="B182" s="1" t="s">
        <v>89</v>
      </c>
      <c r="C182" s="258" t="s">
        <v>90</v>
      </c>
      <c r="D182" s="204">
        <v>0</v>
      </c>
      <c r="E182" s="204">
        <v>0</v>
      </c>
      <c r="F182" s="204">
        <v>0</v>
      </c>
      <c r="G182" s="204">
        <v>0</v>
      </c>
      <c r="H182" s="204">
        <v>0</v>
      </c>
      <c r="I182" s="204">
        <v>0</v>
      </c>
      <c r="J182" s="204">
        <v>0</v>
      </c>
      <c r="K182" s="204">
        <v>0</v>
      </c>
      <c r="L182" s="204">
        <v>0</v>
      </c>
      <c r="M182" s="204">
        <v>0</v>
      </c>
      <c r="N182" s="204">
        <v>0</v>
      </c>
      <c r="O182" s="204">
        <v>0</v>
      </c>
      <c r="P182" s="204">
        <v>0</v>
      </c>
      <c r="Q182" s="204">
        <v>0</v>
      </c>
      <c r="R182" s="204">
        <v>0</v>
      </c>
      <c r="S182" s="204">
        <v>0</v>
      </c>
      <c r="T182" s="204">
        <v>0</v>
      </c>
      <c r="U182" s="204">
        <v>0</v>
      </c>
      <c r="V182" s="204">
        <v>0</v>
      </c>
      <c r="W182" s="204">
        <v>0</v>
      </c>
      <c r="X182" s="204">
        <v>0</v>
      </c>
      <c r="Y182" s="204">
        <v>0</v>
      </c>
      <c r="Z182" s="204">
        <v>0</v>
      </c>
      <c r="AA182" s="204">
        <v>0</v>
      </c>
      <c r="AB182" s="204">
        <v>0</v>
      </c>
      <c r="AC182" s="204">
        <v>0</v>
      </c>
      <c r="AD182" s="204">
        <v>0</v>
      </c>
      <c r="AE182" s="204">
        <v>0</v>
      </c>
      <c r="AF182" s="206">
        <v>0</v>
      </c>
      <c r="AG182" s="204">
        <v>0</v>
      </c>
      <c r="AH182" s="204">
        <v>0</v>
      </c>
      <c r="AI182" s="204">
        <v>0</v>
      </c>
      <c r="AJ182" s="204">
        <v>0</v>
      </c>
      <c r="AK182" s="204">
        <v>0</v>
      </c>
      <c r="AL182" s="204">
        <v>0</v>
      </c>
      <c r="AM182" s="204">
        <v>0</v>
      </c>
      <c r="AN182" s="204">
        <v>0</v>
      </c>
      <c r="AO182" s="204">
        <v>0</v>
      </c>
      <c r="AP182" s="204">
        <v>0</v>
      </c>
      <c r="AQ182" s="204">
        <v>0</v>
      </c>
      <c r="AR182" s="204">
        <v>0</v>
      </c>
      <c r="AS182" s="204">
        <v>0</v>
      </c>
      <c r="AT182" s="204">
        <v>0</v>
      </c>
      <c r="AU182" s="204">
        <v>0</v>
      </c>
      <c r="AV182" s="204">
        <v>0</v>
      </c>
      <c r="AW182" s="204">
        <v>0</v>
      </c>
      <c r="AX182" s="204">
        <v>0</v>
      </c>
      <c r="AY182" s="204">
        <v>0</v>
      </c>
    </row>
    <row r="183" spans="1:51" ht="15" customHeight="1" x14ac:dyDescent="0.25">
      <c r="A183" s="62">
        <v>3550</v>
      </c>
      <c r="B183" s="207" t="s">
        <v>579</v>
      </c>
      <c r="C183" s="40" t="s">
        <v>580</v>
      </c>
      <c r="D183" s="204">
        <v>33480</v>
      </c>
      <c r="E183" s="204">
        <v>34200</v>
      </c>
      <c r="F183" s="204">
        <v>27600</v>
      </c>
      <c r="G183" s="204">
        <v>24720</v>
      </c>
      <c r="H183" s="204">
        <v>24360</v>
      </c>
      <c r="I183" s="204">
        <v>20880</v>
      </c>
      <c r="J183" s="204">
        <v>21480</v>
      </c>
      <c r="K183" s="204">
        <v>23160</v>
      </c>
      <c r="L183" s="204">
        <v>25560</v>
      </c>
      <c r="M183" s="204">
        <v>26520</v>
      </c>
      <c r="N183" s="204">
        <v>27960</v>
      </c>
      <c r="O183" s="204">
        <v>21000</v>
      </c>
      <c r="P183" s="204">
        <v>24120</v>
      </c>
      <c r="Q183" s="204">
        <v>24840</v>
      </c>
      <c r="R183" s="204">
        <v>30360</v>
      </c>
      <c r="S183" s="204">
        <v>34800</v>
      </c>
      <c r="T183" s="204">
        <v>29280</v>
      </c>
      <c r="U183" s="204">
        <v>26880</v>
      </c>
      <c r="V183" s="204">
        <v>10564.3</v>
      </c>
      <c r="W183" s="204">
        <v>0</v>
      </c>
      <c r="X183" s="204">
        <v>65760</v>
      </c>
      <c r="Y183" s="204">
        <v>37200</v>
      </c>
      <c r="Z183" s="204">
        <v>34560</v>
      </c>
      <c r="AA183" s="204">
        <v>0</v>
      </c>
      <c r="AB183" s="204">
        <v>60240</v>
      </c>
      <c r="AC183" s="204">
        <v>34080</v>
      </c>
      <c r="AD183" s="204">
        <v>23040</v>
      </c>
      <c r="AE183" s="204">
        <v>17280</v>
      </c>
      <c r="AF183" s="206">
        <v>19320</v>
      </c>
      <c r="AG183" s="204">
        <v>20640</v>
      </c>
      <c r="AH183" s="204">
        <v>20520</v>
      </c>
      <c r="AI183" s="204">
        <v>16920</v>
      </c>
      <c r="AJ183" s="204">
        <v>21120</v>
      </c>
      <c r="AK183" s="204">
        <v>20788.336654278482</v>
      </c>
      <c r="AL183" s="204">
        <v>20040</v>
      </c>
      <c r="AM183" s="204">
        <v>18960</v>
      </c>
      <c r="AN183" s="204">
        <v>18720</v>
      </c>
      <c r="AO183" s="204">
        <v>17640</v>
      </c>
      <c r="AP183" s="204">
        <v>19080</v>
      </c>
      <c r="AQ183" s="204">
        <v>19440</v>
      </c>
      <c r="AR183" s="204">
        <v>18840</v>
      </c>
      <c r="AS183" s="204">
        <v>17040</v>
      </c>
      <c r="AT183" s="204">
        <v>20880</v>
      </c>
      <c r="AU183" s="204">
        <v>22200</v>
      </c>
      <c r="AV183" s="204">
        <v>30480</v>
      </c>
      <c r="AW183" s="204">
        <v>28680</v>
      </c>
      <c r="AX183" s="204">
        <v>30600</v>
      </c>
      <c r="AY183" s="204">
        <v>22560</v>
      </c>
    </row>
    <row r="184" spans="1:51" ht="15" customHeight="1" x14ac:dyDescent="0.25">
      <c r="A184" s="38" t="s">
        <v>310</v>
      </c>
      <c r="B184" s="1" t="s">
        <v>311</v>
      </c>
      <c r="C184" s="40" t="s">
        <v>312</v>
      </c>
      <c r="D184" s="204">
        <v>67521.802636435677</v>
      </c>
      <c r="E184" s="204">
        <v>65719.017346366629</v>
      </c>
      <c r="F184" s="204">
        <v>65533.406482171587</v>
      </c>
      <c r="G184" s="204">
        <v>67524.708767136079</v>
      </c>
      <c r="H184" s="204">
        <v>72155.717463596462</v>
      </c>
      <c r="I184" s="204">
        <v>67522.71785180291</v>
      </c>
      <c r="J184" s="204">
        <v>70329.913798247959</v>
      </c>
      <c r="K184" s="204">
        <v>73424.244164763411</v>
      </c>
      <c r="L184" s="204">
        <v>71275.521025920883</v>
      </c>
      <c r="M184" s="204">
        <v>71204.147596830226</v>
      </c>
      <c r="N184" s="204">
        <v>78926.764428648632</v>
      </c>
      <c r="O184" s="204">
        <v>69827.679504253698</v>
      </c>
      <c r="P184" s="204">
        <v>61299.387038491179</v>
      </c>
      <c r="Q184" s="204">
        <v>63423.020304041667</v>
      </c>
      <c r="R184" s="204">
        <v>60930.070647804139</v>
      </c>
      <c r="S184" s="204">
        <v>68990.305419002427</v>
      </c>
      <c r="T184" s="204">
        <v>65391.833355695351</v>
      </c>
      <c r="U184" s="204">
        <v>64813.111078571703</v>
      </c>
      <c r="V184" s="204">
        <v>70100.161786322788</v>
      </c>
      <c r="W184" s="204">
        <v>64554.022099235379</v>
      </c>
      <c r="X184" s="204">
        <v>70499.605827857187</v>
      </c>
      <c r="Y184" s="204">
        <v>74712.414718641245</v>
      </c>
      <c r="Z184" s="204">
        <v>67765.806197893238</v>
      </c>
      <c r="AA184" s="204">
        <v>70894.119252894976</v>
      </c>
      <c r="AB184" s="204">
        <v>62719.866336578074</v>
      </c>
      <c r="AC184" s="204">
        <v>66606</v>
      </c>
      <c r="AD184" s="204">
        <v>53154</v>
      </c>
      <c r="AE184" s="204">
        <v>51233</v>
      </c>
      <c r="AF184" s="206">
        <v>54029</v>
      </c>
      <c r="AG184" s="204">
        <v>64245</v>
      </c>
      <c r="AH184" s="204">
        <v>65207</v>
      </c>
      <c r="AI184" s="204">
        <v>59926</v>
      </c>
      <c r="AJ184" s="204">
        <v>60115</v>
      </c>
      <c r="AK184" s="204">
        <v>61776.79389792354</v>
      </c>
      <c r="AL184" s="204">
        <v>69437</v>
      </c>
      <c r="AM184" s="204">
        <v>60915</v>
      </c>
      <c r="AN184" s="204">
        <v>62152</v>
      </c>
      <c r="AO184" s="204">
        <v>53591</v>
      </c>
      <c r="AP184" s="204">
        <v>65427</v>
      </c>
      <c r="AQ184" s="204">
        <v>66192</v>
      </c>
      <c r="AR184" s="204">
        <v>61886</v>
      </c>
      <c r="AS184" s="204">
        <v>63790</v>
      </c>
      <c r="AT184" s="204">
        <v>59535</v>
      </c>
      <c r="AU184" s="204">
        <v>56375</v>
      </c>
      <c r="AV184" s="204">
        <v>65225</v>
      </c>
      <c r="AW184" s="204">
        <v>73520</v>
      </c>
      <c r="AX184" s="204">
        <v>73989</v>
      </c>
      <c r="AY184" s="204">
        <v>57656</v>
      </c>
    </row>
    <row r="185" spans="1:51" ht="15" customHeight="1" x14ac:dyDescent="0.25">
      <c r="A185" s="38" t="s">
        <v>313</v>
      </c>
      <c r="B185" s="1" t="s">
        <v>314</v>
      </c>
      <c r="C185" s="40" t="s">
        <v>315</v>
      </c>
      <c r="D185" s="204">
        <v>8978.8055877663537</v>
      </c>
      <c r="E185" s="204">
        <v>9018.9428682246071</v>
      </c>
      <c r="F185" s="204">
        <v>8091.9754653244854</v>
      </c>
      <c r="G185" s="204">
        <v>8287.0031170126294</v>
      </c>
      <c r="H185" s="204">
        <v>7624.0166804383525</v>
      </c>
      <c r="I185" s="204">
        <v>6431.0165893296235</v>
      </c>
      <c r="J185" s="204">
        <v>6801.0090776955976</v>
      </c>
      <c r="K185" s="204">
        <v>9218.9910317802369</v>
      </c>
      <c r="L185" s="204">
        <v>9842.9489502755041</v>
      </c>
      <c r="M185" s="204">
        <v>9260.9239674138043</v>
      </c>
      <c r="N185" s="204">
        <v>9413.8800660881298</v>
      </c>
      <c r="O185" s="204">
        <v>8000.8396223068094</v>
      </c>
      <c r="P185" s="204">
        <v>8354.0176796235464</v>
      </c>
      <c r="Q185" s="204">
        <v>8630.0020135671475</v>
      </c>
      <c r="R185" s="204">
        <v>8555.998896230376</v>
      </c>
      <c r="S185" s="204">
        <v>10805.229275737665</v>
      </c>
      <c r="T185" s="204">
        <v>11277.772790623359</v>
      </c>
      <c r="U185" s="204">
        <v>7776.97558833329</v>
      </c>
      <c r="V185" s="204">
        <v>7209.0159268997686</v>
      </c>
      <c r="W185" s="204">
        <v>7746.0126912595933</v>
      </c>
      <c r="X185" s="204">
        <v>9204.989202649751</v>
      </c>
      <c r="Y185" s="204">
        <v>9711.0079852304916</v>
      </c>
      <c r="Z185" s="204">
        <v>9311.0115546241414</v>
      </c>
      <c r="AA185" s="204">
        <v>9194.9729017996815</v>
      </c>
      <c r="AB185" s="204">
        <v>8357.0010371971875</v>
      </c>
      <c r="AC185" s="204">
        <v>9911</v>
      </c>
      <c r="AD185" s="204">
        <v>7812</v>
      </c>
      <c r="AE185" s="204">
        <v>6528.68</v>
      </c>
      <c r="AF185" s="206">
        <v>8399</v>
      </c>
      <c r="AG185" s="204">
        <v>11032</v>
      </c>
      <c r="AH185" s="204">
        <v>8158</v>
      </c>
      <c r="AI185" s="204">
        <v>7497.9999999999991</v>
      </c>
      <c r="AJ185" s="204">
        <v>9410</v>
      </c>
      <c r="AK185" s="204">
        <v>11505.42128656915</v>
      </c>
      <c r="AL185" s="204">
        <v>12959</v>
      </c>
      <c r="AM185" s="204">
        <v>7046</v>
      </c>
      <c r="AN185" s="204">
        <v>7486</v>
      </c>
      <c r="AO185" s="204">
        <v>7666</v>
      </c>
      <c r="AP185" s="204">
        <v>7425</v>
      </c>
      <c r="AQ185" s="204">
        <v>7503</v>
      </c>
      <c r="AR185" s="204">
        <v>6449</v>
      </c>
      <c r="AS185" s="204">
        <v>7316</v>
      </c>
      <c r="AT185" s="204">
        <v>6570</v>
      </c>
      <c r="AU185" s="204">
        <v>8193</v>
      </c>
      <c r="AV185" s="204">
        <v>9216</v>
      </c>
      <c r="AW185" s="204">
        <v>9499</v>
      </c>
      <c r="AX185" s="204">
        <v>9362</v>
      </c>
      <c r="AY185" s="204">
        <v>7409</v>
      </c>
    </row>
    <row r="186" spans="1:51" ht="15" customHeight="1" x14ac:dyDescent="0.25">
      <c r="A186" s="62" t="s">
        <v>601</v>
      </c>
      <c r="B186" s="102" t="s">
        <v>602</v>
      </c>
      <c r="C186" s="40" t="s">
        <v>603</v>
      </c>
      <c r="D186" s="204">
        <v>0</v>
      </c>
      <c r="E186" s="204">
        <v>0</v>
      </c>
      <c r="F186" s="204">
        <v>0</v>
      </c>
      <c r="G186" s="204">
        <v>0</v>
      </c>
      <c r="H186" s="204">
        <v>0</v>
      </c>
      <c r="I186" s="204">
        <v>0</v>
      </c>
      <c r="J186" s="204">
        <v>0</v>
      </c>
      <c r="K186" s="204">
        <v>0</v>
      </c>
      <c r="L186" s="204">
        <v>0</v>
      </c>
      <c r="M186" s="204">
        <v>0</v>
      </c>
      <c r="N186" s="204">
        <v>0</v>
      </c>
      <c r="O186" s="204">
        <v>0</v>
      </c>
      <c r="P186" s="204">
        <v>0</v>
      </c>
      <c r="Q186" s="204">
        <v>0</v>
      </c>
      <c r="R186" s="204">
        <v>0</v>
      </c>
      <c r="S186" s="204">
        <v>0</v>
      </c>
      <c r="T186" s="204">
        <v>0</v>
      </c>
      <c r="U186" s="204">
        <v>0</v>
      </c>
      <c r="V186" s="204">
        <v>0</v>
      </c>
      <c r="W186" s="204">
        <v>0</v>
      </c>
      <c r="X186" s="204">
        <v>0</v>
      </c>
      <c r="Y186" s="204">
        <v>0</v>
      </c>
      <c r="Z186" s="204">
        <v>0</v>
      </c>
      <c r="AA186" s="204">
        <v>0</v>
      </c>
      <c r="AB186" s="204">
        <v>6503</v>
      </c>
      <c r="AC186" s="204">
        <v>0</v>
      </c>
      <c r="AD186" s="204">
        <v>0</v>
      </c>
      <c r="AE186" s="204">
        <v>0</v>
      </c>
      <c r="AF186" s="206">
        <v>0</v>
      </c>
      <c r="AG186" s="204">
        <v>4294</v>
      </c>
      <c r="AH186" s="204">
        <v>1248</v>
      </c>
      <c r="AI186" s="204">
        <v>1482</v>
      </c>
      <c r="AJ186" s="204">
        <v>1452</v>
      </c>
      <c r="AK186" s="204">
        <v>1552.4687921611173</v>
      </c>
      <c r="AL186" s="204">
        <v>793</v>
      </c>
      <c r="AM186" s="204">
        <v>547</v>
      </c>
      <c r="AN186" s="204">
        <v>608</v>
      </c>
      <c r="AO186" s="204">
        <v>674</v>
      </c>
      <c r="AP186" s="204">
        <v>862</v>
      </c>
      <c r="AQ186" s="204">
        <v>1175</v>
      </c>
      <c r="AR186" s="204">
        <v>1073</v>
      </c>
      <c r="AS186" s="204">
        <v>1585</v>
      </c>
      <c r="AT186" s="204">
        <v>1352</v>
      </c>
      <c r="AU186" s="204">
        <v>1529</v>
      </c>
      <c r="AV186" s="204">
        <v>1435</v>
      </c>
      <c r="AW186" s="204">
        <v>915</v>
      </c>
      <c r="AX186" s="204">
        <v>1000</v>
      </c>
      <c r="AY186" s="204">
        <v>558</v>
      </c>
    </row>
    <row r="187" spans="1:51" ht="15" customHeight="1" x14ac:dyDescent="0.25">
      <c r="A187" s="38" t="s">
        <v>19</v>
      </c>
      <c r="B187" s="63" t="s">
        <v>20</v>
      </c>
      <c r="C187" s="40" t="s">
        <v>21</v>
      </c>
      <c r="D187" s="204">
        <v>37178.146198855866</v>
      </c>
      <c r="E187" s="204">
        <v>36108.361681786584</v>
      </c>
      <c r="F187" s="204">
        <v>37064.251735079481</v>
      </c>
      <c r="G187" s="204">
        <v>42206.051463141674</v>
      </c>
      <c r="H187" s="204">
        <v>43367.662904385739</v>
      </c>
      <c r="I187" s="204">
        <v>44647.389334530606</v>
      </c>
      <c r="J187" s="204">
        <v>52808.723930173983</v>
      </c>
      <c r="K187" s="204">
        <v>54149.53</v>
      </c>
      <c r="L187" s="204">
        <v>50476.128796763274</v>
      </c>
      <c r="M187" s="204">
        <v>46427.65780095895</v>
      </c>
      <c r="N187" s="204">
        <v>45649.936277798828</v>
      </c>
      <c r="O187" s="204">
        <v>33863.766660501795</v>
      </c>
      <c r="P187" s="204">
        <v>29351.949198436403</v>
      </c>
      <c r="Q187" s="204">
        <v>26518.54</v>
      </c>
      <c r="R187" s="204">
        <v>33680.498430047206</v>
      </c>
      <c r="S187" s="204">
        <v>39945.17</v>
      </c>
      <c r="T187" s="204">
        <v>37882.338910461251</v>
      </c>
      <c r="U187" s="204">
        <v>45924.106471494328</v>
      </c>
      <c r="V187" s="204">
        <v>50382.773437854761</v>
      </c>
      <c r="W187" s="204">
        <v>46870.399120384398</v>
      </c>
      <c r="X187" s="204">
        <v>52555.669227140832</v>
      </c>
      <c r="Y187" s="204">
        <v>47849.285987456424</v>
      </c>
      <c r="Z187" s="204">
        <v>41080.88407026443</v>
      </c>
      <c r="AA187" s="204">
        <v>32527.660647471388</v>
      </c>
      <c r="AB187" s="204">
        <v>31932</v>
      </c>
      <c r="AC187" s="204">
        <v>40962</v>
      </c>
      <c r="AD187" s="204">
        <v>29570</v>
      </c>
      <c r="AE187" s="204">
        <v>30537.54</v>
      </c>
      <c r="AF187" s="206">
        <v>37689.199999999997</v>
      </c>
      <c r="AG187" s="204">
        <v>11454</v>
      </c>
      <c r="AH187" s="204">
        <v>32155</v>
      </c>
      <c r="AI187" s="204">
        <v>9008.125</v>
      </c>
      <c r="AJ187" s="204">
        <v>11211</v>
      </c>
      <c r="AK187" s="204">
        <v>10584.97541225729</v>
      </c>
      <c r="AL187" s="204">
        <v>11754</v>
      </c>
      <c r="AM187" s="204">
        <v>10297</v>
      </c>
      <c r="AN187" s="204">
        <v>10968</v>
      </c>
      <c r="AO187" s="204">
        <v>10394</v>
      </c>
      <c r="AP187" s="204">
        <v>9971</v>
      </c>
      <c r="AQ187" s="204">
        <v>9833</v>
      </c>
      <c r="AR187" s="204">
        <v>9909</v>
      </c>
      <c r="AS187" s="204">
        <v>10691</v>
      </c>
      <c r="AT187" s="204">
        <v>9455</v>
      </c>
      <c r="AU187" s="204">
        <v>10553</v>
      </c>
      <c r="AV187" s="204">
        <v>14306</v>
      </c>
      <c r="AW187" s="204">
        <v>13544</v>
      </c>
      <c r="AX187" s="204">
        <v>12965</v>
      </c>
      <c r="AY187" s="204">
        <v>11868</v>
      </c>
    </row>
    <row r="188" spans="1:51" ht="15" customHeight="1" x14ac:dyDescent="0.25">
      <c r="A188" s="38" t="s">
        <v>127</v>
      </c>
      <c r="B188" s="1" t="s">
        <v>128</v>
      </c>
      <c r="C188" s="40" t="s">
        <v>129</v>
      </c>
      <c r="D188" s="204">
        <v>169737.86672894686</v>
      </c>
      <c r="E188" s="204">
        <v>135799.1610601687</v>
      </c>
      <c r="F188" s="204">
        <v>148763.02715972002</v>
      </c>
      <c r="G188" s="204">
        <v>148950.55655847455</v>
      </c>
      <c r="H188" s="204">
        <v>162409.02057063879</v>
      </c>
      <c r="I188" s="204">
        <v>205980.99728862906</v>
      </c>
      <c r="J188" s="204">
        <v>350442.2034211682</v>
      </c>
      <c r="K188" s="204">
        <v>373477.15386315825</v>
      </c>
      <c r="L188" s="204">
        <v>282059.78135851258</v>
      </c>
      <c r="M188" s="204">
        <v>256231.43649013995</v>
      </c>
      <c r="N188" s="204">
        <v>253499.28444760383</v>
      </c>
      <c r="O188" s="204">
        <v>228807.18246263819</v>
      </c>
      <c r="P188" s="204">
        <v>209321.1568960333</v>
      </c>
      <c r="Q188" s="204">
        <v>204495.34753013315</v>
      </c>
      <c r="R188" s="204">
        <v>229615.03594112929</v>
      </c>
      <c r="S188" s="204">
        <v>243936.44020060764</v>
      </c>
      <c r="T188" s="204">
        <v>236610.9921121946</v>
      </c>
      <c r="U188" s="204">
        <v>202703.51616657997</v>
      </c>
      <c r="V188" s="204">
        <v>191207.81321919896</v>
      </c>
      <c r="W188" s="204">
        <v>191444.78125</v>
      </c>
      <c r="X188" s="204">
        <v>205414.875</v>
      </c>
      <c r="Y188" s="204">
        <v>321747.18671578343</v>
      </c>
      <c r="Z188" s="204">
        <v>213856.0625</v>
      </c>
      <c r="AA188" s="204">
        <v>231766.57486750567</v>
      </c>
      <c r="AB188" s="204">
        <v>124224.20901427499</v>
      </c>
      <c r="AC188" s="204">
        <v>175777</v>
      </c>
      <c r="AD188" s="204">
        <v>155328</v>
      </c>
      <c r="AE188" s="204">
        <v>114931</v>
      </c>
      <c r="AF188" s="206">
        <v>112834</v>
      </c>
      <c r="AG188" s="204">
        <v>122177</v>
      </c>
      <c r="AH188" s="204">
        <v>142338</v>
      </c>
      <c r="AI188" s="204">
        <v>122906.99999999999</v>
      </c>
      <c r="AJ188" s="204">
        <v>155998</v>
      </c>
      <c r="AK188" s="204">
        <v>154180.12843663653</v>
      </c>
      <c r="AL188" s="204">
        <v>177615</v>
      </c>
      <c r="AM188" s="204">
        <v>156736</v>
      </c>
      <c r="AN188" s="204">
        <v>171121</v>
      </c>
      <c r="AO188" s="204">
        <v>159454</v>
      </c>
      <c r="AP188" s="204">
        <v>151526</v>
      </c>
      <c r="AQ188" s="204">
        <v>119140</v>
      </c>
      <c r="AR188" s="204">
        <v>114588</v>
      </c>
      <c r="AS188" s="204">
        <v>155628</v>
      </c>
      <c r="AT188" s="204">
        <v>151574.00002861023</v>
      </c>
      <c r="AU188" s="204">
        <v>155775</v>
      </c>
      <c r="AV188" s="204">
        <v>184914</v>
      </c>
      <c r="AW188" s="204">
        <v>168228</v>
      </c>
      <c r="AX188" s="204">
        <v>169514</v>
      </c>
      <c r="AY188" s="204">
        <v>166874</v>
      </c>
    </row>
    <row r="189" spans="1:51" ht="15" customHeight="1" x14ac:dyDescent="0.25">
      <c r="A189" s="62" t="s">
        <v>130</v>
      </c>
      <c r="B189" s="112" t="s">
        <v>131</v>
      </c>
      <c r="C189" s="216" t="s">
        <v>132</v>
      </c>
      <c r="D189" s="204">
        <v>64999.949235921973</v>
      </c>
      <c r="E189" s="204">
        <v>51932.365382748285</v>
      </c>
      <c r="F189" s="204">
        <v>15364.015030287264</v>
      </c>
      <c r="G189" s="204">
        <v>28496.005854868243</v>
      </c>
      <c r="H189" s="204">
        <v>26473.655431970074</v>
      </c>
      <c r="I189" s="204">
        <v>34951.961723253691</v>
      </c>
      <c r="J189" s="204">
        <v>35100.415781029726</v>
      </c>
      <c r="K189" s="204">
        <v>70557.527230478096</v>
      </c>
      <c r="L189" s="204">
        <v>71595.360637487393</v>
      </c>
      <c r="M189" s="204">
        <v>71953.88557866271</v>
      </c>
      <c r="N189" s="204">
        <v>87396.668139973262</v>
      </c>
      <c r="O189" s="204">
        <v>114583</v>
      </c>
      <c r="P189" s="204">
        <v>101999.99999999999</v>
      </c>
      <c r="Q189" s="204">
        <v>75360.310941537406</v>
      </c>
      <c r="R189" s="204">
        <v>61701</v>
      </c>
      <c r="S189" s="204">
        <v>71334</v>
      </c>
      <c r="T189" s="204">
        <v>43524.545454545456</v>
      </c>
      <c r="U189" s="204">
        <v>77542.931083786229</v>
      </c>
      <c r="V189" s="204">
        <v>134511.42820619562</v>
      </c>
      <c r="W189" s="204">
        <v>128974.25</v>
      </c>
      <c r="X189" s="204">
        <v>211462.0625</v>
      </c>
      <c r="Y189" s="204">
        <v>120117.66015625051</v>
      </c>
      <c r="Z189" s="204">
        <v>85976.9375</v>
      </c>
      <c r="AA189" s="204">
        <v>113067</v>
      </c>
      <c r="AB189" s="204">
        <v>101293.14778251642</v>
      </c>
      <c r="AC189" s="204">
        <v>124237</v>
      </c>
      <c r="AD189" s="204">
        <v>86837</v>
      </c>
      <c r="AE189" s="204">
        <v>104418</v>
      </c>
      <c r="AF189" s="206">
        <v>127183.99999999999</v>
      </c>
      <c r="AG189" s="204">
        <v>131886</v>
      </c>
      <c r="AH189" s="204">
        <v>120033.99999999999</v>
      </c>
      <c r="AI189" s="204">
        <v>208002</v>
      </c>
      <c r="AJ189" s="204">
        <v>149976</v>
      </c>
      <c r="AK189" s="204">
        <v>132604.59809717542</v>
      </c>
      <c r="AL189" s="204">
        <v>84039</v>
      </c>
      <c r="AM189" s="204">
        <v>59727</v>
      </c>
      <c r="AN189" s="204">
        <v>35576</v>
      </c>
      <c r="AO189" s="204">
        <v>15578</v>
      </c>
      <c r="AP189" s="204">
        <v>47825</v>
      </c>
      <c r="AQ189" s="204">
        <v>72698</v>
      </c>
      <c r="AR189" s="204">
        <v>78120</v>
      </c>
      <c r="AS189" s="204">
        <v>88754</v>
      </c>
      <c r="AT189" s="204">
        <v>126718</v>
      </c>
      <c r="AU189" s="204">
        <v>133462</v>
      </c>
      <c r="AV189" s="204">
        <v>133808</v>
      </c>
      <c r="AW189" s="204">
        <v>94922</v>
      </c>
      <c r="AX189" s="204">
        <v>77637</v>
      </c>
      <c r="AY189" s="204">
        <v>65460</v>
      </c>
    </row>
    <row r="190" spans="1:51" ht="15" customHeight="1" x14ac:dyDescent="0.25">
      <c r="A190" s="38" t="s">
        <v>440</v>
      </c>
      <c r="B190" s="1" t="s">
        <v>441</v>
      </c>
      <c r="C190" s="40" t="s">
        <v>442</v>
      </c>
      <c r="D190" s="204">
        <v>0</v>
      </c>
      <c r="E190" s="204">
        <v>0</v>
      </c>
      <c r="F190" s="204">
        <v>0</v>
      </c>
      <c r="G190" s="204">
        <v>0</v>
      </c>
      <c r="H190" s="204">
        <v>0</v>
      </c>
      <c r="I190" s="204">
        <v>0</v>
      </c>
      <c r="J190" s="204">
        <v>0</v>
      </c>
      <c r="K190" s="204">
        <v>0</v>
      </c>
      <c r="L190" s="204">
        <v>0</v>
      </c>
      <c r="M190" s="204">
        <v>0</v>
      </c>
      <c r="N190" s="204">
        <v>0</v>
      </c>
      <c r="O190" s="204">
        <v>0</v>
      </c>
      <c r="P190" s="204">
        <v>0</v>
      </c>
      <c r="Q190" s="204">
        <v>0</v>
      </c>
      <c r="R190" s="204">
        <v>0</v>
      </c>
      <c r="S190" s="204">
        <v>0</v>
      </c>
      <c r="T190" s="204">
        <v>0</v>
      </c>
      <c r="U190" s="204">
        <v>0</v>
      </c>
      <c r="V190" s="204">
        <v>0</v>
      </c>
      <c r="W190" s="204">
        <v>0</v>
      </c>
      <c r="X190" s="204">
        <v>0</v>
      </c>
      <c r="Y190" s="204">
        <v>0</v>
      </c>
      <c r="Z190" s="204">
        <v>0</v>
      </c>
      <c r="AA190" s="204">
        <v>0</v>
      </c>
      <c r="AB190" s="204">
        <v>0</v>
      </c>
      <c r="AC190" s="204">
        <v>0</v>
      </c>
      <c r="AD190" s="204">
        <v>0</v>
      </c>
      <c r="AE190" s="204">
        <v>0</v>
      </c>
      <c r="AF190" s="206">
        <v>0</v>
      </c>
      <c r="AG190" s="204">
        <v>0</v>
      </c>
      <c r="AH190" s="204">
        <v>0</v>
      </c>
      <c r="AI190" s="204">
        <v>0</v>
      </c>
      <c r="AJ190" s="204">
        <v>0</v>
      </c>
      <c r="AK190" s="204">
        <v>0</v>
      </c>
      <c r="AL190" s="204">
        <v>0</v>
      </c>
      <c r="AM190" s="204">
        <v>0</v>
      </c>
      <c r="AN190" s="204">
        <v>0</v>
      </c>
      <c r="AO190" s="204">
        <v>0</v>
      </c>
      <c r="AP190" s="204">
        <v>0</v>
      </c>
      <c r="AQ190" s="204">
        <v>0</v>
      </c>
      <c r="AR190" s="204">
        <v>0</v>
      </c>
      <c r="AS190" s="204">
        <v>0</v>
      </c>
      <c r="AT190" s="204">
        <v>0</v>
      </c>
      <c r="AU190" s="204">
        <v>0</v>
      </c>
      <c r="AV190" s="204">
        <v>0</v>
      </c>
      <c r="AW190" s="204">
        <v>0</v>
      </c>
      <c r="AX190" s="204">
        <v>0</v>
      </c>
      <c r="AY190" s="204">
        <v>0</v>
      </c>
    </row>
    <row r="191" spans="1:51" ht="15" customHeight="1" x14ac:dyDescent="0.25">
      <c r="A191" s="38" t="s">
        <v>133</v>
      </c>
      <c r="B191" s="1" t="s">
        <v>134</v>
      </c>
      <c r="C191" s="40" t="s">
        <v>135</v>
      </c>
      <c r="D191" s="204">
        <v>29797.972482854257</v>
      </c>
      <c r="E191" s="204">
        <v>29455.123529479672</v>
      </c>
      <c r="F191" s="204">
        <v>26772.033685769758</v>
      </c>
      <c r="G191" s="204">
        <v>27721.012225683153</v>
      </c>
      <c r="H191" s="204">
        <v>29006.020686851061</v>
      </c>
      <c r="I191" s="204">
        <v>22824.023766861337</v>
      </c>
      <c r="J191" s="204">
        <v>23567.010907204622</v>
      </c>
      <c r="K191" s="204">
        <v>25923.008395694564</v>
      </c>
      <c r="L191" s="204">
        <v>28537.913724193535</v>
      </c>
      <c r="M191" s="204">
        <v>28001.829153558981</v>
      </c>
      <c r="N191" s="204">
        <v>28137.619076801311</v>
      </c>
      <c r="O191" s="204">
        <v>26060.376161527896</v>
      </c>
      <c r="P191" s="204">
        <v>26735.989531685238</v>
      </c>
      <c r="Q191" s="204">
        <v>25182.038047981267</v>
      </c>
      <c r="R191" s="204">
        <v>26980.028134370463</v>
      </c>
      <c r="S191" s="204">
        <v>30016.995635273473</v>
      </c>
      <c r="T191" s="204">
        <v>28319.986844446456</v>
      </c>
      <c r="U191" s="204">
        <v>22218.654105076657</v>
      </c>
      <c r="V191" s="204">
        <v>23265.341208775397</v>
      </c>
      <c r="W191" s="204">
        <v>24989.015908768612</v>
      </c>
      <c r="X191" s="204">
        <v>28135.978138088405</v>
      </c>
      <c r="Y191" s="204">
        <v>27865.015418989606</v>
      </c>
      <c r="Z191" s="204">
        <v>27798.238831304847</v>
      </c>
      <c r="AA191" s="204">
        <v>25977.75953401126</v>
      </c>
      <c r="AB191" s="204">
        <v>26142</v>
      </c>
      <c r="AC191" s="204">
        <v>25182</v>
      </c>
      <c r="AD191" s="204">
        <v>23679.999999999996</v>
      </c>
      <c r="AE191" s="204">
        <v>21390</v>
      </c>
      <c r="AF191" s="206">
        <v>20015</v>
      </c>
      <c r="AG191" s="204">
        <v>18939</v>
      </c>
      <c r="AH191" s="204">
        <v>23079</v>
      </c>
      <c r="AI191" s="204">
        <v>26434</v>
      </c>
      <c r="AJ191" s="204">
        <v>23408</v>
      </c>
      <c r="AK191" s="204">
        <v>23262.454008667297</v>
      </c>
      <c r="AL191" s="204">
        <v>21199</v>
      </c>
      <c r="AM191" s="204">
        <v>18869</v>
      </c>
      <c r="AN191" s="204">
        <v>19000</v>
      </c>
      <c r="AO191" s="204">
        <v>17935</v>
      </c>
      <c r="AP191" s="204">
        <v>18500</v>
      </c>
      <c r="AQ191" s="204">
        <v>21308</v>
      </c>
      <c r="AR191" s="204">
        <v>18908</v>
      </c>
      <c r="AS191" s="204">
        <v>19200</v>
      </c>
      <c r="AT191" s="204">
        <v>12851</v>
      </c>
      <c r="AU191" s="204">
        <v>13000</v>
      </c>
      <c r="AV191" s="204">
        <v>17859</v>
      </c>
      <c r="AW191" s="204">
        <v>18122</v>
      </c>
      <c r="AX191" s="204">
        <v>21857</v>
      </c>
      <c r="AY191" s="204">
        <v>19000</v>
      </c>
    </row>
    <row r="192" spans="1:51" ht="15" customHeight="1" x14ac:dyDescent="0.25">
      <c r="A192" s="38" t="s">
        <v>272</v>
      </c>
      <c r="B192" s="1" t="s">
        <v>273</v>
      </c>
      <c r="C192" s="40" t="s">
        <v>274</v>
      </c>
      <c r="D192" s="204">
        <v>20300.963907156987</v>
      </c>
      <c r="E192" s="204">
        <v>18872.97671907716</v>
      </c>
      <c r="F192" s="204">
        <v>18851.015448585931</v>
      </c>
      <c r="G192" s="204">
        <v>18550.968874276037</v>
      </c>
      <c r="H192" s="204">
        <v>20857.379328053685</v>
      </c>
      <c r="I192" s="204">
        <v>18592.028556491114</v>
      </c>
      <c r="J192" s="204">
        <v>18666.982072346345</v>
      </c>
      <c r="K192" s="204">
        <v>19695.98138490093</v>
      </c>
      <c r="L192" s="204">
        <v>19154.899392294075</v>
      </c>
      <c r="M192" s="204">
        <v>19084.878381106784</v>
      </c>
      <c r="N192" s="204">
        <v>21980.637181090173</v>
      </c>
      <c r="O192" s="204">
        <v>23154.802348456447</v>
      </c>
      <c r="P192" s="204">
        <v>20603.938455387633</v>
      </c>
      <c r="Q192" s="204">
        <v>19810.499551560253</v>
      </c>
      <c r="R192" s="204">
        <v>20169.988526282636</v>
      </c>
      <c r="S192" s="204">
        <v>21390.012807387324</v>
      </c>
      <c r="T192" s="204">
        <v>22719.977252594657</v>
      </c>
      <c r="U192" s="204">
        <v>21350.93695785779</v>
      </c>
      <c r="V192" s="204">
        <v>23276.01274806288</v>
      </c>
      <c r="W192" s="204">
        <v>21393.983957136039</v>
      </c>
      <c r="X192" s="204">
        <v>20843.979605149525</v>
      </c>
      <c r="Y192" s="204">
        <v>23241.011535240079</v>
      </c>
      <c r="Z192" s="204">
        <v>23503.973908478823</v>
      </c>
      <c r="AA192" s="204">
        <v>21532.18730134163</v>
      </c>
      <c r="AB192" s="204">
        <v>18988.121830069205</v>
      </c>
      <c r="AC192" s="204">
        <v>20771</v>
      </c>
      <c r="AD192" s="204">
        <v>17107</v>
      </c>
      <c r="AE192" s="204">
        <v>16187.000000000002</v>
      </c>
      <c r="AF192" s="206">
        <v>15678</v>
      </c>
      <c r="AG192" s="204">
        <v>16689</v>
      </c>
      <c r="AH192" s="204">
        <v>17153</v>
      </c>
      <c r="AI192" s="204">
        <v>15982</v>
      </c>
      <c r="AJ192" s="204">
        <v>17766</v>
      </c>
      <c r="AK192" s="204">
        <v>15994.565147026931</v>
      </c>
      <c r="AL192" s="204">
        <v>17978</v>
      </c>
      <c r="AM192" s="204">
        <v>17850</v>
      </c>
      <c r="AN192" s="204">
        <v>19888</v>
      </c>
      <c r="AO192" s="204">
        <v>15997</v>
      </c>
      <c r="AP192" s="204">
        <v>13909</v>
      </c>
      <c r="AQ192" s="204">
        <v>15553</v>
      </c>
      <c r="AR192" s="204">
        <v>16622</v>
      </c>
      <c r="AS192" s="204">
        <v>18012</v>
      </c>
      <c r="AT192" s="204">
        <v>17248</v>
      </c>
      <c r="AU192" s="204">
        <v>18589</v>
      </c>
      <c r="AV192" s="204">
        <v>23119</v>
      </c>
      <c r="AW192" s="204">
        <v>24065</v>
      </c>
      <c r="AX192" s="204">
        <v>25676</v>
      </c>
      <c r="AY192" s="204">
        <v>23390</v>
      </c>
    </row>
    <row r="193" spans="1:51" ht="15" customHeight="1" x14ac:dyDescent="0.25">
      <c r="A193" s="38" t="s">
        <v>211</v>
      </c>
      <c r="B193" s="1" t="s">
        <v>212</v>
      </c>
      <c r="C193" s="40" t="s">
        <v>213</v>
      </c>
      <c r="D193" s="204">
        <v>41070.971888342829</v>
      </c>
      <c r="E193" s="204">
        <v>39080.032314185628</v>
      </c>
      <c r="F193" s="204">
        <v>39074.036767405909</v>
      </c>
      <c r="G193" s="204">
        <v>41283.961417829014</v>
      </c>
      <c r="H193" s="204">
        <v>43440.029524568381</v>
      </c>
      <c r="I193" s="204">
        <v>39787.973364932863</v>
      </c>
      <c r="J193" s="204">
        <v>41272.021553798775</v>
      </c>
      <c r="K193" s="204">
        <v>44155.975986421676</v>
      </c>
      <c r="L193" s="204">
        <v>42635.813081087152</v>
      </c>
      <c r="M193" s="204">
        <v>43516.728602103707</v>
      </c>
      <c r="N193" s="204">
        <v>58040.140323199783</v>
      </c>
      <c r="O193" s="204">
        <v>37359.203825757737</v>
      </c>
      <c r="P193" s="204">
        <v>36155.390562784662</v>
      </c>
      <c r="Q193" s="204">
        <v>38464.781566363614</v>
      </c>
      <c r="R193" s="204">
        <v>39037.001906769838</v>
      </c>
      <c r="S193" s="204">
        <v>42607.009286643028</v>
      </c>
      <c r="T193" s="204">
        <v>40053.023627574483</v>
      </c>
      <c r="U193" s="204">
        <v>38981.928156403694</v>
      </c>
      <c r="V193" s="204">
        <v>42628.00513358332</v>
      </c>
      <c r="W193" s="204">
        <v>39944.922561651321</v>
      </c>
      <c r="X193" s="204">
        <v>42978.974636450279</v>
      </c>
      <c r="Y193" s="204">
        <v>44968.037778156773</v>
      </c>
      <c r="Z193" s="204">
        <v>43375.915289193726</v>
      </c>
      <c r="AA193" s="204">
        <v>42079.748520284455</v>
      </c>
      <c r="AB193" s="204">
        <v>38747.186385821085</v>
      </c>
      <c r="AC193" s="204">
        <v>43040</v>
      </c>
      <c r="AD193" s="204">
        <v>32700</v>
      </c>
      <c r="AE193" s="204">
        <v>29737.000000000004</v>
      </c>
      <c r="AF193" s="206">
        <v>25679</v>
      </c>
      <c r="AG193" s="204">
        <v>31709</v>
      </c>
      <c r="AH193" s="204">
        <v>29316.000000000004</v>
      </c>
      <c r="AI193" s="204">
        <v>29045</v>
      </c>
      <c r="AJ193" s="204">
        <v>31647</v>
      </c>
      <c r="AK193" s="204">
        <v>29449.091135487037</v>
      </c>
      <c r="AL193" s="204">
        <v>31736</v>
      </c>
      <c r="AM193" s="204">
        <v>26859</v>
      </c>
      <c r="AN193" s="204">
        <v>26586</v>
      </c>
      <c r="AO193" s="204">
        <v>25228</v>
      </c>
      <c r="AP193" s="204">
        <v>26894</v>
      </c>
      <c r="AQ193" s="204">
        <v>24937</v>
      </c>
      <c r="AR193" s="204">
        <v>26405</v>
      </c>
      <c r="AS193" s="204">
        <v>29177</v>
      </c>
      <c r="AT193" s="204">
        <v>28516</v>
      </c>
      <c r="AU193" s="204">
        <v>29549</v>
      </c>
      <c r="AV193" s="204">
        <v>36965</v>
      </c>
      <c r="AW193" s="204">
        <v>36929</v>
      </c>
      <c r="AX193" s="204">
        <v>37754</v>
      </c>
      <c r="AY193" s="204">
        <v>31512</v>
      </c>
    </row>
    <row r="194" spans="1:51" ht="15" customHeight="1" x14ac:dyDescent="0.25">
      <c r="A194" s="62">
        <v>3100</v>
      </c>
      <c r="B194" s="207" t="s">
        <v>537</v>
      </c>
      <c r="C194" s="40" t="s">
        <v>538</v>
      </c>
      <c r="D194" s="204">
        <v>302080.69963241357</v>
      </c>
      <c r="E194" s="204">
        <v>296862.12100722367</v>
      </c>
      <c r="F194" s="204">
        <v>314982.89881794748</v>
      </c>
      <c r="G194" s="204">
        <v>314982.89881794748</v>
      </c>
      <c r="H194" s="204">
        <v>318833.13507156895</v>
      </c>
      <c r="I194" s="204">
        <v>279277.56283794279</v>
      </c>
      <c r="J194" s="204">
        <v>281271.81142871943</v>
      </c>
      <c r="K194" s="204">
        <v>309699.48850547022</v>
      </c>
      <c r="L194" s="204">
        <v>307238.84592264344</v>
      </c>
      <c r="M194" s="204">
        <v>314891.22454947559</v>
      </c>
      <c r="N194" s="204">
        <v>339315.51545445953</v>
      </c>
      <c r="O194" s="204">
        <v>301977.3199862701</v>
      </c>
      <c r="P194" s="204">
        <v>292935.20739166095</v>
      </c>
      <c r="Q194" s="204">
        <v>294263.54687721696</v>
      </c>
      <c r="R194" s="204">
        <v>291319.0627434848</v>
      </c>
      <c r="S194" s="204">
        <v>316863.68432078161</v>
      </c>
      <c r="T194" s="204">
        <v>278196.16427162301</v>
      </c>
      <c r="U194" s="204">
        <v>269937.50753035449</v>
      </c>
      <c r="V194" s="204">
        <v>299326.86458893935</v>
      </c>
      <c r="W194" s="204">
        <v>281070.41551254044</v>
      </c>
      <c r="X194" s="204">
        <v>301661.98117922229</v>
      </c>
      <c r="Y194" s="204">
        <v>314713.11588586902</v>
      </c>
      <c r="Z194" s="204">
        <v>309009.46901372925</v>
      </c>
      <c r="AA194" s="204">
        <v>299564.96492408309</v>
      </c>
      <c r="AB194" s="204">
        <v>277050.94208659249</v>
      </c>
      <c r="AC194" s="204">
        <v>317279</v>
      </c>
      <c r="AD194" s="204">
        <v>249371.99999999997</v>
      </c>
      <c r="AE194" s="204">
        <v>201052.00000000003</v>
      </c>
      <c r="AF194" s="206">
        <v>191252</v>
      </c>
      <c r="AG194" s="204">
        <v>224640.00000000003</v>
      </c>
      <c r="AH194" s="204">
        <v>218402.99999999997</v>
      </c>
      <c r="AI194" s="204">
        <v>225335</v>
      </c>
      <c r="AJ194" s="204">
        <v>257143</v>
      </c>
      <c r="AK194" s="204">
        <v>225569.90716904218</v>
      </c>
      <c r="AL194" s="204">
        <v>233912</v>
      </c>
      <c r="AM194" s="204">
        <v>200346</v>
      </c>
      <c r="AN194" s="204">
        <v>213418</v>
      </c>
      <c r="AO194" s="204">
        <v>202180</v>
      </c>
      <c r="AP194" s="204">
        <v>192052</v>
      </c>
      <c r="AQ194" s="204">
        <v>192770</v>
      </c>
      <c r="AR194" s="204">
        <v>198564</v>
      </c>
      <c r="AS194" s="204">
        <v>212662</v>
      </c>
      <c r="AT194" s="204">
        <v>221957</v>
      </c>
      <c r="AU194" s="204">
        <v>246309</v>
      </c>
      <c r="AV194" s="204">
        <v>291692</v>
      </c>
      <c r="AW194" s="204">
        <v>269686</v>
      </c>
      <c r="AX194" s="204">
        <v>259441</v>
      </c>
      <c r="AY194" s="204">
        <v>233362</v>
      </c>
    </row>
    <row r="195" spans="1:51" ht="15" customHeight="1" x14ac:dyDescent="0.25">
      <c r="A195" s="62">
        <v>3101</v>
      </c>
      <c r="B195" s="207" t="s">
        <v>539</v>
      </c>
      <c r="C195" s="100" t="s">
        <v>540</v>
      </c>
      <c r="D195" s="204">
        <v>140909.99471255561</v>
      </c>
      <c r="E195" s="204">
        <v>145277.08081296287</v>
      </c>
      <c r="F195" s="204">
        <v>152448.94468660976</v>
      </c>
      <c r="G195" s="204">
        <v>152448.94468660976</v>
      </c>
      <c r="H195" s="204">
        <v>68344.1422569235</v>
      </c>
      <c r="I195" s="204">
        <v>208973.97969705757</v>
      </c>
      <c r="J195" s="204">
        <v>581562.35851999326</v>
      </c>
      <c r="K195" s="204">
        <v>693323.70836780081</v>
      </c>
      <c r="L195" s="204">
        <v>536196.97585014475</v>
      </c>
      <c r="M195" s="204">
        <v>229088.63162410399</v>
      </c>
      <c r="N195" s="204">
        <v>133038.04899261234</v>
      </c>
      <c r="O195" s="204">
        <v>116438.39562889429</v>
      </c>
      <c r="P195" s="204">
        <v>115361.05029829538</v>
      </c>
      <c r="Q195" s="204">
        <v>115054.20761933863</v>
      </c>
      <c r="R195" s="204">
        <v>123287.04475560437</v>
      </c>
      <c r="S195" s="204">
        <v>116997.96797668902</v>
      </c>
      <c r="T195" s="204">
        <v>81162.866347551215</v>
      </c>
      <c r="U195" s="204">
        <v>82941.705196315816</v>
      </c>
      <c r="V195" s="204">
        <v>17851.047906656382</v>
      </c>
      <c r="W195" s="204">
        <v>139024.75188316795</v>
      </c>
      <c r="X195" s="204">
        <v>163022</v>
      </c>
      <c r="Y195" s="204">
        <v>43588.016393759019</v>
      </c>
      <c r="Z195" s="204">
        <v>29006.107382530179</v>
      </c>
      <c r="AA195" s="204">
        <v>30835.862459829168</v>
      </c>
      <c r="AB195" s="204">
        <v>94106.62376178363</v>
      </c>
      <c r="AC195" s="204">
        <v>129538</v>
      </c>
      <c r="AD195" s="204">
        <v>114065</v>
      </c>
      <c r="AE195" s="204">
        <v>129952.00000000001</v>
      </c>
      <c r="AF195" s="206">
        <v>132074</v>
      </c>
      <c r="AG195" s="204">
        <v>145226</v>
      </c>
      <c r="AH195" s="204">
        <v>128169.99999999999</v>
      </c>
      <c r="AI195" s="204">
        <v>278905</v>
      </c>
      <c r="AJ195" s="204">
        <v>257284</v>
      </c>
      <c r="AK195" s="204">
        <v>221174.18221727884</v>
      </c>
      <c r="AL195" s="204">
        <v>100836</v>
      </c>
      <c r="AM195" s="204">
        <v>89429</v>
      </c>
      <c r="AN195" s="204">
        <v>102955</v>
      </c>
      <c r="AO195" s="204">
        <v>111479</v>
      </c>
      <c r="AP195" s="204">
        <v>96653</v>
      </c>
      <c r="AQ195" s="204">
        <v>125159</v>
      </c>
      <c r="AR195" s="204">
        <v>148827</v>
      </c>
      <c r="AS195" s="204">
        <v>179118</v>
      </c>
      <c r="AT195" s="204">
        <v>309614</v>
      </c>
      <c r="AU195" s="204">
        <v>279773</v>
      </c>
      <c r="AV195" s="204">
        <v>266169</v>
      </c>
      <c r="AW195" s="204">
        <v>162324</v>
      </c>
      <c r="AX195" s="204">
        <v>148549</v>
      </c>
      <c r="AY195" s="204">
        <v>97586</v>
      </c>
    </row>
    <row r="196" spans="1:51" ht="15" customHeight="1" x14ac:dyDescent="0.25">
      <c r="A196" s="62">
        <v>3102</v>
      </c>
      <c r="B196" s="207" t="s">
        <v>541</v>
      </c>
      <c r="C196" s="144" t="s">
        <v>542</v>
      </c>
      <c r="D196" s="204">
        <v>0</v>
      </c>
      <c r="E196" s="204">
        <v>0</v>
      </c>
      <c r="F196" s="204">
        <v>0</v>
      </c>
      <c r="G196" s="204">
        <v>0</v>
      </c>
      <c r="H196" s="204">
        <v>0</v>
      </c>
      <c r="I196" s="204">
        <v>0</v>
      </c>
      <c r="J196" s="204">
        <v>0</v>
      </c>
      <c r="K196" s="204">
        <v>0</v>
      </c>
      <c r="L196" s="204">
        <v>0</v>
      </c>
      <c r="M196" s="204">
        <v>0</v>
      </c>
      <c r="N196" s="204">
        <v>0</v>
      </c>
      <c r="O196" s="204">
        <v>0</v>
      </c>
      <c r="P196" s="204">
        <v>0</v>
      </c>
      <c r="Q196" s="204">
        <v>0</v>
      </c>
      <c r="R196" s="204">
        <v>0</v>
      </c>
      <c r="S196" s="204">
        <v>0</v>
      </c>
      <c r="T196" s="204">
        <v>0</v>
      </c>
      <c r="U196" s="204">
        <v>0</v>
      </c>
      <c r="V196" s="204">
        <v>0</v>
      </c>
      <c r="W196" s="204">
        <v>0</v>
      </c>
      <c r="X196" s="204">
        <v>0</v>
      </c>
      <c r="Y196" s="204">
        <v>0</v>
      </c>
      <c r="Z196" s="204">
        <v>0</v>
      </c>
      <c r="AA196" s="204">
        <v>0</v>
      </c>
      <c r="AB196" s="204">
        <v>0</v>
      </c>
      <c r="AC196" s="204">
        <v>0</v>
      </c>
      <c r="AD196" s="204">
        <v>0</v>
      </c>
      <c r="AE196" s="204">
        <v>0</v>
      </c>
      <c r="AF196" s="206">
        <v>0</v>
      </c>
      <c r="AG196" s="204">
        <v>0</v>
      </c>
      <c r="AH196" s="204">
        <v>0</v>
      </c>
      <c r="AI196" s="204">
        <v>0</v>
      </c>
      <c r="AJ196" s="204">
        <v>0</v>
      </c>
      <c r="AK196" s="204">
        <v>0</v>
      </c>
      <c r="AL196" s="204">
        <v>0</v>
      </c>
      <c r="AM196" s="204">
        <v>0</v>
      </c>
      <c r="AN196" s="204">
        <v>0</v>
      </c>
      <c r="AO196" s="204">
        <v>0</v>
      </c>
      <c r="AP196" s="204">
        <v>0</v>
      </c>
      <c r="AQ196" s="204">
        <v>0</v>
      </c>
      <c r="AR196" s="204">
        <v>0</v>
      </c>
      <c r="AS196" s="204">
        <v>0</v>
      </c>
      <c r="AT196" s="204">
        <v>0</v>
      </c>
      <c r="AU196" s="204">
        <v>0</v>
      </c>
      <c r="AV196" s="204">
        <v>0</v>
      </c>
      <c r="AW196" s="204">
        <v>0</v>
      </c>
      <c r="AX196" s="204">
        <v>0</v>
      </c>
      <c r="AY196" s="204">
        <v>0</v>
      </c>
    </row>
    <row r="197" spans="1:51" ht="15" customHeight="1" x14ac:dyDescent="0.25">
      <c r="A197" s="117">
        <v>8010</v>
      </c>
      <c r="B197" s="100" t="s">
        <v>608</v>
      </c>
      <c r="C197" s="345" t="s">
        <v>609</v>
      </c>
      <c r="D197" s="204">
        <v>0</v>
      </c>
      <c r="E197" s="204">
        <v>0</v>
      </c>
      <c r="F197" s="204">
        <v>0</v>
      </c>
      <c r="G197" s="204">
        <v>0</v>
      </c>
      <c r="H197" s="204">
        <v>0</v>
      </c>
      <c r="I197" s="204">
        <v>0</v>
      </c>
      <c r="J197" s="204">
        <v>0</v>
      </c>
      <c r="K197" s="204">
        <v>0</v>
      </c>
      <c r="L197" s="204">
        <v>0</v>
      </c>
      <c r="M197" s="204">
        <v>0</v>
      </c>
      <c r="N197" s="204">
        <v>0</v>
      </c>
      <c r="O197" s="204">
        <v>0</v>
      </c>
      <c r="P197" s="204">
        <v>0</v>
      </c>
      <c r="Q197" s="204">
        <v>0</v>
      </c>
      <c r="R197" s="204">
        <v>0</v>
      </c>
      <c r="S197" s="204">
        <v>0</v>
      </c>
      <c r="T197" s="204">
        <v>0</v>
      </c>
      <c r="U197" s="204">
        <v>0</v>
      </c>
      <c r="V197" s="204">
        <v>0</v>
      </c>
      <c r="W197" s="204">
        <v>0</v>
      </c>
      <c r="X197" s="204">
        <v>0</v>
      </c>
      <c r="Y197" s="204">
        <v>0</v>
      </c>
      <c r="Z197" s="204">
        <v>0</v>
      </c>
      <c r="AA197" s="204">
        <v>0</v>
      </c>
      <c r="AB197" s="204">
        <v>0</v>
      </c>
      <c r="AC197" s="204">
        <v>0</v>
      </c>
      <c r="AD197" s="204">
        <v>0</v>
      </c>
      <c r="AE197" s="204">
        <v>0</v>
      </c>
      <c r="AF197" s="206">
        <v>0</v>
      </c>
      <c r="AG197" s="204">
        <v>0</v>
      </c>
      <c r="AH197" s="204">
        <v>0</v>
      </c>
      <c r="AI197" s="204">
        <v>0</v>
      </c>
      <c r="AJ197" s="204">
        <v>0</v>
      </c>
      <c r="AK197" s="204">
        <v>0</v>
      </c>
      <c r="AL197" s="204">
        <v>0</v>
      </c>
      <c r="AM197" s="204">
        <v>0</v>
      </c>
      <c r="AN197" s="204">
        <v>0</v>
      </c>
      <c r="AO197" s="204">
        <v>0</v>
      </c>
      <c r="AP197" s="204">
        <v>0</v>
      </c>
      <c r="AQ197" s="204">
        <v>0</v>
      </c>
      <c r="AR197" s="204">
        <v>0</v>
      </c>
      <c r="AS197" s="204">
        <v>0</v>
      </c>
      <c r="AT197" s="204">
        <v>0</v>
      </c>
      <c r="AU197" s="204">
        <v>0</v>
      </c>
      <c r="AV197" s="204">
        <v>0</v>
      </c>
      <c r="AW197" s="204">
        <v>0</v>
      </c>
      <c r="AX197" s="204">
        <v>0</v>
      </c>
      <c r="AY197" s="204">
        <v>0</v>
      </c>
    </row>
    <row r="198" spans="1:51" ht="15" customHeight="1" x14ac:dyDescent="0.25">
      <c r="A198" s="62" t="s">
        <v>586</v>
      </c>
      <c r="B198" s="124" t="s">
        <v>587</v>
      </c>
      <c r="C198" s="346" t="s">
        <v>588</v>
      </c>
      <c r="D198" s="204">
        <v>70986.005285577165</v>
      </c>
      <c r="E198" s="204">
        <v>65028.992537448146</v>
      </c>
      <c r="F198" s="204">
        <v>67609.005106371813</v>
      </c>
      <c r="G198" s="204">
        <v>72143.008533394066</v>
      </c>
      <c r="H198" s="204">
        <v>75019.929650806676</v>
      </c>
      <c r="I198" s="204">
        <v>77689.37312861922</v>
      </c>
      <c r="J198" s="204">
        <v>92332.889268643761</v>
      </c>
      <c r="K198" s="204">
        <v>93435.618458402969</v>
      </c>
      <c r="L198" s="204">
        <v>90499.683702777911</v>
      </c>
      <c r="M198" s="204">
        <v>80328.524262122955</v>
      </c>
      <c r="N198" s="204">
        <v>81629.616565371805</v>
      </c>
      <c r="O198" s="204">
        <v>77038.84380482955</v>
      </c>
      <c r="P198" s="204">
        <v>64826.040310280048</v>
      </c>
      <c r="Q198" s="204">
        <v>59489.134965689584</v>
      </c>
      <c r="R198" s="204">
        <v>73893.031894114771</v>
      </c>
      <c r="S198" s="204">
        <v>81953.989168263943</v>
      </c>
      <c r="T198" s="204">
        <v>84306.025284143994</v>
      </c>
      <c r="U198" s="204">
        <v>83572.807302945192</v>
      </c>
      <c r="V198" s="204">
        <v>92595.986694060892</v>
      </c>
      <c r="W198" s="204">
        <v>88473.827971151681</v>
      </c>
      <c r="X198" s="204">
        <v>92013.949077639059</v>
      </c>
      <c r="Y198" s="204">
        <v>91382.054705775605</v>
      </c>
      <c r="Z198" s="204">
        <v>85600.878247046741</v>
      </c>
      <c r="AA198" s="204">
        <v>69783.782684182865</v>
      </c>
      <c r="AB198" s="204">
        <v>66747.126714650585</v>
      </c>
      <c r="AC198" s="204">
        <v>76415</v>
      </c>
      <c r="AD198" s="204">
        <v>60699</v>
      </c>
      <c r="AE198" s="204">
        <v>68148</v>
      </c>
      <c r="AF198" s="206">
        <v>80057</v>
      </c>
      <c r="AG198" s="204">
        <v>87354</v>
      </c>
      <c r="AH198" s="204">
        <v>90652.000000000015</v>
      </c>
      <c r="AI198" s="204">
        <v>100560</v>
      </c>
      <c r="AJ198" s="204">
        <v>95645</v>
      </c>
      <c r="AK198" s="204">
        <v>92929.057844366878</v>
      </c>
      <c r="AL198" s="204">
        <v>84087</v>
      </c>
      <c r="AM198" s="204">
        <v>71423</v>
      </c>
      <c r="AN198" s="204">
        <v>69778</v>
      </c>
      <c r="AO198" s="204">
        <v>70104</v>
      </c>
      <c r="AP198" s="204">
        <v>67703</v>
      </c>
      <c r="AQ198" s="204">
        <v>78150</v>
      </c>
      <c r="AR198" s="204">
        <v>85985</v>
      </c>
      <c r="AS198" s="204">
        <v>99028</v>
      </c>
      <c r="AT198" s="204">
        <v>122107</v>
      </c>
      <c r="AU198" s="204">
        <v>109249</v>
      </c>
      <c r="AV198" s="204">
        <v>95288</v>
      </c>
      <c r="AW198" s="204">
        <v>81197</v>
      </c>
      <c r="AX198" s="204">
        <v>88543</v>
      </c>
      <c r="AY198" s="204">
        <v>69952</v>
      </c>
    </row>
    <row r="199" spans="1:51" ht="15" customHeight="1" x14ac:dyDescent="0.25">
      <c r="A199" s="38" t="s">
        <v>263</v>
      </c>
      <c r="B199" s="63" t="s">
        <v>264</v>
      </c>
      <c r="C199" s="40" t="s">
        <v>265</v>
      </c>
      <c r="D199" s="204">
        <v>2514.7200000000003</v>
      </c>
      <c r="E199" s="204">
        <v>2605.5872000000004</v>
      </c>
      <c r="F199" s="204">
        <v>2680.7808000000005</v>
      </c>
      <c r="G199" s="204">
        <v>2853.5872000000004</v>
      </c>
      <c r="H199" s="204">
        <v>2951.0016000000005</v>
      </c>
      <c r="I199" s="204">
        <v>2398.0608000000002</v>
      </c>
      <c r="J199" s="204">
        <v>2696.4544000000001</v>
      </c>
      <c r="K199" s="204">
        <v>2957.5488000000005</v>
      </c>
      <c r="L199" s="204">
        <v>2643.0848000000001</v>
      </c>
      <c r="M199" s="204">
        <v>2749.2288000000003</v>
      </c>
      <c r="N199" s="204">
        <v>2849.0240000000003</v>
      </c>
      <c r="O199" s="204">
        <v>2849.0240000000003</v>
      </c>
      <c r="P199" s="204">
        <v>2480.5952000000002</v>
      </c>
      <c r="Q199" s="204">
        <v>2480.5952000000002</v>
      </c>
      <c r="R199" s="204">
        <v>2578.8032000000003</v>
      </c>
      <c r="S199" s="204">
        <v>2910.9248000000002</v>
      </c>
      <c r="T199" s="204">
        <v>2650.4256000000005</v>
      </c>
      <c r="U199" s="204">
        <v>2419.2896000000001</v>
      </c>
      <c r="V199" s="204">
        <v>2592.0960000000005</v>
      </c>
      <c r="W199" s="204">
        <v>2696.0576000000001</v>
      </c>
      <c r="X199" s="204">
        <v>2657.3696000000004</v>
      </c>
      <c r="Y199" s="204">
        <v>2783.9488000000001</v>
      </c>
      <c r="Z199" s="204">
        <v>2620.6656000000003</v>
      </c>
      <c r="AA199" s="204">
        <v>2823.4304000000002</v>
      </c>
      <c r="AB199" s="204">
        <v>2448.8512000000001</v>
      </c>
      <c r="AC199" s="204">
        <v>2810.5344000000005</v>
      </c>
      <c r="AD199" s="204">
        <v>2097.2864000000004</v>
      </c>
      <c r="AE199" s="204">
        <v>1904.2432000000001</v>
      </c>
      <c r="AF199" s="206">
        <v>1708.6208000000001</v>
      </c>
      <c r="AG199" s="204">
        <v>1778.0608000000002</v>
      </c>
      <c r="AH199" s="204">
        <v>1736.3968000000002</v>
      </c>
      <c r="AI199" s="204">
        <v>1812.9792000000002</v>
      </c>
      <c r="AJ199" s="204">
        <v>1978.2464000000002</v>
      </c>
      <c r="AK199" s="204">
        <v>1846.2115072675392</v>
      </c>
      <c r="AL199" s="204">
        <v>2160.9728</v>
      </c>
      <c r="AM199" s="204">
        <v>2009.9904000000001</v>
      </c>
      <c r="AN199" s="204">
        <v>2141.3312000000001</v>
      </c>
      <c r="AO199" s="204">
        <v>1882.0224000000003</v>
      </c>
      <c r="AP199" s="204">
        <v>1945.1136000000001</v>
      </c>
      <c r="AQ199" s="204">
        <v>1559.0272000000002</v>
      </c>
      <c r="AR199" s="204">
        <v>1628.4672000000003</v>
      </c>
      <c r="AS199" s="204">
        <v>1722.9056000000003</v>
      </c>
      <c r="AT199" s="204">
        <v>1996.8960000000002</v>
      </c>
      <c r="AU199" s="204">
        <v>2096.4928000000004</v>
      </c>
      <c r="AV199" s="204">
        <v>2271.6800000000003</v>
      </c>
      <c r="AW199" s="204">
        <v>2287.5520000000001</v>
      </c>
      <c r="AX199" s="204">
        <v>2364.3328000000001</v>
      </c>
      <c r="AY199" s="204">
        <v>2234.3808000000004</v>
      </c>
    </row>
    <row r="200" spans="1:51" ht="15" customHeight="1" x14ac:dyDescent="0.25">
      <c r="A200" s="38" t="s">
        <v>266</v>
      </c>
      <c r="B200" s="63" t="s">
        <v>267</v>
      </c>
      <c r="C200" s="64" t="s">
        <v>268</v>
      </c>
      <c r="D200" s="204">
        <v>10160.279999999999</v>
      </c>
      <c r="E200" s="204">
        <v>10527.4128</v>
      </c>
      <c r="F200" s="204">
        <v>10831.2192</v>
      </c>
      <c r="G200" s="204">
        <v>11529.4128</v>
      </c>
      <c r="H200" s="204">
        <v>11922.9984</v>
      </c>
      <c r="I200" s="204">
        <v>9688.9391999999989</v>
      </c>
      <c r="J200" s="204">
        <v>10894.545599999999</v>
      </c>
      <c r="K200" s="204">
        <v>11949.4512</v>
      </c>
      <c r="L200" s="204">
        <v>10678.915199999999</v>
      </c>
      <c r="M200" s="204">
        <v>11107.771199999999</v>
      </c>
      <c r="N200" s="204">
        <v>11510.976000000001</v>
      </c>
      <c r="O200" s="204">
        <v>11510.976000000001</v>
      </c>
      <c r="P200" s="204">
        <v>10022.4048</v>
      </c>
      <c r="Q200" s="204">
        <v>10022.4048</v>
      </c>
      <c r="R200" s="204">
        <v>10419.1968</v>
      </c>
      <c r="S200" s="204">
        <v>11761.075199999999</v>
      </c>
      <c r="T200" s="204">
        <v>10708.5744</v>
      </c>
      <c r="U200" s="204">
        <v>9774.7103999999999</v>
      </c>
      <c r="V200" s="204">
        <v>10472.904</v>
      </c>
      <c r="W200" s="204">
        <v>10892.9424</v>
      </c>
      <c r="X200" s="204">
        <v>10736.6304</v>
      </c>
      <c r="Y200" s="204">
        <v>11248.0512</v>
      </c>
      <c r="Z200" s="204">
        <v>10588.3344</v>
      </c>
      <c r="AA200" s="204">
        <v>11407.569599999999</v>
      </c>
      <c r="AB200" s="204">
        <v>9894.148799999999</v>
      </c>
      <c r="AC200" s="204">
        <v>11355.4656</v>
      </c>
      <c r="AD200" s="204">
        <v>8473.7135999999991</v>
      </c>
      <c r="AE200" s="204">
        <v>7693.7568000000001</v>
      </c>
      <c r="AF200" s="206">
        <v>6903.3791999999994</v>
      </c>
      <c r="AG200" s="204">
        <v>7183.9391999999998</v>
      </c>
      <c r="AH200" s="204">
        <v>7015.6031999999996</v>
      </c>
      <c r="AI200" s="204">
        <v>7325.0208000000002</v>
      </c>
      <c r="AJ200" s="204">
        <v>7992.7536</v>
      </c>
      <c r="AK200" s="204">
        <v>7459.2900414599753</v>
      </c>
      <c r="AL200" s="204">
        <v>8731.0272000000004</v>
      </c>
      <c r="AM200" s="204">
        <v>8121.0095999999994</v>
      </c>
      <c r="AN200" s="204">
        <v>8651.6687999999995</v>
      </c>
      <c r="AO200" s="204">
        <v>7603.9776000000002</v>
      </c>
      <c r="AP200" s="204">
        <v>7858.8863999999994</v>
      </c>
      <c r="AQ200" s="204">
        <v>6298.9727999999996</v>
      </c>
      <c r="AR200" s="204">
        <v>6579.5328</v>
      </c>
      <c r="AS200" s="204">
        <v>6961.0944</v>
      </c>
      <c r="AT200" s="204">
        <v>8068.1039999999994</v>
      </c>
      <c r="AU200" s="204">
        <v>8470.5072</v>
      </c>
      <c r="AV200" s="204">
        <v>9178.32</v>
      </c>
      <c r="AW200" s="204">
        <v>9242.4480000000003</v>
      </c>
      <c r="AX200" s="204">
        <v>9552.6671999999999</v>
      </c>
      <c r="AY200" s="204">
        <v>9027.6191999999992</v>
      </c>
    </row>
    <row r="201" spans="1:51" ht="15" customHeight="1" x14ac:dyDescent="0.25">
      <c r="A201" s="38" t="s">
        <v>94</v>
      </c>
      <c r="B201" s="1" t="s">
        <v>95</v>
      </c>
      <c r="C201" s="40" t="s">
        <v>96</v>
      </c>
      <c r="D201" s="204">
        <v>128017.14895228716</v>
      </c>
      <c r="E201" s="204">
        <v>124591.63993652826</v>
      </c>
      <c r="F201" s="204">
        <v>126551.96103411751</v>
      </c>
      <c r="G201" s="204">
        <v>133935.90426043834</v>
      </c>
      <c r="H201" s="204">
        <v>126083.84258395302</v>
      </c>
      <c r="I201" s="204">
        <v>119312.67693472425</v>
      </c>
      <c r="J201" s="204">
        <v>143780</v>
      </c>
      <c r="K201" s="204">
        <v>153094</v>
      </c>
      <c r="L201" s="204">
        <v>157611.42497134511</v>
      </c>
      <c r="M201" s="204">
        <v>152781.04375549665</v>
      </c>
      <c r="N201" s="204">
        <v>159024.47356597232</v>
      </c>
      <c r="O201" s="204">
        <v>131693.3548842234</v>
      </c>
      <c r="P201" s="204">
        <v>125417.24855178628</v>
      </c>
      <c r="Q201" s="204">
        <v>122825.12</v>
      </c>
      <c r="R201" s="204">
        <v>129292.62277795303</v>
      </c>
      <c r="S201" s="204">
        <v>151786.07756745466</v>
      </c>
      <c r="T201" s="204">
        <v>136818.81651901253</v>
      </c>
      <c r="U201" s="204">
        <v>148838.24958122688</v>
      </c>
      <c r="V201" s="204">
        <v>167836.2226640755</v>
      </c>
      <c r="W201" s="204">
        <v>156471.06982281359</v>
      </c>
      <c r="X201" s="204">
        <v>141094.43282176708</v>
      </c>
      <c r="Y201" s="204">
        <v>145247.71890850298</v>
      </c>
      <c r="Z201" s="204">
        <v>131434.10792714785</v>
      </c>
      <c r="AA201" s="204">
        <v>130791.66598835787</v>
      </c>
      <c r="AB201" s="204">
        <v>99930</v>
      </c>
      <c r="AC201" s="204">
        <v>118209</v>
      </c>
      <c r="AD201" s="204">
        <v>98095.999999999985</v>
      </c>
      <c r="AE201" s="204">
        <v>79358</v>
      </c>
      <c r="AF201" s="206">
        <v>84762</v>
      </c>
      <c r="AG201" s="204">
        <v>97148.000000000015</v>
      </c>
      <c r="AH201" s="204">
        <v>100524.99999999999</v>
      </c>
      <c r="AI201" s="204">
        <v>95261</v>
      </c>
      <c r="AJ201" s="204">
        <v>93991</v>
      </c>
      <c r="AK201" s="204">
        <v>93056.258767175066</v>
      </c>
      <c r="AL201" s="204">
        <v>90466</v>
      </c>
      <c r="AM201" s="204">
        <v>69179</v>
      </c>
      <c r="AN201" s="204">
        <v>66596</v>
      </c>
      <c r="AO201" s="204">
        <v>55958</v>
      </c>
      <c r="AP201" s="204">
        <v>60650</v>
      </c>
      <c r="AQ201" s="204">
        <v>68064</v>
      </c>
      <c r="AR201" s="204">
        <v>62378</v>
      </c>
      <c r="AS201" s="204">
        <v>81623</v>
      </c>
      <c r="AT201" s="204">
        <v>71256</v>
      </c>
      <c r="AU201" s="204">
        <v>90240</v>
      </c>
      <c r="AV201" s="204">
        <v>95256</v>
      </c>
      <c r="AW201" s="204">
        <v>101811.14</v>
      </c>
      <c r="AX201" s="204">
        <v>97886</v>
      </c>
      <c r="AY201" s="204">
        <v>63448</v>
      </c>
    </row>
    <row r="202" spans="1:51" ht="15" customHeight="1" x14ac:dyDescent="0.25">
      <c r="A202" s="62">
        <v>3300</v>
      </c>
      <c r="B202" s="207" t="s">
        <v>561</v>
      </c>
      <c r="C202" s="40" t="s">
        <v>562</v>
      </c>
      <c r="D202" s="204">
        <v>50937.439384126264</v>
      </c>
      <c r="E202" s="204">
        <v>41652.009205871029</v>
      </c>
      <c r="F202" s="204">
        <v>40142.00887738209</v>
      </c>
      <c r="G202" s="204">
        <v>39414.979420269192</v>
      </c>
      <c r="H202" s="204">
        <v>41151.018686728814</v>
      </c>
      <c r="I202" s="204">
        <v>40387.986424361014</v>
      </c>
      <c r="J202" s="204">
        <v>52001.015669174689</v>
      </c>
      <c r="K202" s="204">
        <v>48243.0054993351</v>
      </c>
      <c r="L202" s="204">
        <v>35271.877512357496</v>
      </c>
      <c r="M202" s="204">
        <v>35584.808500675761</v>
      </c>
      <c r="N202" s="204">
        <v>38789.444767262154</v>
      </c>
      <c r="O202" s="204">
        <v>58099.601444560933</v>
      </c>
      <c r="P202" s="204">
        <v>58395.052930739032</v>
      </c>
      <c r="Q202" s="204">
        <v>61018.094928570201</v>
      </c>
      <c r="R202" s="204">
        <v>52871.989502427132</v>
      </c>
      <c r="S202" s="204">
        <v>56265.016892047999</v>
      </c>
      <c r="T202" s="204">
        <v>49937.997749008027</v>
      </c>
      <c r="U202" s="204">
        <v>49124.888724129451</v>
      </c>
      <c r="V202" s="204">
        <v>61097.003734977436</v>
      </c>
      <c r="W202" s="204">
        <v>56075.888683196928</v>
      </c>
      <c r="X202" s="204">
        <v>60288.932916147933</v>
      </c>
      <c r="Y202" s="204">
        <v>54814.004597671454</v>
      </c>
      <c r="Z202" s="204">
        <v>52587.90265416864</v>
      </c>
      <c r="AA202" s="204">
        <v>58582.822155639435</v>
      </c>
      <c r="AB202" s="204">
        <v>50699.090579904863</v>
      </c>
      <c r="AC202" s="204">
        <v>56528</v>
      </c>
      <c r="AD202" s="204">
        <v>42322</v>
      </c>
      <c r="AE202" s="204">
        <v>36800</v>
      </c>
      <c r="AF202" s="206">
        <v>39535</v>
      </c>
      <c r="AG202" s="204">
        <v>42371</v>
      </c>
      <c r="AH202" s="204">
        <v>44655</v>
      </c>
      <c r="AI202" s="204">
        <v>53043</v>
      </c>
      <c r="AJ202" s="204">
        <v>53442</v>
      </c>
      <c r="AK202" s="204">
        <v>51215.069852236484</v>
      </c>
      <c r="AL202" s="204">
        <v>52411</v>
      </c>
      <c r="AM202" s="204">
        <v>53980</v>
      </c>
      <c r="AN202" s="204">
        <v>56526</v>
      </c>
      <c r="AO202" s="204">
        <v>49821</v>
      </c>
      <c r="AP202" s="204">
        <v>51212</v>
      </c>
      <c r="AQ202" s="204">
        <v>44952</v>
      </c>
      <c r="AR202" s="204">
        <v>41249</v>
      </c>
      <c r="AS202" s="204">
        <v>51829</v>
      </c>
      <c r="AT202" s="204">
        <v>46480</v>
      </c>
      <c r="AU202" s="204">
        <v>49591</v>
      </c>
      <c r="AV202" s="204">
        <v>54640</v>
      </c>
      <c r="AW202" s="204">
        <v>45693</v>
      </c>
      <c r="AX202" s="204">
        <v>46292</v>
      </c>
      <c r="AY202" s="204">
        <v>49151</v>
      </c>
    </row>
    <row r="203" spans="1:51" ht="15" customHeight="1" x14ac:dyDescent="0.25">
      <c r="A203" s="62">
        <v>3301</v>
      </c>
      <c r="B203" s="207" t="s">
        <v>563</v>
      </c>
      <c r="C203" s="40" t="s">
        <v>564</v>
      </c>
      <c r="D203" s="204">
        <v>0</v>
      </c>
      <c r="E203" s="204">
        <v>0</v>
      </c>
      <c r="F203" s="204">
        <v>0</v>
      </c>
      <c r="G203" s="204">
        <v>0</v>
      </c>
      <c r="H203" s="204">
        <v>0</v>
      </c>
      <c r="I203" s="204">
        <v>0</v>
      </c>
      <c r="J203" s="204">
        <v>0</v>
      </c>
      <c r="K203" s="204">
        <v>0</v>
      </c>
      <c r="L203" s="204">
        <v>0</v>
      </c>
      <c r="M203" s="204">
        <v>0</v>
      </c>
      <c r="N203" s="204">
        <v>0</v>
      </c>
      <c r="O203" s="204">
        <v>0</v>
      </c>
      <c r="P203" s="204">
        <v>0</v>
      </c>
      <c r="Q203" s="204">
        <v>0</v>
      </c>
      <c r="R203" s="204">
        <v>0</v>
      </c>
      <c r="S203" s="204">
        <v>0</v>
      </c>
      <c r="T203" s="204">
        <v>0</v>
      </c>
      <c r="U203" s="204">
        <v>0</v>
      </c>
      <c r="V203" s="204">
        <v>0</v>
      </c>
      <c r="W203" s="204">
        <v>0</v>
      </c>
      <c r="X203" s="204">
        <v>0</v>
      </c>
      <c r="Y203" s="204">
        <v>0</v>
      </c>
      <c r="Z203" s="204">
        <v>0</v>
      </c>
      <c r="AA203" s="204">
        <v>0</v>
      </c>
      <c r="AB203" s="204">
        <v>0</v>
      </c>
      <c r="AC203" s="204">
        <v>0</v>
      </c>
      <c r="AD203" s="204">
        <v>0</v>
      </c>
      <c r="AE203" s="204">
        <v>0</v>
      </c>
      <c r="AF203" s="206">
        <v>0</v>
      </c>
      <c r="AG203" s="204">
        <v>0</v>
      </c>
      <c r="AH203" s="204">
        <v>0</v>
      </c>
      <c r="AI203" s="204">
        <v>0</v>
      </c>
      <c r="AJ203" s="204">
        <v>0</v>
      </c>
      <c r="AK203" s="204">
        <v>0</v>
      </c>
      <c r="AL203" s="204">
        <v>0</v>
      </c>
      <c r="AM203" s="204">
        <v>0</v>
      </c>
      <c r="AN203" s="204">
        <v>0</v>
      </c>
      <c r="AO203" s="204">
        <v>0</v>
      </c>
      <c r="AP203" s="204">
        <v>0</v>
      </c>
      <c r="AQ203" s="204">
        <v>0</v>
      </c>
      <c r="AR203" s="204">
        <v>0</v>
      </c>
      <c r="AS203" s="204">
        <v>0</v>
      </c>
      <c r="AT203" s="204">
        <v>0</v>
      </c>
      <c r="AU203" s="204">
        <v>0</v>
      </c>
      <c r="AV203" s="204">
        <v>0</v>
      </c>
      <c r="AW203" s="204">
        <v>0</v>
      </c>
      <c r="AX203" s="204">
        <v>0</v>
      </c>
      <c r="AY203" s="204">
        <v>0</v>
      </c>
    </row>
    <row r="204" spans="1:51" ht="15" customHeight="1" x14ac:dyDescent="0.25">
      <c r="A204" s="62">
        <v>3302</v>
      </c>
      <c r="B204" s="207" t="s">
        <v>565</v>
      </c>
      <c r="C204" s="40" t="s">
        <v>566</v>
      </c>
      <c r="D204" s="204">
        <v>0</v>
      </c>
      <c r="E204" s="204">
        <v>0</v>
      </c>
      <c r="F204" s="204">
        <v>0</v>
      </c>
      <c r="G204" s="204">
        <v>0</v>
      </c>
      <c r="H204" s="204">
        <v>0</v>
      </c>
      <c r="I204" s="204">
        <v>0</v>
      </c>
      <c r="J204" s="204">
        <v>0</v>
      </c>
      <c r="K204" s="204">
        <v>0</v>
      </c>
      <c r="L204" s="204">
        <v>0</v>
      </c>
      <c r="M204" s="204">
        <v>0</v>
      </c>
      <c r="N204" s="204">
        <v>0</v>
      </c>
      <c r="O204" s="204">
        <v>0</v>
      </c>
      <c r="P204" s="204">
        <v>0</v>
      </c>
      <c r="Q204" s="204">
        <v>0</v>
      </c>
      <c r="R204" s="204">
        <v>0</v>
      </c>
      <c r="S204" s="204">
        <v>0</v>
      </c>
      <c r="T204" s="204">
        <v>0</v>
      </c>
      <c r="U204" s="204">
        <v>0</v>
      </c>
      <c r="V204" s="204">
        <v>0</v>
      </c>
      <c r="W204" s="204">
        <v>0</v>
      </c>
      <c r="X204" s="204">
        <v>0</v>
      </c>
      <c r="Y204" s="204">
        <v>0</v>
      </c>
      <c r="Z204" s="204">
        <v>0</v>
      </c>
      <c r="AA204" s="204">
        <v>0</v>
      </c>
      <c r="AB204" s="204">
        <v>0</v>
      </c>
      <c r="AC204" s="204">
        <v>0</v>
      </c>
      <c r="AD204" s="204">
        <v>0</v>
      </c>
      <c r="AE204" s="204">
        <v>0</v>
      </c>
      <c r="AF204" s="206">
        <v>0</v>
      </c>
      <c r="AG204" s="204">
        <v>0</v>
      </c>
      <c r="AH204" s="204">
        <v>0</v>
      </c>
      <c r="AI204" s="204">
        <v>0</v>
      </c>
      <c r="AJ204" s="204">
        <v>0</v>
      </c>
      <c r="AK204" s="204">
        <v>0</v>
      </c>
      <c r="AL204" s="204">
        <v>0</v>
      </c>
      <c r="AM204" s="204">
        <v>0</v>
      </c>
      <c r="AN204" s="204">
        <v>0</v>
      </c>
      <c r="AO204" s="204">
        <v>0</v>
      </c>
      <c r="AP204" s="204">
        <v>0</v>
      </c>
      <c r="AQ204" s="204">
        <v>0</v>
      </c>
      <c r="AR204" s="204">
        <v>0</v>
      </c>
      <c r="AS204" s="204">
        <v>0</v>
      </c>
      <c r="AT204" s="204">
        <v>0</v>
      </c>
      <c r="AU204" s="204">
        <v>0</v>
      </c>
      <c r="AV204" s="204">
        <v>0</v>
      </c>
      <c r="AW204" s="204">
        <v>0</v>
      </c>
      <c r="AX204" s="204">
        <v>0</v>
      </c>
      <c r="AY204" s="204">
        <v>0</v>
      </c>
    </row>
    <row r="205" spans="1:51" ht="15" customHeight="1" x14ac:dyDescent="0.25">
      <c r="A205" s="38" t="s">
        <v>284</v>
      </c>
      <c r="B205" s="63" t="s">
        <v>285</v>
      </c>
      <c r="C205" s="40" t="s">
        <v>286</v>
      </c>
      <c r="D205" s="204">
        <v>26084.706896792446</v>
      </c>
      <c r="E205" s="204">
        <v>26501.404008073896</v>
      </c>
      <c r="F205" s="204">
        <v>24835.506625579143</v>
      </c>
      <c r="G205" s="204">
        <v>28051.220593008085</v>
      </c>
      <c r="H205" s="204">
        <v>25870.533627851244</v>
      </c>
      <c r="I205" s="204">
        <v>21397.468389887952</v>
      </c>
      <c r="J205" s="204">
        <v>25226</v>
      </c>
      <c r="K205" s="204">
        <v>32895.861831875489</v>
      </c>
      <c r="L205" s="204">
        <v>36935.036624350214</v>
      </c>
      <c r="M205" s="204">
        <v>33980.165670780902</v>
      </c>
      <c r="N205" s="204">
        <v>33440.810692177409</v>
      </c>
      <c r="O205" s="204">
        <v>29524.732811205507</v>
      </c>
      <c r="P205" s="204">
        <v>30240.035671370933</v>
      </c>
      <c r="Q205" s="204">
        <v>24850.836371681136</v>
      </c>
      <c r="R205" s="204">
        <v>25347.213013856312</v>
      </c>
      <c r="S205" s="204">
        <v>31432.508129530666</v>
      </c>
      <c r="T205" s="204">
        <v>23850.000228481007</v>
      </c>
      <c r="U205" s="204">
        <v>19531.741711041726</v>
      </c>
      <c r="V205" s="204">
        <v>24544.807579427124</v>
      </c>
      <c r="W205" s="204">
        <v>26036.036507081684</v>
      </c>
      <c r="X205" s="204">
        <v>37442.654575360597</v>
      </c>
      <c r="Y205" s="204">
        <v>34101.042414443473</v>
      </c>
      <c r="Z205" s="204">
        <v>30449.647069522711</v>
      </c>
      <c r="AA205" s="204">
        <v>25954.153450596466</v>
      </c>
      <c r="AB205" s="204">
        <v>23341.517635588618</v>
      </c>
      <c r="AC205" s="204">
        <v>29003</v>
      </c>
      <c r="AD205" s="204">
        <v>22268</v>
      </c>
      <c r="AE205" s="204">
        <v>20392</v>
      </c>
      <c r="AF205" s="206">
        <v>24913</v>
      </c>
      <c r="AG205" s="204">
        <v>24147</v>
      </c>
      <c r="AH205" s="204">
        <v>22983.999999999996</v>
      </c>
      <c r="AI205" s="204">
        <v>22191.000000000004</v>
      </c>
      <c r="AJ205" s="204">
        <v>22202</v>
      </c>
      <c r="AK205" s="204">
        <v>19457.378313432346</v>
      </c>
      <c r="AL205" s="204">
        <v>15965</v>
      </c>
      <c r="AM205" s="204">
        <v>13618</v>
      </c>
      <c r="AN205" s="204">
        <v>13829</v>
      </c>
      <c r="AO205" s="204">
        <v>11886</v>
      </c>
      <c r="AP205" s="204">
        <v>11780</v>
      </c>
      <c r="AQ205" s="204">
        <v>12128</v>
      </c>
      <c r="AR205" s="204">
        <v>12240</v>
      </c>
      <c r="AS205" s="204">
        <v>14015</v>
      </c>
      <c r="AT205" s="204">
        <v>15233</v>
      </c>
      <c r="AU205" s="204">
        <v>15933</v>
      </c>
      <c r="AV205" s="204">
        <v>16330</v>
      </c>
      <c r="AW205" s="204">
        <v>14093</v>
      </c>
      <c r="AX205" s="204">
        <v>13693</v>
      </c>
      <c r="AY205" s="204">
        <v>12602</v>
      </c>
    </row>
    <row r="206" spans="1:51" ht="15" customHeight="1" x14ac:dyDescent="0.25">
      <c r="A206" s="38" t="s">
        <v>287</v>
      </c>
      <c r="B206" s="63" t="s">
        <v>288</v>
      </c>
      <c r="C206" s="64" t="s">
        <v>289</v>
      </c>
      <c r="D206" s="204">
        <v>2898.3081775742398</v>
      </c>
      <c r="E206" s="204">
        <v>2944.5783652542209</v>
      </c>
      <c r="F206" s="204">
        <v>2759.4934162341997</v>
      </c>
      <c r="G206" s="204">
        <v>3116.7949589432933</v>
      </c>
      <c r="H206" s="204">
        <v>2874.4741204589441</v>
      </c>
      <c r="I206" s="204">
        <v>2377.5101745068009</v>
      </c>
      <c r="J206" s="204">
        <v>2803</v>
      </c>
      <c r="K206" s="204">
        <v>3655.0823040554151</v>
      </c>
      <c r="L206" s="204">
        <v>4103.879620443965</v>
      </c>
      <c r="M206" s="204">
        <v>3775.5874256405596</v>
      </c>
      <c r="N206" s="204">
        <v>3715.6595997177933</v>
      </c>
      <c r="O206" s="204">
        <v>3280.5393314229118</v>
      </c>
      <c r="P206" s="204">
        <v>3359.9775917946668</v>
      </c>
      <c r="Q206" s="204">
        <v>2761.2171912661925</v>
      </c>
      <c r="R206" s="204">
        <v>2816.3305211305728</v>
      </c>
      <c r="S206" s="204">
        <v>3492.4810914950708</v>
      </c>
      <c r="T206" s="204">
        <v>2649.980582124233</v>
      </c>
      <c r="U206" s="204">
        <v>2170.1751427265926</v>
      </c>
      <c r="V206" s="204">
        <v>2727.2008421585697</v>
      </c>
      <c r="W206" s="204">
        <v>2893</v>
      </c>
      <c r="X206" s="204">
        <v>4160.3133850993099</v>
      </c>
      <c r="Y206" s="204">
        <v>3789.0307238625705</v>
      </c>
      <c r="Z206" s="204">
        <v>3383.3070631743735</v>
      </c>
      <c r="AA206" s="204">
        <v>2883.820539453463</v>
      </c>
      <c r="AB206" s="204">
        <v>2593.5208232629525</v>
      </c>
      <c r="AC206" s="204">
        <v>3223</v>
      </c>
      <c r="AD206" s="204">
        <v>2474</v>
      </c>
      <c r="AE206" s="204">
        <v>2266</v>
      </c>
      <c r="AF206" s="206">
        <v>2768</v>
      </c>
      <c r="AG206" s="204">
        <v>2683</v>
      </c>
      <c r="AH206" s="204">
        <v>2871</v>
      </c>
      <c r="AI206" s="204">
        <v>2466</v>
      </c>
      <c r="AJ206" s="204">
        <v>2467</v>
      </c>
      <c r="AK206" s="204">
        <v>2164.1856834433365</v>
      </c>
      <c r="AL206" s="204">
        <v>1774</v>
      </c>
      <c r="AM206" s="204">
        <v>1513</v>
      </c>
      <c r="AN206" s="204">
        <v>1537</v>
      </c>
      <c r="AO206" s="204">
        <v>1321</v>
      </c>
      <c r="AP206" s="204">
        <v>1309</v>
      </c>
      <c r="AQ206" s="204">
        <v>1348</v>
      </c>
      <c r="AR206" s="204">
        <v>1360</v>
      </c>
      <c r="AS206" s="204">
        <v>1557</v>
      </c>
      <c r="AT206" s="204">
        <v>1693</v>
      </c>
      <c r="AU206" s="204">
        <v>1770</v>
      </c>
      <c r="AV206" s="204">
        <v>1814</v>
      </c>
      <c r="AW206" s="204">
        <v>1566</v>
      </c>
      <c r="AX206" s="204">
        <v>1521</v>
      </c>
      <c r="AY206" s="204">
        <v>1400</v>
      </c>
    </row>
    <row r="207" spans="1:51" ht="15" customHeight="1" x14ac:dyDescent="0.25">
      <c r="A207" s="38" t="s">
        <v>223</v>
      </c>
      <c r="B207" s="1" t="s">
        <v>224</v>
      </c>
      <c r="C207" s="258" t="s">
        <v>225</v>
      </c>
      <c r="D207" s="204">
        <v>0</v>
      </c>
      <c r="E207" s="204">
        <v>0</v>
      </c>
      <c r="F207" s="204">
        <v>0</v>
      </c>
      <c r="G207" s="204">
        <v>0</v>
      </c>
      <c r="H207" s="204">
        <v>0</v>
      </c>
      <c r="I207" s="204">
        <v>0</v>
      </c>
      <c r="J207" s="204">
        <v>0</v>
      </c>
      <c r="K207" s="204">
        <v>0</v>
      </c>
      <c r="L207" s="204">
        <v>0</v>
      </c>
      <c r="M207" s="204">
        <v>0</v>
      </c>
      <c r="N207" s="204">
        <v>0</v>
      </c>
      <c r="O207" s="204">
        <v>0</v>
      </c>
      <c r="P207" s="204">
        <v>0</v>
      </c>
      <c r="Q207" s="204">
        <v>0</v>
      </c>
      <c r="R207" s="204">
        <v>0</v>
      </c>
      <c r="S207" s="204">
        <v>0</v>
      </c>
      <c r="T207" s="204">
        <v>0</v>
      </c>
      <c r="U207" s="204">
        <v>0</v>
      </c>
      <c r="V207" s="204">
        <v>0</v>
      </c>
      <c r="W207" s="204">
        <v>0</v>
      </c>
      <c r="X207" s="204">
        <v>0</v>
      </c>
      <c r="Y207" s="204">
        <v>0</v>
      </c>
      <c r="Z207" s="204">
        <v>0</v>
      </c>
      <c r="AA207" s="204">
        <v>0</v>
      </c>
      <c r="AB207" s="204">
        <v>0</v>
      </c>
      <c r="AC207" s="204">
        <v>0</v>
      </c>
      <c r="AD207" s="204">
        <v>0</v>
      </c>
      <c r="AE207" s="204">
        <v>0</v>
      </c>
      <c r="AF207" s="206">
        <v>0</v>
      </c>
      <c r="AG207" s="204">
        <v>0</v>
      </c>
      <c r="AH207" s="204">
        <v>0</v>
      </c>
      <c r="AI207" s="204">
        <v>0</v>
      </c>
      <c r="AJ207" s="204">
        <v>0</v>
      </c>
      <c r="AK207" s="204">
        <v>0</v>
      </c>
      <c r="AL207" s="204">
        <v>0</v>
      </c>
      <c r="AM207" s="204">
        <v>0</v>
      </c>
      <c r="AN207" s="204">
        <v>0</v>
      </c>
      <c r="AO207" s="204">
        <v>0</v>
      </c>
      <c r="AP207" s="204">
        <v>0</v>
      </c>
      <c r="AQ207" s="204">
        <v>0</v>
      </c>
      <c r="AR207" s="204">
        <v>0</v>
      </c>
      <c r="AS207" s="204">
        <v>0</v>
      </c>
      <c r="AT207" s="204">
        <v>0</v>
      </c>
      <c r="AU207" s="204">
        <v>0</v>
      </c>
      <c r="AV207" s="204">
        <v>0</v>
      </c>
      <c r="AW207" s="204">
        <v>0</v>
      </c>
      <c r="AX207" s="204">
        <v>0</v>
      </c>
      <c r="AY207" s="204">
        <v>0</v>
      </c>
    </row>
    <row r="208" spans="1:51" ht="15" customHeight="1" x14ac:dyDescent="0.25">
      <c r="A208" s="38" t="s">
        <v>402</v>
      </c>
      <c r="B208" s="1" t="s">
        <v>403</v>
      </c>
      <c r="C208" s="258" t="s">
        <v>404</v>
      </c>
      <c r="D208" s="204">
        <v>0</v>
      </c>
      <c r="E208" s="204">
        <v>0</v>
      </c>
      <c r="F208" s="204">
        <v>0</v>
      </c>
      <c r="G208" s="204">
        <v>0</v>
      </c>
      <c r="H208" s="204">
        <v>0</v>
      </c>
      <c r="I208" s="204">
        <v>0</v>
      </c>
      <c r="J208" s="204">
        <v>0</v>
      </c>
      <c r="K208" s="204">
        <v>0</v>
      </c>
      <c r="L208" s="204">
        <v>0</v>
      </c>
      <c r="M208" s="204">
        <v>0</v>
      </c>
      <c r="N208" s="204">
        <v>0</v>
      </c>
      <c r="O208" s="204">
        <v>0</v>
      </c>
      <c r="P208" s="204">
        <v>0</v>
      </c>
      <c r="Q208" s="204">
        <v>0</v>
      </c>
      <c r="R208" s="204">
        <v>0</v>
      </c>
      <c r="S208" s="204">
        <v>0</v>
      </c>
      <c r="T208" s="204">
        <v>0</v>
      </c>
      <c r="U208" s="204">
        <v>0</v>
      </c>
      <c r="V208" s="204">
        <v>0</v>
      </c>
      <c r="W208" s="204">
        <v>0</v>
      </c>
      <c r="X208" s="204">
        <v>0</v>
      </c>
      <c r="Y208" s="204">
        <v>0</v>
      </c>
      <c r="Z208" s="204">
        <v>0</v>
      </c>
      <c r="AA208" s="204">
        <v>0</v>
      </c>
      <c r="AB208" s="204">
        <v>0</v>
      </c>
      <c r="AC208" s="204">
        <v>0</v>
      </c>
      <c r="AD208" s="204">
        <v>0</v>
      </c>
      <c r="AE208" s="204">
        <v>0</v>
      </c>
      <c r="AF208" s="206">
        <v>0</v>
      </c>
      <c r="AG208" s="204">
        <v>0</v>
      </c>
      <c r="AH208" s="204">
        <v>0</v>
      </c>
      <c r="AI208" s="204">
        <v>0</v>
      </c>
      <c r="AJ208" s="204">
        <v>0</v>
      </c>
      <c r="AK208" s="204">
        <v>0</v>
      </c>
      <c r="AL208" s="204">
        <v>0</v>
      </c>
      <c r="AM208" s="204">
        <v>0</v>
      </c>
      <c r="AN208" s="204">
        <v>0</v>
      </c>
      <c r="AO208" s="204">
        <v>0</v>
      </c>
      <c r="AP208" s="204">
        <v>0</v>
      </c>
      <c r="AQ208" s="204">
        <v>0</v>
      </c>
      <c r="AR208" s="204">
        <v>0</v>
      </c>
      <c r="AS208" s="204">
        <v>0</v>
      </c>
      <c r="AT208" s="204">
        <v>0</v>
      </c>
      <c r="AU208" s="204">
        <v>0</v>
      </c>
      <c r="AV208" s="204">
        <v>0</v>
      </c>
      <c r="AW208" s="204">
        <v>0</v>
      </c>
      <c r="AX208" s="204">
        <v>0</v>
      </c>
      <c r="AY208" s="204">
        <v>0</v>
      </c>
    </row>
    <row r="209" spans="1:51" ht="15" customHeight="1" x14ac:dyDescent="0.25">
      <c r="A209" s="62">
        <v>2960</v>
      </c>
      <c r="B209" s="207" t="s">
        <v>535</v>
      </c>
      <c r="C209" s="126" t="s">
        <v>536</v>
      </c>
      <c r="D209" s="204">
        <v>4035.9668417716589</v>
      </c>
      <c r="E209" s="204">
        <v>3858.2302985759652</v>
      </c>
      <c r="F209" s="204">
        <v>2445.7753736886066</v>
      </c>
      <c r="G209" s="204">
        <v>2309.4796957212034</v>
      </c>
      <c r="H209" s="204">
        <v>1885.8634602106908</v>
      </c>
      <c r="I209" s="204">
        <v>1769.9830940100628</v>
      </c>
      <c r="J209" s="204">
        <v>1919.0265749751463</v>
      </c>
      <c r="K209" s="204">
        <v>1942.0065568981961</v>
      </c>
      <c r="L209" s="204">
        <v>2269.9631041344169</v>
      </c>
      <c r="M209" s="204">
        <v>2446.2806596943619</v>
      </c>
      <c r="N209" s="204">
        <v>2109.6489074974666</v>
      </c>
      <c r="O209" s="204">
        <v>1704.6420785808086</v>
      </c>
      <c r="P209" s="204">
        <v>2111.0077134757685</v>
      </c>
      <c r="Q209" s="204">
        <v>3573.9838562621453</v>
      </c>
      <c r="R209" s="204">
        <v>1629.0019416156679</v>
      </c>
      <c r="S209" s="204">
        <v>1603.9820155575549</v>
      </c>
      <c r="T209" s="204">
        <v>1213.0262636934153</v>
      </c>
      <c r="U209" s="204">
        <v>1185.0051788086816</v>
      </c>
      <c r="V209" s="204">
        <v>1425.0108045377483</v>
      </c>
      <c r="W209" s="204">
        <v>1524.9898191185728</v>
      </c>
      <c r="X209" s="204">
        <v>1848.0205397684479</v>
      </c>
      <c r="Y209" s="204">
        <v>2255.0298542082223</v>
      </c>
      <c r="Z209" s="204">
        <v>1974.0180958958099</v>
      </c>
      <c r="AA209" s="204">
        <v>2187.9872539603484</v>
      </c>
      <c r="AB209" s="204">
        <v>2184.9885222497237</v>
      </c>
      <c r="AC209" s="204">
        <v>2382</v>
      </c>
      <c r="AD209" s="204">
        <v>1754</v>
      </c>
      <c r="AE209" s="204">
        <v>1017</v>
      </c>
      <c r="AF209" s="206">
        <v>908</v>
      </c>
      <c r="AG209" s="204">
        <v>1396</v>
      </c>
      <c r="AH209" s="204">
        <v>1223</v>
      </c>
      <c r="AI209" s="204">
        <v>1440</v>
      </c>
      <c r="AJ209" s="204">
        <v>1670</v>
      </c>
      <c r="AK209" s="204">
        <v>1441.0926671856621</v>
      </c>
      <c r="AL209" s="204">
        <v>1969</v>
      </c>
      <c r="AM209" s="204">
        <v>1698</v>
      </c>
      <c r="AN209" s="204">
        <v>3087</v>
      </c>
      <c r="AO209" s="204">
        <v>2558</v>
      </c>
      <c r="AP209" s="204">
        <v>2480</v>
      </c>
      <c r="AQ209" s="204">
        <v>1985</v>
      </c>
      <c r="AR209" s="204">
        <v>2084</v>
      </c>
      <c r="AS209" s="204">
        <v>2272</v>
      </c>
      <c r="AT209" s="204">
        <v>1880</v>
      </c>
      <c r="AU209" s="204">
        <v>2784</v>
      </c>
      <c r="AV209" s="204">
        <v>3072</v>
      </c>
      <c r="AW209" s="204">
        <v>2880</v>
      </c>
      <c r="AX209" s="204">
        <v>2980</v>
      </c>
      <c r="AY209" s="204">
        <v>2880</v>
      </c>
    </row>
    <row r="210" spans="1:51" ht="15" customHeight="1" x14ac:dyDescent="0.25">
      <c r="A210" s="38" t="s">
        <v>190</v>
      </c>
      <c r="B210" s="1" t="s">
        <v>191</v>
      </c>
      <c r="C210" s="40" t="s">
        <v>192</v>
      </c>
      <c r="D210" s="204">
        <v>30800</v>
      </c>
      <c r="E210" s="204">
        <v>0</v>
      </c>
      <c r="F210" s="204">
        <v>29160</v>
      </c>
      <c r="G210" s="204">
        <v>0</v>
      </c>
      <c r="H210" s="204">
        <v>28520</v>
      </c>
      <c r="I210" s="204">
        <v>19840</v>
      </c>
      <c r="J210" s="204">
        <v>0</v>
      </c>
      <c r="K210" s="204">
        <v>46120</v>
      </c>
      <c r="L210" s="204">
        <v>17840</v>
      </c>
      <c r="M210" s="204">
        <v>15960</v>
      </c>
      <c r="N210" s="204">
        <v>0</v>
      </c>
      <c r="O210" s="204">
        <v>0</v>
      </c>
      <c r="P210" s="204">
        <v>40000</v>
      </c>
      <c r="Q210" s="204">
        <v>0</v>
      </c>
      <c r="R210" s="204">
        <v>27000</v>
      </c>
      <c r="S210" s="204">
        <v>12240</v>
      </c>
      <c r="T210" s="204">
        <v>13080</v>
      </c>
      <c r="U210" s="204">
        <v>15600</v>
      </c>
      <c r="V210" s="204">
        <v>17800</v>
      </c>
      <c r="W210" s="204">
        <v>19000</v>
      </c>
      <c r="X210" s="204">
        <v>16240</v>
      </c>
      <c r="Y210" s="204">
        <v>17200</v>
      </c>
      <c r="Z210" s="204">
        <v>12440</v>
      </c>
      <c r="AA210" s="204">
        <v>0</v>
      </c>
      <c r="AB210" s="204">
        <v>12240</v>
      </c>
      <c r="AC210" s="204">
        <v>12040</v>
      </c>
      <c r="AD210" s="204">
        <v>13560</v>
      </c>
      <c r="AE210" s="204">
        <v>4600</v>
      </c>
      <c r="AF210" s="206">
        <v>8920</v>
      </c>
      <c r="AG210" s="204">
        <v>0</v>
      </c>
      <c r="AH210" s="204">
        <v>15840</v>
      </c>
      <c r="AI210" s="204">
        <v>0</v>
      </c>
      <c r="AJ210" s="204">
        <v>0</v>
      </c>
      <c r="AK210" s="204">
        <v>101.49161012735759</v>
      </c>
      <c r="AL210" s="204">
        <v>0</v>
      </c>
      <c r="AM210" s="204">
        <v>0</v>
      </c>
      <c r="AN210" s="204">
        <v>0</v>
      </c>
      <c r="AO210" s="204">
        <v>55440</v>
      </c>
      <c r="AP210" s="204">
        <v>57800</v>
      </c>
      <c r="AQ210" s="204">
        <v>0</v>
      </c>
      <c r="AR210" s="204">
        <v>0</v>
      </c>
      <c r="AS210" s="204">
        <v>0</v>
      </c>
      <c r="AT210" s="204">
        <v>0</v>
      </c>
      <c r="AU210" s="204">
        <v>79400</v>
      </c>
      <c r="AV210" s="204">
        <v>0</v>
      </c>
      <c r="AW210" s="204">
        <v>15440</v>
      </c>
      <c r="AX210" s="204">
        <v>0</v>
      </c>
      <c r="AY210" s="204">
        <v>0</v>
      </c>
    </row>
    <row r="211" spans="1:51" ht="15" customHeight="1" x14ac:dyDescent="0.25">
      <c r="A211" s="62">
        <v>3320</v>
      </c>
      <c r="B211" s="207" t="s">
        <v>569</v>
      </c>
      <c r="C211" s="40" t="s">
        <v>570</v>
      </c>
      <c r="D211" s="204">
        <v>111773.02316130722</v>
      </c>
      <c r="E211" s="204">
        <v>103438.01675372978</v>
      </c>
      <c r="F211" s="204">
        <v>102752.91521680045</v>
      </c>
      <c r="G211" s="204">
        <v>102752.91521680045</v>
      </c>
      <c r="H211" s="204">
        <v>111196.04306166503</v>
      </c>
      <c r="I211" s="204">
        <v>104404.98231530887</v>
      </c>
      <c r="J211" s="204">
        <v>107407.09242617551</v>
      </c>
      <c r="K211" s="204">
        <v>115666.00498325042</v>
      </c>
      <c r="L211" s="204">
        <v>105427.54207088175</v>
      </c>
      <c r="M211" s="204">
        <v>103645.33914911788</v>
      </c>
      <c r="N211" s="204">
        <v>122361.20795088727</v>
      </c>
      <c r="O211" s="204">
        <v>119181.84184023552</v>
      </c>
      <c r="P211" s="204">
        <v>110972.1218461307</v>
      </c>
      <c r="Q211" s="204">
        <v>107217.2078684297</v>
      </c>
      <c r="R211" s="204">
        <v>103495.87172051783</v>
      </c>
      <c r="S211" s="204">
        <v>109302.09947257821</v>
      </c>
      <c r="T211" s="204">
        <v>101083.01379358288</v>
      </c>
      <c r="U211" s="204">
        <v>102125.88582582981</v>
      </c>
      <c r="V211" s="204">
        <v>114628.8503451135</v>
      </c>
      <c r="W211" s="204">
        <v>104994.83977390619</v>
      </c>
      <c r="X211" s="204">
        <v>110781.91925356876</v>
      </c>
      <c r="Y211" s="204">
        <v>123630.0760399476</v>
      </c>
      <c r="Z211" s="204">
        <v>120997.8320809685</v>
      </c>
      <c r="AA211" s="204">
        <v>134392.60902589685</v>
      </c>
      <c r="AB211" s="204">
        <v>115314.19819102694</v>
      </c>
      <c r="AC211" s="204">
        <v>122167</v>
      </c>
      <c r="AD211" s="204">
        <v>101478.00000000001</v>
      </c>
      <c r="AE211" s="204">
        <v>86393.7</v>
      </c>
      <c r="AF211" s="206">
        <v>63500</v>
      </c>
      <c r="AG211" s="204">
        <v>51587.220497133232</v>
      </c>
      <c r="AH211" s="204">
        <v>39572</v>
      </c>
      <c r="AI211" s="204">
        <v>73351</v>
      </c>
      <c r="AJ211" s="204">
        <v>102843</v>
      </c>
      <c r="AK211" s="204">
        <v>103105.61209967424</v>
      </c>
      <c r="AL211" s="204">
        <v>115412</v>
      </c>
      <c r="AM211" s="204">
        <v>102243</v>
      </c>
      <c r="AN211" s="204">
        <v>88000</v>
      </c>
      <c r="AO211" s="204">
        <v>109092</v>
      </c>
      <c r="AP211" s="204">
        <v>111887</v>
      </c>
      <c r="AQ211" s="204">
        <v>95795</v>
      </c>
      <c r="AR211" s="204">
        <v>92109</v>
      </c>
      <c r="AS211" s="204">
        <v>90966</v>
      </c>
      <c r="AT211" s="204">
        <v>69120</v>
      </c>
      <c r="AU211" s="204">
        <v>77622.364100000006</v>
      </c>
      <c r="AV211" s="204">
        <v>98750</v>
      </c>
      <c r="AW211" s="204">
        <v>99804</v>
      </c>
      <c r="AX211" s="204">
        <v>124945</v>
      </c>
      <c r="AY211" s="204">
        <v>115148</v>
      </c>
    </row>
    <row r="212" spans="1:51" ht="15" customHeight="1" x14ac:dyDescent="0.25">
      <c r="A212" s="38" t="s">
        <v>501</v>
      </c>
      <c r="B212" s="63" t="s">
        <v>502</v>
      </c>
      <c r="C212" s="40" t="s">
        <v>503</v>
      </c>
      <c r="D212" s="204">
        <v>72920</v>
      </c>
      <c r="E212" s="204">
        <v>68160</v>
      </c>
      <c r="F212" s="204">
        <v>67080</v>
      </c>
      <c r="G212" s="204">
        <v>69080</v>
      </c>
      <c r="H212" s="204">
        <v>73760</v>
      </c>
      <c r="I212" s="204">
        <v>75160</v>
      </c>
      <c r="J212" s="204">
        <v>85760</v>
      </c>
      <c r="K212" s="204">
        <v>94720</v>
      </c>
      <c r="L212" s="204">
        <v>81480</v>
      </c>
      <c r="M212" s="204">
        <v>76800</v>
      </c>
      <c r="N212" s="204">
        <v>80160</v>
      </c>
      <c r="O212" s="204">
        <v>45520</v>
      </c>
      <c r="P212" s="204">
        <v>93920</v>
      </c>
      <c r="Q212" s="204">
        <v>65840</v>
      </c>
      <c r="R212" s="204">
        <v>22240</v>
      </c>
      <c r="S212" s="204">
        <v>114640</v>
      </c>
      <c r="T212" s="204">
        <v>62400</v>
      </c>
      <c r="U212" s="204">
        <v>68320</v>
      </c>
      <c r="V212" s="204">
        <v>83600</v>
      </c>
      <c r="W212" s="204">
        <v>82040</v>
      </c>
      <c r="X212" s="204">
        <v>58240</v>
      </c>
      <c r="Y212" s="204">
        <v>116080</v>
      </c>
      <c r="Z212" s="204">
        <v>50640</v>
      </c>
      <c r="AA212" s="204">
        <v>46000</v>
      </c>
      <c r="AB212" s="204">
        <v>123520</v>
      </c>
      <c r="AC212" s="204">
        <v>74160</v>
      </c>
      <c r="AD212" s="204">
        <v>56880</v>
      </c>
      <c r="AE212" s="204">
        <v>10000</v>
      </c>
      <c r="AF212" s="206">
        <v>101280</v>
      </c>
      <c r="AG212" s="204">
        <v>37360</v>
      </c>
      <c r="AH212" s="204">
        <v>61600</v>
      </c>
      <c r="AI212" s="204">
        <v>58200</v>
      </c>
      <c r="AJ212" s="204">
        <v>44560</v>
      </c>
      <c r="AK212" s="204">
        <v>72162.41478892618</v>
      </c>
      <c r="AL212" s="204">
        <v>48480</v>
      </c>
      <c r="AM212" s="204">
        <v>41000</v>
      </c>
      <c r="AN212" s="204">
        <v>8920</v>
      </c>
      <c r="AO212" s="204">
        <v>10760</v>
      </c>
      <c r="AP212" s="204">
        <v>13080</v>
      </c>
      <c r="AQ212" s="204">
        <v>8920</v>
      </c>
      <c r="AR212" s="204">
        <v>8720</v>
      </c>
      <c r="AS212" s="204">
        <v>10800</v>
      </c>
      <c r="AT212" s="204">
        <v>239560</v>
      </c>
      <c r="AU212" s="204">
        <v>57360</v>
      </c>
      <c r="AV212" s="204">
        <v>59920</v>
      </c>
      <c r="AW212" s="204">
        <v>60120</v>
      </c>
      <c r="AX212" s="204">
        <v>59080</v>
      </c>
      <c r="AY212" s="204">
        <v>61880</v>
      </c>
    </row>
    <row r="213" spans="1:51" ht="15" customHeight="1" x14ac:dyDescent="0.25">
      <c r="A213" s="38" t="s">
        <v>583</v>
      </c>
      <c r="B213" s="1" t="s">
        <v>584</v>
      </c>
      <c r="C213" s="258" t="s">
        <v>585</v>
      </c>
      <c r="D213" s="204">
        <v>47320.023674967109</v>
      </c>
      <c r="E213" s="204">
        <v>43454.274253490694</v>
      </c>
      <c r="F213" s="204">
        <v>42982.138766542754</v>
      </c>
      <c r="G213" s="204">
        <v>40329.879551071579</v>
      </c>
      <c r="H213" s="204">
        <v>44181.021068243259</v>
      </c>
      <c r="I213" s="204">
        <v>42638.00460204824</v>
      </c>
      <c r="J213" s="204">
        <v>45410.027526624617</v>
      </c>
      <c r="K213" s="204">
        <v>47230.950888168627</v>
      </c>
      <c r="L213" s="204">
        <v>45007.810486570816</v>
      </c>
      <c r="M213" s="204">
        <v>44585.541402157876</v>
      </c>
      <c r="N213" s="204">
        <v>48577.486607410538</v>
      </c>
      <c r="O213" s="204">
        <v>46804.10599935022</v>
      </c>
      <c r="P213" s="204">
        <v>42054.783988225296</v>
      </c>
      <c r="Q213" s="204">
        <v>40131.323072463434</v>
      </c>
      <c r="R213" s="204">
        <v>36740.991562521223</v>
      </c>
      <c r="S213" s="204">
        <v>42209.981092922921</v>
      </c>
      <c r="T213" s="204">
        <v>41169.980731030206</v>
      </c>
      <c r="U213" s="204">
        <v>41630.902739223158</v>
      </c>
      <c r="V213" s="204">
        <v>46772.969072744825</v>
      </c>
      <c r="W213" s="204">
        <v>41793.903685094454</v>
      </c>
      <c r="X213" s="204">
        <v>43038.971712621693</v>
      </c>
      <c r="Y213" s="204">
        <v>44714.038931325289</v>
      </c>
      <c r="Z213" s="204">
        <v>40400.937384514131</v>
      </c>
      <c r="AA213" s="204">
        <v>43317.878215672186</v>
      </c>
      <c r="AB213" s="204">
        <v>38595.069080775575</v>
      </c>
      <c r="AC213" s="204">
        <v>42571</v>
      </c>
      <c r="AD213" s="204">
        <v>38645</v>
      </c>
      <c r="AE213" s="204">
        <v>43714.042458373377</v>
      </c>
      <c r="AF213" s="206">
        <v>53021.662473225879</v>
      </c>
      <c r="AG213" s="204">
        <v>43694</v>
      </c>
      <c r="AH213" s="204">
        <v>43541</v>
      </c>
      <c r="AI213" s="204">
        <v>53196.179426380913</v>
      </c>
      <c r="AJ213" s="204">
        <v>44019</v>
      </c>
      <c r="AK213" s="204">
        <v>43245.704617068441</v>
      </c>
      <c r="AL213" s="204">
        <v>46332</v>
      </c>
      <c r="AM213" s="204">
        <v>39887</v>
      </c>
      <c r="AN213" s="204">
        <v>42097</v>
      </c>
      <c r="AO213" s="204">
        <v>39202</v>
      </c>
      <c r="AP213" s="204">
        <v>38494</v>
      </c>
      <c r="AQ213" s="204">
        <v>41136</v>
      </c>
      <c r="AR213" s="204">
        <v>41222</v>
      </c>
      <c r="AS213" s="204">
        <v>45178</v>
      </c>
      <c r="AT213" s="204">
        <v>43346</v>
      </c>
      <c r="AU213" s="204">
        <v>41367</v>
      </c>
      <c r="AV213" s="204">
        <v>45687.990000000005</v>
      </c>
      <c r="AW213" s="204">
        <v>42411</v>
      </c>
      <c r="AX213" s="204">
        <v>43220.990000000005</v>
      </c>
      <c r="AY213" s="204">
        <v>40427</v>
      </c>
    </row>
    <row r="214" spans="1:51" ht="15" customHeight="1" x14ac:dyDescent="0.25">
      <c r="A214" s="38" t="s">
        <v>410</v>
      </c>
      <c r="B214" s="63" t="s">
        <v>411</v>
      </c>
      <c r="C214" s="40" t="s">
        <v>412</v>
      </c>
      <c r="D214" s="204">
        <v>193696.80000000002</v>
      </c>
      <c r="E214" s="204">
        <v>0</v>
      </c>
      <c r="F214" s="204">
        <v>144712.32000000001</v>
      </c>
      <c r="G214" s="204">
        <v>0</v>
      </c>
      <c r="H214" s="204">
        <v>136588.26</v>
      </c>
      <c r="I214" s="204">
        <v>82481.22</v>
      </c>
      <c r="J214" s="204">
        <v>67073.52</v>
      </c>
      <c r="K214" s="204">
        <v>75397.680000000008</v>
      </c>
      <c r="L214" s="204">
        <v>69274.62000000001</v>
      </c>
      <c r="M214" s="204">
        <v>0</v>
      </c>
      <c r="N214" s="204">
        <v>159079.5</v>
      </c>
      <c r="O214" s="204">
        <v>0</v>
      </c>
      <c r="P214" s="204">
        <v>137508.72</v>
      </c>
      <c r="Q214" s="204">
        <v>70675.320000000007</v>
      </c>
      <c r="R214" s="204">
        <v>0</v>
      </c>
      <c r="S214" s="204">
        <v>0</v>
      </c>
      <c r="T214" s="204">
        <v>199779.84000000003</v>
      </c>
      <c r="U214" s="204">
        <v>69274.62000000001</v>
      </c>
      <c r="V214" s="204">
        <v>69994.98000000001</v>
      </c>
      <c r="W214" s="204">
        <v>68794.38</v>
      </c>
      <c r="X214" s="204">
        <v>76278.12000000001</v>
      </c>
      <c r="Y214" s="204">
        <v>68634.3</v>
      </c>
      <c r="Z214" s="204">
        <v>63391.68</v>
      </c>
      <c r="AA214" s="204">
        <v>49024.5</v>
      </c>
      <c r="AB214" s="204">
        <v>51425.700000000004</v>
      </c>
      <c r="AC214" s="204">
        <v>49304.639999999999</v>
      </c>
      <c r="AD214" s="204">
        <v>0</v>
      </c>
      <c r="AE214" s="204">
        <v>0</v>
      </c>
      <c r="AF214" s="206">
        <v>142151.04000000001</v>
      </c>
      <c r="AG214" s="204">
        <v>43101.54</v>
      </c>
      <c r="AH214" s="204">
        <v>53266.62</v>
      </c>
      <c r="AI214" s="204">
        <v>47903.94</v>
      </c>
      <c r="AJ214" s="204">
        <v>0</v>
      </c>
      <c r="AK214" s="204">
        <v>627.09110858909639</v>
      </c>
      <c r="AL214" s="204">
        <v>0</v>
      </c>
      <c r="AM214" s="204">
        <v>0</v>
      </c>
      <c r="AN214" s="204">
        <v>0</v>
      </c>
      <c r="AO214" s="204">
        <v>0</v>
      </c>
      <c r="AP214" s="204">
        <v>339169.5</v>
      </c>
      <c r="AQ214" s="204">
        <v>0</v>
      </c>
      <c r="AR214" s="204">
        <v>89484.72</v>
      </c>
      <c r="AS214" s="204">
        <v>51305.64</v>
      </c>
      <c r="AT214" s="204">
        <v>46783.380000000005</v>
      </c>
      <c r="AU214" s="204">
        <v>50905.440000000002</v>
      </c>
      <c r="AV214" s="204">
        <v>50745.36</v>
      </c>
      <c r="AW214" s="204">
        <v>0</v>
      </c>
      <c r="AX214" s="204">
        <v>105092.52</v>
      </c>
      <c r="AY214" s="204">
        <v>47063.520000000004</v>
      </c>
    </row>
    <row r="215" spans="1:51" ht="15" customHeight="1" x14ac:dyDescent="0.25">
      <c r="A215" s="38" t="s">
        <v>413</v>
      </c>
      <c r="B215" s="1" t="s">
        <v>414</v>
      </c>
      <c r="C215" s="64" t="s">
        <v>415</v>
      </c>
      <c r="D215" s="204">
        <v>387103.2</v>
      </c>
      <c r="E215" s="204">
        <v>0</v>
      </c>
      <c r="F215" s="204">
        <v>289207.67999999999</v>
      </c>
      <c r="G215" s="204">
        <v>0</v>
      </c>
      <c r="H215" s="204">
        <v>272971.74</v>
      </c>
      <c r="I215" s="204">
        <v>164838.78</v>
      </c>
      <c r="J215" s="204">
        <v>134046.48000000001</v>
      </c>
      <c r="K215" s="204">
        <v>150682.32</v>
      </c>
      <c r="L215" s="204">
        <v>138445.38</v>
      </c>
      <c r="M215" s="204">
        <v>0</v>
      </c>
      <c r="N215" s="204">
        <v>317920.5</v>
      </c>
      <c r="O215" s="204">
        <v>0</v>
      </c>
      <c r="P215" s="204">
        <v>274811.27999999997</v>
      </c>
      <c r="Q215" s="204">
        <v>141244.68</v>
      </c>
      <c r="R215" s="204">
        <v>0</v>
      </c>
      <c r="S215" s="204">
        <v>0</v>
      </c>
      <c r="T215" s="204">
        <v>399260.15999999997</v>
      </c>
      <c r="U215" s="204">
        <v>138445.38</v>
      </c>
      <c r="V215" s="204">
        <v>139885.01999999999</v>
      </c>
      <c r="W215" s="204">
        <v>137485.62</v>
      </c>
      <c r="X215" s="204">
        <v>152441.88</v>
      </c>
      <c r="Y215" s="204">
        <v>137165.69999999998</v>
      </c>
      <c r="Z215" s="204">
        <v>126688.31999999999</v>
      </c>
      <c r="AA215" s="204">
        <v>97975.5</v>
      </c>
      <c r="AB215" s="204">
        <v>102774.3</v>
      </c>
      <c r="AC215" s="204">
        <v>98535.360000000001</v>
      </c>
      <c r="AD215" s="204">
        <v>0</v>
      </c>
      <c r="AE215" s="204">
        <v>0</v>
      </c>
      <c r="AF215" s="206">
        <v>284088.96000000002</v>
      </c>
      <c r="AG215" s="204">
        <v>86138.459999999992</v>
      </c>
      <c r="AH215" s="204">
        <v>106453.37999999999</v>
      </c>
      <c r="AI215" s="204">
        <v>95736.06</v>
      </c>
      <c r="AJ215" s="204">
        <v>0</v>
      </c>
      <c r="AK215" s="204">
        <v>1253.2420505985988</v>
      </c>
      <c r="AL215" s="204">
        <v>0</v>
      </c>
      <c r="AM215" s="204">
        <v>0</v>
      </c>
      <c r="AN215" s="204">
        <v>0</v>
      </c>
      <c r="AO215" s="204">
        <v>0</v>
      </c>
      <c r="AP215" s="204">
        <v>677830.5</v>
      </c>
      <c r="AQ215" s="204">
        <v>0</v>
      </c>
      <c r="AR215" s="204">
        <v>178835.28</v>
      </c>
      <c r="AS215" s="204">
        <v>102534.36</v>
      </c>
      <c r="AT215" s="204">
        <v>93496.62</v>
      </c>
      <c r="AU215" s="204">
        <v>101734.56</v>
      </c>
      <c r="AV215" s="204">
        <v>101414.64</v>
      </c>
      <c r="AW215" s="204">
        <v>0</v>
      </c>
      <c r="AX215" s="204">
        <v>210027.47999999998</v>
      </c>
      <c r="AY215" s="204">
        <v>94056.48</v>
      </c>
    </row>
    <row r="216" spans="1:51" ht="15" customHeight="1" x14ac:dyDescent="0.25">
      <c r="A216" s="62">
        <v>1992</v>
      </c>
      <c r="B216" s="131" t="s">
        <v>416</v>
      </c>
      <c r="C216" s="219" t="s">
        <v>417</v>
      </c>
      <c r="D216" s="204">
        <v>35280</v>
      </c>
      <c r="E216" s="204">
        <v>43320</v>
      </c>
      <c r="F216" s="204">
        <v>44160</v>
      </c>
      <c r="G216" s="204">
        <v>43560</v>
      </c>
      <c r="H216" s="204">
        <v>44040</v>
      </c>
      <c r="I216" s="204">
        <v>46560</v>
      </c>
      <c r="J216" s="204">
        <v>60640</v>
      </c>
      <c r="K216" s="204">
        <v>53840</v>
      </c>
      <c r="L216" s="204">
        <v>50240</v>
      </c>
      <c r="M216" s="204">
        <v>51680</v>
      </c>
      <c r="N216" s="204">
        <v>53200</v>
      </c>
      <c r="O216" s="204">
        <v>48720</v>
      </c>
      <c r="P216" s="204">
        <v>42720</v>
      </c>
      <c r="Q216" s="204">
        <v>45880</v>
      </c>
      <c r="R216" s="204">
        <v>43760</v>
      </c>
      <c r="S216" s="204">
        <v>0</v>
      </c>
      <c r="T216" s="204">
        <v>91640</v>
      </c>
      <c r="U216" s="204">
        <v>48280</v>
      </c>
      <c r="V216" s="204">
        <v>50400</v>
      </c>
      <c r="W216" s="204">
        <v>50000</v>
      </c>
      <c r="X216" s="204">
        <v>55640</v>
      </c>
      <c r="Y216" s="204">
        <v>49680</v>
      </c>
      <c r="Z216" s="204">
        <v>53120</v>
      </c>
      <c r="AA216" s="204">
        <v>45520</v>
      </c>
      <c r="AB216" s="204">
        <v>44960</v>
      </c>
      <c r="AC216" s="204">
        <v>46760</v>
      </c>
      <c r="AD216" s="204">
        <v>46800</v>
      </c>
      <c r="AE216" s="204">
        <v>48160</v>
      </c>
      <c r="AF216" s="206">
        <v>47920</v>
      </c>
      <c r="AG216" s="204">
        <v>41400</v>
      </c>
      <c r="AH216" s="204">
        <v>50960</v>
      </c>
      <c r="AI216" s="204">
        <v>46400</v>
      </c>
      <c r="AJ216" s="204">
        <v>50560</v>
      </c>
      <c r="AK216" s="204">
        <v>46881.029402060194</v>
      </c>
      <c r="AL216" s="204">
        <v>0</v>
      </c>
      <c r="AM216" s="204">
        <v>0</v>
      </c>
      <c r="AN216" s="204">
        <v>0</v>
      </c>
      <c r="AO216" s="204">
        <v>0</v>
      </c>
      <c r="AP216" s="204">
        <v>0</v>
      </c>
      <c r="AQ216" s="204">
        <v>259080</v>
      </c>
      <c r="AR216" s="204">
        <v>39720</v>
      </c>
      <c r="AS216" s="204">
        <v>44880</v>
      </c>
      <c r="AT216" s="204">
        <v>0</v>
      </c>
      <c r="AU216" s="204">
        <v>86520</v>
      </c>
      <c r="AV216" s="204">
        <v>46760</v>
      </c>
      <c r="AW216" s="204">
        <v>47760</v>
      </c>
      <c r="AX216" s="204">
        <v>49120</v>
      </c>
      <c r="AY216" s="204">
        <v>40560</v>
      </c>
    </row>
    <row r="217" spans="1:51" ht="15" customHeight="1" x14ac:dyDescent="0.25">
      <c r="A217" s="38" t="s">
        <v>178</v>
      </c>
      <c r="B217" s="1" t="s">
        <v>179</v>
      </c>
      <c r="C217" s="40" t="s">
        <v>180</v>
      </c>
      <c r="D217" s="204">
        <v>4711.9852846445965</v>
      </c>
      <c r="E217" s="204">
        <v>5774.0311552084213</v>
      </c>
      <c r="F217" s="204">
        <v>4543.9706565602146</v>
      </c>
      <c r="G217" s="204">
        <v>5443.0291343489816</v>
      </c>
      <c r="H217" s="204">
        <v>4722.6882801142119</v>
      </c>
      <c r="I217" s="204">
        <v>4440.2937288454823</v>
      </c>
      <c r="J217" s="204">
        <v>9658.0252416949315</v>
      </c>
      <c r="K217" s="204">
        <v>10701.98556311738</v>
      </c>
      <c r="L217" s="204">
        <v>7646.9907247079227</v>
      </c>
      <c r="M217" s="204">
        <v>7242.9438516395812</v>
      </c>
      <c r="N217" s="204">
        <v>6066.914060631625</v>
      </c>
      <c r="O217" s="204">
        <v>4507.4623742626882</v>
      </c>
      <c r="P217" s="204">
        <v>3966.0386083346084</v>
      </c>
      <c r="Q217" s="204">
        <v>4486.9927295218868</v>
      </c>
      <c r="R217" s="204">
        <v>4366.0302578418678</v>
      </c>
      <c r="S217" s="204">
        <v>4558.9891615719507</v>
      </c>
      <c r="T217" s="204">
        <v>3561.9668118244899</v>
      </c>
      <c r="U217" s="204">
        <v>3970.0154887626732</v>
      </c>
      <c r="V217" s="204">
        <v>6676.9784422478242</v>
      </c>
      <c r="W217" s="204">
        <v>6690.0089480199194</v>
      </c>
      <c r="X217" s="204">
        <v>8885.9817073198828</v>
      </c>
      <c r="Y217" s="204">
        <v>6892.9668622391318</v>
      </c>
      <c r="Z217" s="204">
        <v>4967.9853451787258</v>
      </c>
      <c r="AA217" s="204">
        <v>4332.9911248876588</v>
      </c>
      <c r="AB217" s="204">
        <v>3341.0347675881685</v>
      </c>
      <c r="AC217" s="204">
        <v>4151</v>
      </c>
      <c r="AD217" s="204">
        <v>2676</v>
      </c>
      <c r="AE217" s="204">
        <v>1547</v>
      </c>
      <c r="AF217" s="206">
        <v>1245</v>
      </c>
      <c r="AG217" s="204">
        <v>1418</v>
      </c>
      <c r="AH217" s="204">
        <v>2393</v>
      </c>
      <c r="AI217" s="204">
        <v>2952.0000000000005</v>
      </c>
      <c r="AJ217" s="204">
        <v>2337</v>
      </c>
      <c r="AK217" s="204">
        <v>1551.7350832902966</v>
      </c>
      <c r="AL217" s="204">
        <v>1458</v>
      </c>
      <c r="AM217" s="204">
        <v>1379</v>
      </c>
      <c r="AN217" s="204">
        <v>1625</v>
      </c>
      <c r="AO217" s="204">
        <v>1678</v>
      </c>
      <c r="AP217" s="204">
        <v>1170</v>
      </c>
      <c r="AQ217" s="204">
        <v>1897</v>
      </c>
      <c r="AR217" s="204">
        <v>3035</v>
      </c>
      <c r="AS217" s="204">
        <v>3163</v>
      </c>
      <c r="AT217" s="204">
        <v>3490</v>
      </c>
      <c r="AU217" s="204">
        <v>5375</v>
      </c>
      <c r="AV217" s="204">
        <v>8774</v>
      </c>
      <c r="AW217" s="204">
        <v>5927</v>
      </c>
      <c r="AX217" s="204">
        <v>5428</v>
      </c>
      <c r="AY217" s="204">
        <v>3467</v>
      </c>
    </row>
    <row r="218" spans="1:51" ht="15" customHeight="1" x14ac:dyDescent="0.25">
      <c r="A218" s="38">
        <v>1001</v>
      </c>
      <c r="B218" s="1" t="s">
        <v>244</v>
      </c>
      <c r="C218" s="40" t="s">
        <v>3565</v>
      </c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6"/>
      <c r="AG218" s="204">
        <v>4757</v>
      </c>
      <c r="AH218" s="204">
        <v>4773</v>
      </c>
      <c r="AI218" s="204">
        <v>4590</v>
      </c>
      <c r="AJ218" s="204">
        <v>4623</v>
      </c>
      <c r="AK218" s="204">
        <v>5234.1245616784154</v>
      </c>
      <c r="AL218" s="204">
        <v>4079</v>
      </c>
      <c r="AM218" s="204">
        <v>4248</v>
      </c>
      <c r="AN218" s="204">
        <v>4807</v>
      </c>
      <c r="AO218" s="204">
        <v>4500</v>
      </c>
      <c r="AP218" s="204">
        <v>3995</v>
      </c>
      <c r="AQ218" s="204">
        <v>4234</v>
      </c>
      <c r="AR218" s="204">
        <v>3831</v>
      </c>
      <c r="AS218" s="204">
        <v>4228</v>
      </c>
      <c r="AT218" s="204">
        <v>3981</v>
      </c>
      <c r="AU218" s="204">
        <v>5596</v>
      </c>
      <c r="AV218" s="204">
        <v>9969</v>
      </c>
      <c r="AW218" s="204">
        <v>8416</v>
      </c>
      <c r="AX218" s="204">
        <v>8967</v>
      </c>
      <c r="AY218" s="204">
        <v>7068</v>
      </c>
    </row>
    <row r="219" spans="1:51" ht="15" customHeight="1" x14ac:dyDescent="0.25">
      <c r="A219" s="40">
        <v>6230</v>
      </c>
      <c r="B219" s="143" t="s">
        <v>606</v>
      </c>
      <c r="C219" s="132" t="s">
        <v>607</v>
      </c>
      <c r="D219" s="204">
        <v>7643</v>
      </c>
      <c r="E219" s="204">
        <v>7257</v>
      </c>
      <c r="F219" s="204">
        <v>7243</v>
      </c>
      <c r="G219" s="204">
        <v>6087</v>
      </c>
      <c r="H219" s="204">
        <v>5872</v>
      </c>
      <c r="I219" s="204">
        <v>5242</v>
      </c>
      <c r="J219" s="204">
        <v>11174</v>
      </c>
      <c r="K219" s="204">
        <v>10804</v>
      </c>
      <c r="L219" s="204">
        <v>10231</v>
      </c>
      <c r="M219" s="204">
        <v>19185</v>
      </c>
      <c r="N219" s="204">
        <v>8251</v>
      </c>
      <c r="O219" s="204">
        <v>7764</v>
      </c>
      <c r="P219" s="204">
        <v>12447</v>
      </c>
      <c r="Q219" s="204">
        <v>5970</v>
      </c>
      <c r="R219" s="204">
        <v>5445</v>
      </c>
      <c r="S219" s="204">
        <v>6475</v>
      </c>
      <c r="T219" s="204">
        <v>3863</v>
      </c>
      <c r="U219" s="204">
        <v>3856</v>
      </c>
      <c r="V219" s="204">
        <v>4705</v>
      </c>
      <c r="W219" s="204">
        <v>4605</v>
      </c>
      <c r="X219" s="204">
        <v>6024</v>
      </c>
      <c r="Y219" s="204">
        <v>4974</v>
      </c>
      <c r="Z219" s="204">
        <v>7264</v>
      </c>
      <c r="AA219" s="204">
        <v>6708</v>
      </c>
      <c r="AB219" s="204">
        <v>0</v>
      </c>
      <c r="AC219" s="204">
        <v>3149</v>
      </c>
      <c r="AD219" s="204">
        <v>0</v>
      </c>
      <c r="AE219" s="204">
        <v>0</v>
      </c>
      <c r="AF219" s="206">
        <v>0</v>
      </c>
      <c r="AG219" s="204">
        <v>0</v>
      </c>
      <c r="AH219" s="204">
        <v>1760</v>
      </c>
      <c r="AI219" s="204">
        <v>0</v>
      </c>
      <c r="AJ219" s="204">
        <v>760</v>
      </c>
      <c r="AK219" s="204">
        <v>11.276845569706399</v>
      </c>
      <c r="AL219" s="204">
        <v>420</v>
      </c>
      <c r="AM219" s="204">
        <v>0</v>
      </c>
      <c r="AN219" s="204">
        <v>0</v>
      </c>
      <c r="AO219" s="204">
        <v>0</v>
      </c>
      <c r="AP219" s="204">
        <v>35418</v>
      </c>
      <c r="AQ219" s="204">
        <v>0</v>
      </c>
      <c r="AR219" s="204">
        <v>720</v>
      </c>
      <c r="AS219" s="204">
        <v>380</v>
      </c>
      <c r="AT219" s="204">
        <v>380</v>
      </c>
      <c r="AU219" s="204">
        <v>380</v>
      </c>
      <c r="AV219" s="204">
        <v>20829</v>
      </c>
      <c r="AW219" s="204">
        <v>4021</v>
      </c>
      <c r="AX219" s="204">
        <v>460</v>
      </c>
      <c r="AY219" s="204">
        <v>380</v>
      </c>
    </row>
    <row r="220" spans="1:51" ht="15" customHeight="1" x14ac:dyDescent="0.25">
      <c r="A220" s="117">
        <v>3410</v>
      </c>
      <c r="B220" s="33" t="s">
        <v>610</v>
      </c>
      <c r="C220" s="33" t="s">
        <v>611</v>
      </c>
      <c r="D220" s="204">
        <v>920000</v>
      </c>
      <c r="E220" s="204">
        <v>880000</v>
      </c>
      <c r="F220" s="204">
        <v>832000</v>
      </c>
      <c r="G220" s="204">
        <v>936000</v>
      </c>
      <c r="H220" s="204">
        <v>952000</v>
      </c>
      <c r="I220" s="204">
        <v>912000</v>
      </c>
      <c r="J220" s="204">
        <v>1104000</v>
      </c>
      <c r="K220" s="204">
        <v>1240000</v>
      </c>
      <c r="L220" s="204">
        <v>1160000</v>
      </c>
      <c r="M220" s="204">
        <v>1144000</v>
      </c>
      <c r="N220" s="204">
        <v>1152000</v>
      </c>
      <c r="O220" s="204">
        <v>936000</v>
      </c>
      <c r="P220" s="204">
        <v>928000</v>
      </c>
      <c r="Q220" s="204">
        <v>912000</v>
      </c>
      <c r="R220" s="204">
        <v>912000</v>
      </c>
      <c r="S220" s="204">
        <v>1088000</v>
      </c>
      <c r="T220" s="204">
        <v>904000</v>
      </c>
      <c r="U220" s="204">
        <v>912000</v>
      </c>
      <c r="V220" s="204">
        <v>1116013.08</v>
      </c>
      <c r="W220" s="204">
        <v>1096000</v>
      </c>
      <c r="X220" s="204">
        <v>1288000</v>
      </c>
      <c r="Y220" s="204">
        <v>1184000</v>
      </c>
      <c r="Z220" s="204">
        <v>1000000</v>
      </c>
      <c r="AA220" s="204">
        <v>968000</v>
      </c>
      <c r="AB220" s="204">
        <v>888000</v>
      </c>
      <c r="AC220" s="204">
        <v>1040000</v>
      </c>
      <c r="AD220" s="204">
        <v>880000</v>
      </c>
      <c r="AE220" s="204">
        <v>680000</v>
      </c>
      <c r="AF220" s="206">
        <v>808000</v>
      </c>
      <c r="AG220" s="204">
        <v>888000</v>
      </c>
      <c r="AH220" s="204">
        <v>928000</v>
      </c>
      <c r="AI220" s="204">
        <v>952000</v>
      </c>
      <c r="AJ220" s="204">
        <v>1056000</v>
      </c>
      <c r="AK220" s="204">
        <v>963834.08800775779</v>
      </c>
      <c r="AL220" s="204">
        <v>912000</v>
      </c>
      <c r="AM220" s="204">
        <v>792000</v>
      </c>
      <c r="AN220" s="204">
        <v>720000</v>
      </c>
      <c r="AO220" s="204">
        <v>672000</v>
      </c>
      <c r="AP220" s="204">
        <v>720000</v>
      </c>
      <c r="AQ220" s="204">
        <v>800000</v>
      </c>
      <c r="AR220" s="204">
        <v>784000</v>
      </c>
      <c r="AS220" s="204">
        <v>872000</v>
      </c>
      <c r="AT220" s="204">
        <v>1000000</v>
      </c>
      <c r="AU220" s="204">
        <v>1096000</v>
      </c>
      <c r="AV220" s="204">
        <v>1064000</v>
      </c>
      <c r="AW220" s="204">
        <v>1072000</v>
      </c>
      <c r="AX220" s="204">
        <v>1016000</v>
      </c>
      <c r="AY220" s="204">
        <v>678906</v>
      </c>
    </row>
    <row r="221" spans="1:51" ht="15" customHeight="1" x14ac:dyDescent="0.25">
      <c r="A221" s="38" t="s">
        <v>73</v>
      </c>
      <c r="B221" s="1" t="s">
        <v>74</v>
      </c>
      <c r="C221" s="40" t="s">
        <v>75</v>
      </c>
      <c r="D221" s="204">
        <v>297352.86529957171</v>
      </c>
      <c r="E221" s="204">
        <v>267028.40644717944</v>
      </c>
      <c r="F221" s="204">
        <v>257650.06674734963</v>
      </c>
      <c r="G221" s="204">
        <v>272384.89807021833</v>
      </c>
      <c r="H221" s="204">
        <v>303994.04641424736</v>
      </c>
      <c r="I221" s="204">
        <v>304782.98350023257</v>
      </c>
      <c r="J221" s="204">
        <v>330216.22209772596</v>
      </c>
      <c r="K221" s="204">
        <v>401221.07343900367</v>
      </c>
      <c r="L221" s="204">
        <v>334507.21285734326</v>
      </c>
      <c r="M221" s="204">
        <v>287205.74411449517</v>
      </c>
      <c r="N221" s="204">
        <v>326454.16800936841</v>
      </c>
      <c r="O221" s="204">
        <v>295131.3668901897</v>
      </c>
      <c r="P221" s="204">
        <v>251277.1459368786</v>
      </c>
      <c r="Q221" s="204">
        <v>249013.48029871198</v>
      </c>
      <c r="R221" s="204">
        <v>249940.05402200337</v>
      </c>
      <c r="S221" s="204">
        <v>309677.94949731446</v>
      </c>
      <c r="T221" s="204">
        <v>282009.00750007306</v>
      </c>
      <c r="U221" s="204">
        <v>288341.31620591314</v>
      </c>
      <c r="V221" s="204">
        <v>347022.46683086629</v>
      </c>
      <c r="W221" s="204">
        <v>313262.44923058437</v>
      </c>
      <c r="X221" s="204">
        <v>358037.72230788384</v>
      </c>
      <c r="Y221" s="204">
        <v>322132.16469146486</v>
      </c>
      <c r="Z221" s="204">
        <v>282178.63183017616</v>
      </c>
      <c r="AA221" s="204">
        <v>284555.14442849765</v>
      </c>
      <c r="AB221" s="204">
        <v>238801.36264395044</v>
      </c>
      <c r="AC221" s="204">
        <v>278915</v>
      </c>
      <c r="AD221" s="204">
        <v>230271</v>
      </c>
      <c r="AE221" s="204">
        <v>211529</v>
      </c>
      <c r="AF221" s="206">
        <v>241025</v>
      </c>
      <c r="AG221" s="204">
        <v>266287</v>
      </c>
      <c r="AH221" s="204">
        <v>276877</v>
      </c>
      <c r="AI221" s="204">
        <v>294463</v>
      </c>
      <c r="AJ221" s="204">
        <v>307030</v>
      </c>
      <c r="AK221" s="204">
        <v>295617.71881064924</v>
      </c>
      <c r="AL221" s="204">
        <v>288736</v>
      </c>
      <c r="AM221" s="204">
        <v>241347</v>
      </c>
      <c r="AN221" s="204">
        <v>252182</v>
      </c>
      <c r="AO221" s="204">
        <v>236142</v>
      </c>
      <c r="AP221" s="204">
        <v>224540</v>
      </c>
      <c r="AQ221" s="204">
        <v>229315</v>
      </c>
      <c r="AR221" s="204">
        <v>238721</v>
      </c>
      <c r="AS221" s="204">
        <v>272849</v>
      </c>
      <c r="AT221" s="204">
        <v>284708</v>
      </c>
      <c r="AU221" s="204">
        <v>334648</v>
      </c>
      <c r="AV221" s="204">
        <v>380928</v>
      </c>
      <c r="AW221" s="204">
        <v>268691</v>
      </c>
      <c r="AX221" s="204">
        <v>252225</v>
      </c>
      <c r="AY221" s="204">
        <v>212834</v>
      </c>
    </row>
    <row r="222" spans="1:51" ht="15" customHeight="1" x14ac:dyDescent="0.25">
      <c r="A222" s="62" t="s">
        <v>76</v>
      </c>
      <c r="B222" s="1" t="s">
        <v>77</v>
      </c>
      <c r="C222" s="40" t="s">
        <v>78</v>
      </c>
      <c r="D222" s="204">
        <v>30593.653193760158</v>
      </c>
      <c r="E222" s="204">
        <v>22605.483000438257</v>
      </c>
      <c r="F222" s="204">
        <v>9901.0257484622416</v>
      </c>
      <c r="G222" s="204">
        <v>23705.016215326876</v>
      </c>
      <c r="H222" s="204">
        <v>28824.970864534094</v>
      </c>
      <c r="I222" s="204">
        <v>66461.023629012678</v>
      </c>
      <c r="J222" s="204">
        <v>59095.022837094715</v>
      </c>
      <c r="K222" s="204">
        <v>94618.720289225152</v>
      </c>
      <c r="L222" s="204">
        <v>70371.737196675618</v>
      </c>
      <c r="M222" s="204">
        <v>64423.000000000007</v>
      </c>
      <c r="N222" s="204">
        <v>53969.363299756063</v>
      </c>
      <c r="O222" s="204">
        <v>41342.720198614152</v>
      </c>
      <c r="P222" s="204">
        <v>6952.0194713989795</v>
      </c>
      <c r="Q222" s="204">
        <v>23285.069647560791</v>
      </c>
      <c r="R222" s="204">
        <v>28140.009071472814</v>
      </c>
      <c r="S222" s="204">
        <v>82768.966801840288</v>
      </c>
      <c r="T222" s="204">
        <v>67586.024977226189</v>
      </c>
      <c r="U222" s="204">
        <v>62506.845066543116</v>
      </c>
      <c r="V222" s="204">
        <v>93452.386966694088</v>
      </c>
      <c r="W222" s="204">
        <v>78772.87643877462</v>
      </c>
      <c r="X222" s="204">
        <v>102053.92063069287</v>
      </c>
      <c r="Y222" s="204">
        <v>71011.054564491482</v>
      </c>
      <c r="Z222" s="204">
        <v>56933.899589303524</v>
      </c>
      <c r="AA222" s="204">
        <v>52223.826916081482</v>
      </c>
      <c r="AB222" s="204">
        <v>22726.031099251191</v>
      </c>
      <c r="AC222" s="204">
        <v>42703</v>
      </c>
      <c r="AD222" s="204">
        <v>26077</v>
      </c>
      <c r="AE222" s="204">
        <v>29003.000000000004</v>
      </c>
      <c r="AF222" s="206">
        <v>53996</v>
      </c>
      <c r="AG222" s="204">
        <v>59796</v>
      </c>
      <c r="AH222" s="204">
        <v>56416</v>
      </c>
      <c r="AI222" s="204">
        <v>63519</v>
      </c>
      <c r="AJ222" s="204">
        <v>56596</v>
      </c>
      <c r="AK222" s="204">
        <v>51886.967084476564</v>
      </c>
      <c r="AL222" s="204">
        <v>44954</v>
      </c>
      <c r="AM222" s="204">
        <v>30059</v>
      </c>
      <c r="AN222" s="204">
        <v>28274</v>
      </c>
      <c r="AO222" s="204">
        <v>29944</v>
      </c>
      <c r="AP222" s="204">
        <v>31090</v>
      </c>
      <c r="AQ222" s="204">
        <v>39318</v>
      </c>
      <c r="AR222" s="204">
        <v>48120</v>
      </c>
      <c r="AS222" s="204">
        <v>64009</v>
      </c>
      <c r="AT222" s="204">
        <v>69330</v>
      </c>
      <c r="AU222" s="204">
        <v>79057</v>
      </c>
      <c r="AV222" s="204">
        <v>147456</v>
      </c>
      <c r="AW222" s="204">
        <v>60311</v>
      </c>
      <c r="AX222" s="204">
        <v>47321</v>
      </c>
      <c r="AY222" s="204">
        <v>30692</v>
      </c>
    </row>
    <row r="223" spans="1:51" ht="15" customHeight="1" x14ac:dyDescent="0.25">
      <c r="A223" s="38" t="s">
        <v>22</v>
      </c>
      <c r="B223" s="1" t="s">
        <v>23</v>
      </c>
      <c r="C223" s="258" t="s">
        <v>24</v>
      </c>
      <c r="D223" s="204">
        <v>78002.18959430125</v>
      </c>
      <c r="E223" s="204">
        <v>77719.036964189712</v>
      </c>
      <c r="F223" s="204">
        <v>74692.036468045364</v>
      </c>
      <c r="G223" s="204">
        <v>77546.987856824868</v>
      </c>
      <c r="H223" s="204">
        <v>76791.978942258676</v>
      </c>
      <c r="I223" s="204">
        <v>61306.035633938074</v>
      </c>
      <c r="J223" s="204">
        <v>60959.999999999993</v>
      </c>
      <c r="K223" s="204">
        <v>67459.994121511641</v>
      </c>
      <c r="L223" s="204">
        <v>75214.705279951711</v>
      </c>
      <c r="M223" s="204">
        <v>74600.564852117721</v>
      </c>
      <c r="N223" s="204">
        <v>77265.883380514555</v>
      </c>
      <c r="O223" s="204">
        <v>67791.087825568247</v>
      </c>
      <c r="P223" s="204">
        <v>68009.017705057035</v>
      </c>
      <c r="Q223" s="204">
        <v>72137.109789830094</v>
      </c>
      <c r="R223" s="204">
        <v>72342.021377157114</v>
      </c>
      <c r="S223" s="204">
        <v>79375.980500208621</v>
      </c>
      <c r="T223" s="204">
        <v>69264.989584561801</v>
      </c>
      <c r="U223" s="204">
        <v>64006.877448075582</v>
      </c>
      <c r="V223" s="204">
        <v>66220.519694531991</v>
      </c>
      <c r="W223" s="204">
        <v>57071.577200330728</v>
      </c>
      <c r="X223" s="204">
        <v>55772.950227883135</v>
      </c>
      <c r="Y223" s="204">
        <v>58693.749195402408</v>
      </c>
      <c r="Z223" s="204">
        <v>50746</v>
      </c>
      <c r="AA223" s="204">
        <v>78267</v>
      </c>
      <c r="AB223" s="204">
        <v>67481</v>
      </c>
      <c r="AC223" s="204">
        <v>75507</v>
      </c>
      <c r="AD223" s="204">
        <v>60161</v>
      </c>
      <c r="AE223" s="204">
        <v>47346</v>
      </c>
      <c r="AF223" s="206">
        <v>51329</v>
      </c>
      <c r="AG223" s="204">
        <v>54006</v>
      </c>
      <c r="AH223" s="204">
        <v>53439</v>
      </c>
      <c r="AI223" s="204">
        <v>52570</v>
      </c>
      <c r="AJ223" s="204">
        <v>62020</v>
      </c>
      <c r="AK223" s="204">
        <v>59282.500456027461</v>
      </c>
      <c r="AL223" s="204">
        <v>66540</v>
      </c>
      <c r="AM223" s="204">
        <v>41558</v>
      </c>
      <c r="AN223" s="204">
        <v>39688</v>
      </c>
      <c r="AO223" s="204">
        <v>43286</v>
      </c>
      <c r="AP223" s="204">
        <v>43383</v>
      </c>
      <c r="AQ223" s="204">
        <v>44282</v>
      </c>
      <c r="AR223" s="204">
        <v>46109</v>
      </c>
      <c r="AS223" s="204">
        <v>51461</v>
      </c>
      <c r="AT223" s="204">
        <v>46444</v>
      </c>
      <c r="AU223" s="204">
        <v>50382</v>
      </c>
      <c r="AV223" s="204">
        <v>61406</v>
      </c>
      <c r="AW223" s="204">
        <v>61018</v>
      </c>
      <c r="AX223" s="204">
        <v>59600</v>
      </c>
      <c r="AY223" s="204">
        <v>49982</v>
      </c>
    </row>
    <row r="224" spans="1:51" ht="15" customHeight="1" x14ac:dyDescent="0.25">
      <c r="A224" s="62">
        <v>3310</v>
      </c>
      <c r="B224" s="207" t="s">
        <v>567</v>
      </c>
      <c r="C224" s="40" t="s">
        <v>568</v>
      </c>
      <c r="D224" s="204">
        <v>113710.97118752831</v>
      </c>
      <c r="E224" s="204">
        <v>111641.00631920542</v>
      </c>
      <c r="F224" s="204">
        <v>110206.01248343084</v>
      </c>
      <c r="G224" s="204">
        <v>122484.94298379579</v>
      </c>
      <c r="H224" s="204">
        <v>126235.97241256903</v>
      </c>
      <c r="I224" s="204">
        <v>120847.0154007963</v>
      </c>
      <c r="J224" s="204">
        <v>134930.0871654404</v>
      </c>
      <c r="K224" s="204">
        <v>146776.98150955746</v>
      </c>
      <c r="L224" s="204">
        <v>149598.43120567969</v>
      </c>
      <c r="M224" s="204">
        <v>156924.04883302908</v>
      </c>
      <c r="N224" s="204">
        <v>169874.536487306</v>
      </c>
      <c r="O224" s="204">
        <v>159207.24498189121</v>
      </c>
      <c r="P224" s="204">
        <v>151249.13080825916</v>
      </c>
      <c r="Q224" s="204">
        <v>137291.23136928433</v>
      </c>
      <c r="R224" s="204">
        <v>137057.02956722659</v>
      </c>
      <c r="S224" s="204">
        <v>147523.96802079768</v>
      </c>
      <c r="T224" s="204">
        <v>136559.89059169308</v>
      </c>
      <c r="U224" s="204">
        <v>138178.66204652772</v>
      </c>
      <c r="V224" s="204">
        <v>150314.0534247105</v>
      </c>
      <c r="W224" s="204">
        <v>140158.77902242725</v>
      </c>
      <c r="X224" s="204">
        <v>149315.85705311637</v>
      </c>
      <c r="Y224" s="204">
        <v>152410.07671359126</v>
      </c>
      <c r="Z224" s="204">
        <v>148474.83122674454</v>
      </c>
      <c r="AA224" s="204">
        <v>152787.58787703843</v>
      </c>
      <c r="AB224" s="204">
        <v>139220.21363830788</v>
      </c>
      <c r="AC224" s="204">
        <v>153201</v>
      </c>
      <c r="AD224" s="204">
        <v>119078</v>
      </c>
      <c r="AE224" s="204">
        <v>103075.99999999999</v>
      </c>
      <c r="AF224" s="206">
        <v>124285.99999999999</v>
      </c>
      <c r="AG224" s="204">
        <v>89957</v>
      </c>
      <c r="AH224" s="204">
        <v>102483.99999999999</v>
      </c>
      <c r="AI224" s="204">
        <v>143784</v>
      </c>
      <c r="AJ224" s="204">
        <v>144095</v>
      </c>
      <c r="AK224" s="204">
        <v>109119.12886993561</v>
      </c>
      <c r="AL224" s="204">
        <v>82671</v>
      </c>
      <c r="AM224" s="204">
        <v>56337</v>
      </c>
      <c r="AN224" s="204">
        <v>66207</v>
      </c>
      <c r="AO224" s="204">
        <v>59522</v>
      </c>
      <c r="AP224" s="204">
        <v>59657</v>
      </c>
      <c r="AQ224" s="204">
        <v>65035</v>
      </c>
      <c r="AR224" s="204">
        <v>74367</v>
      </c>
      <c r="AS224" s="204">
        <v>101875</v>
      </c>
      <c r="AT224" s="204">
        <v>168605</v>
      </c>
      <c r="AU224" s="204">
        <v>141654</v>
      </c>
      <c r="AV224" s="204">
        <v>169095</v>
      </c>
      <c r="AW224" s="204">
        <v>108123</v>
      </c>
      <c r="AX224" s="204">
        <v>115264</v>
      </c>
      <c r="AY224" s="204">
        <v>75245</v>
      </c>
    </row>
    <row r="225" spans="1:51" ht="15" customHeight="1" x14ac:dyDescent="0.25">
      <c r="A225" s="38" t="s">
        <v>85</v>
      </c>
      <c r="B225" s="1" t="s">
        <v>86</v>
      </c>
      <c r="C225" s="40" t="s">
        <v>87</v>
      </c>
      <c r="D225" s="204">
        <v>125309.13979962819</v>
      </c>
      <c r="E225" s="204">
        <v>135213.92834568326</v>
      </c>
      <c r="F225" s="204">
        <v>128436.0480351174</v>
      </c>
      <c r="G225" s="204">
        <v>137459.95180824783</v>
      </c>
      <c r="H225" s="204">
        <v>117645.00174919305</v>
      </c>
      <c r="I225" s="204">
        <v>90980.013459871407</v>
      </c>
      <c r="J225" s="204">
        <v>93363.089019887135</v>
      </c>
      <c r="K225" s="204">
        <v>89538.950877736468</v>
      </c>
      <c r="L225" s="204">
        <v>114689.55572541646</v>
      </c>
      <c r="M225" s="204">
        <v>123284.22155768573</v>
      </c>
      <c r="N225" s="204">
        <v>131418.08501400842</v>
      </c>
      <c r="O225" s="204">
        <v>125106.46667042952</v>
      </c>
      <c r="P225" s="204">
        <v>119845.09484694657</v>
      </c>
      <c r="Q225" s="204">
        <v>125741.2460223189</v>
      </c>
      <c r="R225" s="204">
        <v>110277.37206778734</v>
      </c>
      <c r="S225" s="204">
        <v>117055.91745107181</v>
      </c>
      <c r="T225" s="204">
        <v>113280.00570757347</v>
      </c>
      <c r="U225" s="204">
        <v>109503.74240605619</v>
      </c>
      <c r="V225" s="204">
        <v>98629.981974777664</v>
      </c>
      <c r="W225" s="204">
        <v>86844.829579906174</v>
      </c>
      <c r="X225" s="204">
        <v>114689.91313768172</v>
      </c>
      <c r="Y225" s="204">
        <v>130411.08442430916</v>
      </c>
      <c r="Z225" s="204">
        <v>127180.8442331433</v>
      </c>
      <c r="AA225" s="204">
        <v>124127.62178684404</v>
      </c>
      <c r="AB225" s="204">
        <v>104126.16281521112</v>
      </c>
      <c r="AC225" s="204">
        <v>132579.97</v>
      </c>
      <c r="AD225" s="204">
        <v>90074</v>
      </c>
      <c r="AE225" s="204">
        <v>67397</v>
      </c>
      <c r="AF225" s="206">
        <v>53104</v>
      </c>
      <c r="AG225" s="204">
        <v>69535</v>
      </c>
      <c r="AH225" s="204">
        <v>69818</v>
      </c>
      <c r="AI225" s="204">
        <v>60353.999999999993</v>
      </c>
      <c r="AJ225" s="204">
        <v>65238</v>
      </c>
      <c r="AK225" s="204">
        <v>52185.41467231117</v>
      </c>
      <c r="AL225" s="204">
        <v>59390</v>
      </c>
      <c r="AM225" s="204">
        <v>53732</v>
      </c>
      <c r="AN225" s="204">
        <v>58088</v>
      </c>
      <c r="AO225" s="204">
        <v>50001</v>
      </c>
      <c r="AP225" s="204">
        <v>54196</v>
      </c>
      <c r="AQ225" s="204">
        <v>61853</v>
      </c>
      <c r="AR225" s="204">
        <v>60802</v>
      </c>
      <c r="AS225" s="204">
        <v>68853</v>
      </c>
      <c r="AT225" s="204">
        <v>53887</v>
      </c>
      <c r="AU225" s="204">
        <v>66006</v>
      </c>
      <c r="AV225" s="204">
        <v>82944</v>
      </c>
      <c r="AW225" s="204">
        <v>66547</v>
      </c>
      <c r="AX225" s="204">
        <v>70635</v>
      </c>
      <c r="AY225" s="204">
        <v>65079</v>
      </c>
    </row>
    <row r="226" spans="1:51" ht="15" customHeight="1" x14ac:dyDescent="0.25">
      <c r="A226" s="38" t="s">
        <v>16</v>
      </c>
      <c r="B226" s="63" t="s">
        <v>17</v>
      </c>
      <c r="C226" s="40" t="s">
        <v>18</v>
      </c>
      <c r="D226" s="204">
        <v>81533.227021909304</v>
      </c>
      <c r="E226" s="204">
        <v>79607.348112105523</v>
      </c>
      <c r="F226" s="204">
        <v>81878.300961316752</v>
      </c>
      <c r="G226" s="204">
        <v>94040.651743386741</v>
      </c>
      <c r="H226" s="204">
        <v>96183.900893648854</v>
      </c>
      <c r="I226" s="204">
        <v>99819.273801685107</v>
      </c>
      <c r="J226" s="204">
        <v>169182</v>
      </c>
      <c r="K226" s="204">
        <v>180817</v>
      </c>
      <c r="L226" s="204">
        <v>113413.88687784181</v>
      </c>
      <c r="M226" s="204">
        <v>103831.0774047981</v>
      </c>
      <c r="N226" s="204">
        <v>101375.46523000198</v>
      </c>
      <c r="O226" s="204">
        <v>73493.302182686137</v>
      </c>
      <c r="P226" s="204">
        <v>63412.768204156258</v>
      </c>
      <c r="Q226" s="204">
        <v>56908.28273946944</v>
      </c>
      <c r="R226" s="204">
        <v>105076.85144038075</v>
      </c>
      <c r="S226" s="204">
        <v>138137.40131330927</v>
      </c>
      <c r="T226" s="204">
        <v>118924.98756569318</v>
      </c>
      <c r="U226" s="204">
        <v>146289.13746368536</v>
      </c>
      <c r="V226" s="204">
        <v>160438.93359605974</v>
      </c>
      <c r="W226" s="204">
        <v>149475.26159557822</v>
      </c>
      <c r="X226" s="204">
        <v>168330.17467083744</v>
      </c>
      <c r="Y226" s="204">
        <v>151908.6923539587</v>
      </c>
      <c r="Z226" s="204">
        <v>129682.48651129956</v>
      </c>
      <c r="AA226" s="204">
        <v>99745.688256421039</v>
      </c>
      <c r="AB226" s="204">
        <v>98890.169729375557</v>
      </c>
      <c r="AC226" s="204">
        <v>135533</v>
      </c>
      <c r="AD226" s="204">
        <v>99563</v>
      </c>
      <c r="AE226" s="204">
        <v>99118</v>
      </c>
      <c r="AF226" s="206">
        <v>118026.79999999999</v>
      </c>
      <c r="AG226" s="204">
        <v>106926.8</v>
      </c>
      <c r="AH226" s="204">
        <v>103191</v>
      </c>
      <c r="AI226" s="204">
        <v>107959</v>
      </c>
      <c r="AJ226" s="204">
        <v>115419</v>
      </c>
      <c r="AK226" s="204">
        <v>102287.18150128289</v>
      </c>
      <c r="AL226" s="204">
        <v>87894</v>
      </c>
      <c r="AM226" s="204">
        <v>53285</v>
      </c>
      <c r="AN226" s="204">
        <v>63881</v>
      </c>
      <c r="AO226" s="204">
        <v>71417</v>
      </c>
      <c r="AP226" s="204">
        <v>76774</v>
      </c>
      <c r="AQ226" s="204">
        <v>89524</v>
      </c>
      <c r="AR226" s="204">
        <v>100343</v>
      </c>
      <c r="AS226" s="204">
        <v>120935</v>
      </c>
      <c r="AT226" s="204">
        <v>118780</v>
      </c>
      <c r="AU226" s="204">
        <v>118466</v>
      </c>
      <c r="AV226" s="204">
        <v>147153</v>
      </c>
      <c r="AW226" s="204">
        <v>129175</v>
      </c>
      <c r="AX226" s="204">
        <v>121803</v>
      </c>
      <c r="AY226" s="204">
        <v>93462</v>
      </c>
    </row>
    <row r="227" spans="1:51" ht="15" customHeight="1" x14ac:dyDescent="0.25">
      <c r="A227" s="38" t="s">
        <v>139</v>
      </c>
      <c r="B227" s="1" t="s">
        <v>140</v>
      </c>
      <c r="C227" s="40" t="s">
        <v>141</v>
      </c>
      <c r="D227" s="204">
        <v>67276.008066925395</v>
      </c>
      <c r="E227" s="204">
        <v>70216.996095027527</v>
      </c>
      <c r="F227" s="204">
        <v>56161.524647553575</v>
      </c>
      <c r="G227" s="204">
        <v>56030.476078395019</v>
      </c>
      <c r="H227" s="204">
        <v>44898.490128562276</v>
      </c>
      <c r="I227" s="204">
        <v>24451.486821914641</v>
      </c>
      <c r="J227" s="204">
        <v>49310.01376992499</v>
      </c>
      <c r="K227" s="204">
        <v>76875.946783571548</v>
      </c>
      <c r="L227" s="204">
        <v>85628.686196719398</v>
      </c>
      <c r="M227" s="204">
        <v>75202.548233296562</v>
      </c>
      <c r="N227" s="204">
        <v>70559.946515100368</v>
      </c>
      <c r="O227" s="204">
        <v>49487.814611548667</v>
      </c>
      <c r="P227" s="204">
        <v>78064.029232453293</v>
      </c>
      <c r="Q227" s="204">
        <v>84708.157299482453</v>
      </c>
      <c r="R227" s="204">
        <v>57781.040267780983</v>
      </c>
      <c r="S227" s="204">
        <v>62054.020794493837</v>
      </c>
      <c r="T227" s="204">
        <v>33617.031519313088</v>
      </c>
      <c r="U227" s="204">
        <v>17538.958921047917</v>
      </c>
      <c r="V227" s="204">
        <v>24541.016470870454</v>
      </c>
      <c r="W227" s="204">
        <v>48091.917806358048</v>
      </c>
      <c r="X227" s="204">
        <v>97656.936751571746</v>
      </c>
      <c r="Y227" s="204">
        <v>80553.042118927202</v>
      </c>
      <c r="Z227" s="204">
        <v>68825.889272849963</v>
      </c>
      <c r="AA227" s="204">
        <v>65550.816147806807</v>
      </c>
      <c r="AB227" s="204">
        <v>57074.095942024302</v>
      </c>
      <c r="AC227" s="204">
        <v>77528</v>
      </c>
      <c r="AD227" s="204">
        <v>62147</v>
      </c>
      <c r="AE227" s="204">
        <v>41682</v>
      </c>
      <c r="AF227" s="206">
        <v>35741</v>
      </c>
      <c r="AG227" s="204">
        <v>30022</v>
      </c>
      <c r="AH227" s="204">
        <v>27442</v>
      </c>
      <c r="AI227" s="204">
        <v>29595</v>
      </c>
      <c r="AJ227" s="204">
        <v>35243</v>
      </c>
      <c r="AK227" s="204">
        <v>30936.897765737296</v>
      </c>
      <c r="AL227" s="204">
        <v>30770</v>
      </c>
      <c r="AM227" s="204">
        <v>31808</v>
      </c>
      <c r="AN227" s="204">
        <v>39835</v>
      </c>
      <c r="AO227" s="204">
        <v>33836</v>
      </c>
      <c r="AP227" s="204">
        <v>41000</v>
      </c>
      <c r="AQ227" s="204">
        <v>28737</v>
      </c>
      <c r="AR227" s="204">
        <v>26578</v>
      </c>
      <c r="AS227" s="204">
        <v>21123</v>
      </c>
      <c r="AT227" s="204">
        <v>20160</v>
      </c>
      <c r="AU227" s="204">
        <v>31613</v>
      </c>
      <c r="AV227" s="204">
        <v>53521</v>
      </c>
      <c r="AW227" s="204">
        <v>65602</v>
      </c>
      <c r="AX227" s="204">
        <v>64352</v>
      </c>
      <c r="AY227" s="204">
        <v>65561</v>
      </c>
    </row>
    <row r="228" spans="1:51" ht="15" customHeight="1" x14ac:dyDescent="0.25">
      <c r="A228" s="38" t="s">
        <v>25</v>
      </c>
      <c r="B228" s="1" t="s">
        <v>26</v>
      </c>
      <c r="C228" s="40" t="s">
        <v>27</v>
      </c>
      <c r="D228" s="204">
        <v>0</v>
      </c>
      <c r="E228" s="204">
        <v>0</v>
      </c>
      <c r="F228" s="204">
        <v>0</v>
      </c>
      <c r="G228" s="204">
        <v>0</v>
      </c>
      <c r="H228" s="204">
        <v>0</v>
      </c>
      <c r="I228" s="204">
        <v>0</v>
      </c>
      <c r="J228" s="204">
        <v>0</v>
      </c>
      <c r="K228" s="204">
        <v>0</v>
      </c>
      <c r="L228" s="204">
        <v>0</v>
      </c>
      <c r="M228" s="204">
        <v>0</v>
      </c>
      <c r="N228" s="204">
        <v>0</v>
      </c>
      <c r="O228" s="204">
        <v>0</v>
      </c>
      <c r="P228" s="204">
        <v>0</v>
      </c>
      <c r="Q228" s="204">
        <v>0</v>
      </c>
      <c r="R228" s="204">
        <v>0</v>
      </c>
      <c r="S228" s="204">
        <v>0</v>
      </c>
      <c r="T228" s="204">
        <v>0</v>
      </c>
      <c r="U228" s="204">
        <v>0</v>
      </c>
      <c r="V228" s="204">
        <v>0</v>
      </c>
      <c r="W228" s="204">
        <v>0</v>
      </c>
      <c r="X228" s="204">
        <v>0</v>
      </c>
      <c r="Y228" s="204">
        <v>0</v>
      </c>
      <c r="Z228" s="204">
        <v>0</v>
      </c>
      <c r="AA228" s="204">
        <v>0</v>
      </c>
      <c r="AB228" s="204">
        <v>0</v>
      </c>
      <c r="AC228" s="204">
        <v>0</v>
      </c>
      <c r="AD228" s="204">
        <v>0</v>
      </c>
      <c r="AE228" s="204">
        <v>0</v>
      </c>
      <c r="AF228" s="206">
        <v>0</v>
      </c>
      <c r="AG228" s="204">
        <v>0</v>
      </c>
      <c r="AH228" s="204">
        <v>0</v>
      </c>
      <c r="AI228" s="204">
        <v>0</v>
      </c>
      <c r="AJ228" s="204">
        <v>0</v>
      </c>
      <c r="AK228" s="204">
        <v>0</v>
      </c>
      <c r="AL228" s="204">
        <v>0</v>
      </c>
      <c r="AM228" s="204">
        <v>0</v>
      </c>
      <c r="AN228" s="204">
        <v>0</v>
      </c>
      <c r="AO228" s="204">
        <v>0</v>
      </c>
      <c r="AP228" s="204">
        <v>0</v>
      </c>
      <c r="AQ228" s="204">
        <v>0</v>
      </c>
      <c r="AR228" s="204">
        <v>0</v>
      </c>
      <c r="AS228" s="204">
        <v>0</v>
      </c>
      <c r="AT228" s="204">
        <v>0</v>
      </c>
      <c r="AU228" s="204">
        <v>0</v>
      </c>
      <c r="AV228" s="204">
        <v>0</v>
      </c>
      <c r="AW228" s="204">
        <v>0</v>
      </c>
      <c r="AX228" s="204">
        <v>0</v>
      </c>
      <c r="AY228" s="204">
        <v>0</v>
      </c>
    </row>
    <row r="229" spans="1:51" ht="15" customHeight="1" x14ac:dyDescent="0.25">
      <c r="A229" s="38" t="s">
        <v>175</v>
      </c>
      <c r="B229" s="63" t="s">
        <v>176</v>
      </c>
      <c r="C229" s="40" t="s">
        <v>177</v>
      </c>
      <c r="D229" s="204">
        <v>131750.22484693635</v>
      </c>
      <c r="E229" s="204">
        <v>127502.10456686908</v>
      </c>
      <c r="F229" s="204">
        <v>126064.05766933537</v>
      </c>
      <c r="G229" s="204">
        <v>134097.97416825243</v>
      </c>
      <c r="H229" s="204">
        <v>147384.01766809661</v>
      </c>
      <c r="I229" s="204">
        <v>134545.99966389089</v>
      </c>
      <c r="J229" s="204">
        <v>139542.09414119532</v>
      </c>
      <c r="K229" s="204">
        <v>142723.91924982172</v>
      </c>
      <c r="L229" s="204">
        <v>144009.47233918606</v>
      </c>
      <c r="M229" s="204">
        <v>133737.17802901985</v>
      </c>
      <c r="N229" s="204">
        <v>142409.94349426703</v>
      </c>
      <c r="O229" s="204">
        <v>137109.60426370052</v>
      </c>
      <c r="P229" s="204">
        <v>127912.10282057797</v>
      </c>
      <c r="Q229" s="204">
        <v>125736.21615944852</v>
      </c>
      <c r="R229" s="204">
        <v>124436.00322245329</v>
      </c>
      <c r="S229" s="204">
        <v>133288.01099088156</v>
      </c>
      <c r="T229" s="204">
        <v>127498.00810360142</v>
      </c>
      <c r="U229" s="204">
        <v>125507.70881139926</v>
      </c>
      <c r="V229" s="204">
        <v>143971.97482216763</v>
      </c>
      <c r="W229" s="204">
        <v>123367.81056135683</v>
      </c>
      <c r="X229" s="204">
        <v>150191.86966206346</v>
      </c>
      <c r="Y229" s="204">
        <v>155694.09452286654</v>
      </c>
      <c r="Z229" s="204">
        <v>150963.77510881636</v>
      </c>
      <c r="AA229" s="204">
        <v>157459.52872089052</v>
      </c>
      <c r="AB229" s="204">
        <v>146452.23703153196</v>
      </c>
      <c r="AC229" s="204">
        <v>165900</v>
      </c>
      <c r="AD229" s="204">
        <v>140892</v>
      </c>
      <c r="AE229" s="204">
        <v>127584</v>
      </c>
      <c r="AF229" s="206">
        <v>135312</v>
      </c>
      <c r="AG229" s="204">
        <v>136256</v>
      </c>
      <c r="AH229" s="204">
        <v>135912</v>
      </c>
      <c r="AI229" s="204">
        <v>133384</v>
      </c>
      <c r="AJ229" s="204">
        <v>145596</v>
      </c>
      <c r="AK229" s="204">
        <v>140570.30960589551</v>
      </c>
      <c r="AL229" s="204">
        <v>158047</v>
      </c>
      <c r="AM229" s="204">
        <v>143101</v>
      </c>
      <c r="AN229" s="204">
        <v>152196</v>
      </c>
      <c r="AO229" s="204">
        <v>135144</v>
      </c>
      <c r="AP229" s="204">
        <v>133460</v>
      </c>
      <c r="AQ229" s="204">
        <v>131884</v>
      </c>
      <c r="AR229" s="204">
        <v>132732</v>
      </c>
      <c r="AS229" s="204">
        <v>144328</v>
      </c>
      <c r="AT229" s="204">
        <v>140848</v>
      </c>
      <c r="AU229" s="204">
        <v>123464</v>
      </c>
      <c r="AV229" s="204">
        <v>156754</v>
      </c>
      <c r="AW229" s="204">
        <v>138240</v>
      </c>
      <c r="AX229" s="204">
        <v>180307</v>
      </c>
      <c r="AY229" s="204">
        <v>143978</v>
      </c>
    </row>
    <row r="230" spans="1:51" ht="15" customHeight="1" x14ac:dyDescent="0.25"/>
    <row r="231" spans="1:51" ht="13.8" x14ac:dyDescent="0.25">
      <c r="A231" s="40"/>
      <c r="B231" s="1"/>
      <c r="C231" s="1"/>
    </row>
    <row r="232" spans="1:51" s="211" customFormat="1" ht="15.6" x14ac:dyDescent="0.4">
      <c r="A232" s="151" t="s">
        <v>612</v>
      </c>
      <c r="B232" s="151"/>
      <c r="C232" s="151"/>
      <c r="D232" s="209">
        <v>13696885.188616104</v>
      </c>
      <c r="E232" s="209">
        <v>12526956.109913334</v>
      </c>
      <c r="F232" s="209">
        <v>12951476.364736106</v>
      </c>
      <c r="G232" s="209">
        <v>12821352.529581249</v>
      </c>
      <c r="H232" s="209">
        <v>13734115.191794498</v>
      </c>
      <c r="I232" s="209">
        <v>12963654.361031486</v>
      </c>
      <c r="J232" s="209">
        <v>15181507.727512529</v>
      </c>
      <c r="K232" s="209">
        <v>16744520.909806104</v>
      </c>
      <c r="L232" s="209">
        <v>15670568.394857435</v>
      </c>
      <c r="M232" s="209">
        <v>14799508.839124655</v>
      </c>
      <c r="N232" s="209">
        <v>15321400.710342288</v>
      </c>
      <c r="O232" s="209">
        <v>13064692.435410066</v>
      </c>
      <c r="P232" s="209">
        <v>12886131.680445785</v>
      </c>
      <c r="Q232" s="209">
        <v>12481807.457167502</v>
      </c>
      <c r="R232" s="209">
        <v>12342001.936764916</v>
      </c>
      <c r="S232" s="209">
        <v>13921572.151834402</v>
      </c>
      <c r="T232" s="209">
        <v>13166398.090140069</v>
      </c>
      <c r="U232" s="209">
        <v>13055848.020811293</v>
      </c>
      <c r="V232" s="209">
        <v>14966517.471365947</v>
      </c>
      <c r="W232" s="209">
        <v>14640959.889227204</v>
      </c>
      <c r="X232" s="209">
        <v>16200827.422328837</v>
      </c>
      <c r="Y232" s="209">
        <v>15557553.114072545</v>
      </c>
      <c r="Z232" s="209">
        <v>14115033.886615073</v>
      </c>
      <c r="AA232" s="209">
        <v>13130082.200283429</v>
      </c>
      <c r="AB232" s="209">
        <v>12272493.976624956</v>
      </c>
      <c r="AC232" s="209">
        <v>13820911.458000001</v>
      </c>
      <c r="AD232" s="209">
        <v>11078493.847999999</v>
      </c>
      <c r="AE232" s="209">
        <v>9708080.968458375</v>
      </c>
      <c r="AF232" s="268">
        <v>11187477.163245931</v>
      </c>
      <c r="AG232" s="209">
        <v>11315143.344497133</v>
      </c>
      <c r="AH232" s="209">
        <v>12011770.416000001</v>
      </c>
      <c r="AI232" s="209">
        <v>12496620.504426381</v>
      </c>
      <c r="AJ232" s="209">
        <v>13331900.296</v>
      </c>
      <c r="AK232" s="209">
        <v>12811308.879999988</v>
      </c>
      <c r="AL232" s="209">
        <v>12000954.842</v>
      </c>
      <c r="AM232" s="209">
        <v>10301615.408</v>
      </c>
      <c r="AN232" s="209">
        <v>10577796.007999999</v>
      </c>
      <c r="AO232" s="209">
        <v>9790767.4240000006</v>
      </c>
      <c r="AP232" s="209">
        <v>10900042.335999999</v>
      </c>
      <c r="AQ232" s="209">
        <v>10546910.752</v>
      </c>
      <c r="AR232" s="209">
        <v>10922526.328</v>
      </c>
      <c r="AS232" s="209">
        <v>12136386.888</v>
      </c>
      <c r="AT232" s="209">
        <v>14042264.62402861</v>
      </c>
      <c r="AU232" s="209">
        <v>13943063.108099999</v>
      </c>
      <c r="AV232" s="209">
        <v>14819597.928000001</v>
      </c>
      <c r="AW232" s="209">
        <v>12694280.748</v>
      </c>
      <c r="AX232" s="209">
        <v>13154202.517999999</v>
      </c>
      <c r="AY232" s="209">
        <v>10761991.13240274</v>
      </c>
    </row>
    <row r="233" spans="1:51" s="211" customFormat="1" ht="13.8" x14ac:dyDescent="0.25">
      <c r="A233" s="151"/>
      <c r="B233" s="151"/>
      <c r="C233" s="151"/>
    </row>
    <row r="234" spans="1:51" x14ac:dyDescent="0.25">
      <c r="D234" s="100" t="s">
        <v>613</v>
      </c>
    </row>
    <row r="235" spans="1:51" x14ac:dyDescent="0.25">
      <c r="D235" s="100" t="s">
        <v>614</v>
      </c>
    </row>
  </sheetData>
  <autoFilter ref="A6:AY6" xr:uid="{00000000-0001-0000-0100-000000000000}">
    <sortState xmlns:xlrd2="http://schemas.microsoft.com/office/spreadsheetml/2017/richdata2" ref="A9:AY229">
      <sortCondition ref="C6"/>
    </sortState>
  </autoFilter>
  <mergeCells count="4">
    <mergeCell ref="D5:O5"/>
    <mergeCell ref="P5:AA5"/>
    <mergeCell ref="AB5:AM5"/>
    <mergeCell ref="AN5:AY5"/>
  </mergeCells>
  <phoneticPr fontId="43" type="noConversion"/>
  <printOptions horizontalCentered="1" gridLines="1" gridLinesSet="0"/>
  <pageMargins left="0.15" right="0" top="0.5" bottom="0.5" header="0.3" footer="0.3"/>
  <pageSetup scale="33" fitToHeight="5" orientation="landscape" horizontalDpi="300" verticalDpi="300" r:id="rId1"/>
  <headerFooter alignWithMargins="0">
    <oddFooter>&amp;L&amp;8&amp;Z&amp;F&amp;C&amp;8Page &amp;P of &amp;N&amp;R&amp;8PRINTED ON: 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A440"/>
  <sheetViews>
    <sheetView topLeftCell="B4" workbookViewId="0">
      <pane xSplit="5604" ySplit="2028" topLeftCell="A125" activePane="bottomRight"/>
      <selection activeCell="B4" sqref="A1:XFD1048576"/>
      <selection pane="topRight" activeCell="B4" sqref="B1:C1048576"/>
      <selection pane="bottomLeft" activeCell="D137" sqref="D137"/>
      <selection pane="bottomRight" activeCell="C130" sqref="C130"/>
    </sheetView>
  </sheetViews>
  <sheetFormatPr defaultColWidth="9.109375" defaultRowHeight="13.8" x14ac:dyDescent="0.25"/>
  <cols>
    <col min="1" max="1" width="6.33203125" style="1" customWidth="1"/>
    <col min="2" max="2" width="8.6640625" style="1" customWidth="1"/>
    <col min="3" max="3" width="39.6640625" style="1" customWidth="1"/>
    <col min="4" max="4" width="19.33203125" style="1" customWidth="1"/>
    <col min="5" max="5" width="14" style="1" customWidth="1"/>
    <col min="6" max="6" width="6.6640625" style="1" customWidth="1"/>
    <col min="7" max="7" width="12.6640625" style="3" customWidth="1"/>
    <col min="8" max="10" width="11.33203125" style="3" customWidth="1"/>
    <col min="11" max="11" width="14.6640625" style="3" customWidth="1"/>
    <col min="12" max="13" width="14" style="3" customWidth="1"/>
    <col min="14" max="22" width="15.33203125" style="3" customWidth="1"/>
    <col min="23" max="23" width="13.88671875" style="3" customWidth="1"/>
    <col min="24" max="27" width="13.33203125" style="3" customWidth="1"/>
    <col min="28" max="28" width="14.5546875" style="3" customWidth="1"/>
    <col min="29" max="37" width="13.33203125" style="3" customWidth="1"/>
    <col min="38" max="38" width="5.6640625" style="3" customWidth="1"/>
    <col min="39" max="44" width="13" style="4" customWidth="1"/>
    <col min="45" max="47" width="12.6640625" style="4" customWidth="1"/>
    <col min="48" max="53" width="12.88671875" style="4" customWidth="1"/>
    <col min="54" max="54" width="13.44140625" style="5" customWidth="1"/>
    <col min="55" max="55" width="14.109375" style="4" customWidth="1"/>
    <col min="56" max="58" width="13.6640625" style="4" customWidth="1"/>
    <col min="59" max="59" width="13.44140625" style="4" customWidth="1"/>
    <col min="60" max="60" width="14.44140625" style="4" customWidth="1"/>
    <col min="61" max="62" width="13.44140625" style="4" customWidth="1"/>
    <col min="63" max="63" width="25.6640625" style="4" customWidth="1"/>
    <col min="64" max="64" width="22.109375" style="4" customWidth="1"/>
    <col min="65" max="65" width="42.44140625" style="4" customWidth="1"/>
    <col min="66" max="66" width="26.33203125" style="4" customWidth="1"/>
    <col min="67" max="68" width="15.6640625" style="4" customWidth="1"/>
    <col min="69" max="69" width="12.6640625" style="4" customWidth="1"/>
    <col min="70" max="73" width="15.6640625" style="4" customWidth="1"/>
    <col min="74" max="74" width="20.6640625" style="4" customWidth="1"/>
    <col min="75" max="77" width="15.6640625" style="4" customWidth="1"/>
    <col min="78" max="79" width="9.109375" style="4"/>
    <col min="80" max="16384" width="9.109375" style="1"/>
  </cols>
  <sheetData>
    <row r="1" spans="1:79" ht="15.6" x14ac:dyDescent="0.3">
      <c r="B1" s="2" t="s">
        <v>615</v>
      </c>
    </row>
    <row r="2" spans="1:79" ht="15.6" x14ac:dyDescent="0.3">
      <c r="B2" s="2" t="s">
        <v>616</v>
      </c>
    </row>
    <row r="4" spans="1:79" s="7" customFormat="1" x14ac:dyDescent="0.25">
      <c r="AL4" s="8"/>
      <c r="AM4" s="9"/>
      <c r="AN4" s="9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  <c r="BC4" s="4"/>
      <c r="BD4" s="4"/>
      <c r="BE4" s="4"/>
      <c r="BF4" s="4"/>
      <c r="BG4" s="10"/>
      <c r="BH4" s="10"/>
      <c r="BI4" s="4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2"/>
      <c r="BV4" s="10"/>
      <c r="BW4" s="10"/>
      <c r="BX4" s="4"/>
      <c r="BY4" s="4"/>
      <c r="BZ4" s="10"/>
      <c r="CA4" s="10"/>
    </row>
    <row r="5" spans="1:79" s="7" customFormat="1" ht="14.4" x14ac:dyDescent="0.3">
      <c r="E5" s="7" t="s">
        <v>617</v>
      </c>
      <c r="G5" s="13" t="s">
        <v>618</v>
      </c>
      <c r="H5" s="13" t="s">
        <v>619</v>
      </c>
      <c r="I5" s="13" t="s">
        <v>620</v>
      </c>
      <c r="J5" s="13" t="s">
        <v>621</v>
      </c>
      <c r="K5" s="13" t="s">
        <v>622</v>
      </c>
      <c r="L5" s="13" t="s">
        <v>623</v>
      </c>
      <c r="M5" s="13" t="s">
        <v>624</v>
      </c>
      <c r="N5" s="13" t="s">
        <v>625</v>
      </c>
      <c r="O5" s="13" t="s">
        <v>626</v>
      </c>
      <c r="P5" s="13" t="s">
        <v>627</v>
      </c>
      <c r="Q5" s="13" t="s">
        <v>628</v>
      </c>
      <c r="R5" s="13" t="s">
        <v>629</v>
      </c>
      <c r="S5" s="13" t="s">
        <v>630</v>
      </c>
      <c r="T5" s="13" t="s">
        <v>631</v>
      </c>
      <c r="U5" s="13" t="s">
        <v>632</v>
      </c>
      <c r="V5" s="13" t="s">
        <v>633</v>
      </c>
      <c r="W5" s="13" t="s">
        <v>618</v>
      </c>
      <c r="X5" s="13" t="s">
        <v>619</v>
      </c>
      <c r="Y5" s="13" t="s">
        <v>620</v>
      </c>
      <c r="Z5" s="13" t="s">
        <v>634</v>
      </c>
      <c r="AA5" s="13" t="s">
        <v>635</v>
      </c>
      <c r="AB5" s="13" t="s">
        <v>636</v>
      </c>
      <c r="AC5" s="13" t="s">
        <v>637</v>
      </c>
      <c r="AD5" s="13" t="s">
        <v>638</v>
      </c>
      <c r="AE5" s="13" t="s">
        <v>639</v>
      </c>
      <c r="AF5" s="13" t="s">
        <v>640</v>
      </c>
      <c r="AG5" s="13" t="s">
        <v>641</v>
      </c>
      <c r="AH5" s="13" t="s">
        <v>642</v>
      </c>
      <c r="AI5" s="13" t="s">
        <v>643</v>
      </c>
      <c r="AJ5" s="13" t="s">
        <v>644</v>
      </c>
      <c r="AK5" s="13" t="s">
        <v>645</v>
      </c>
      <c r="AL5" s="14" t="s">
        <v>646</v>
      </c>
      <c r="AM5" s="10" t="s">
        <v>647</v>
      </c>
      <c r="AN5" s="10" t="s">
        <v>648</v>
      </c>
      <c r="AO5" s="10" t="s">
        <v>649</v>
      </c>
      <c r="AP5" s="10" t="s">
        <v>650</v>
      </c>
      <c r="AQ5" s="10" t="s">
        <v>651</v>
      </c>
      <c r="AR5" s="10" t="s">
        <v>652</v>
      </c>
      <c r="AS5" s="10" t="s">
        <v>653</v>
      </c>
      <c r="AT5" s="15" t="s">
        <v>654</v>
      </c>
      <c r="AU5" s="249"/>
      <c r="AV5" s="15" t="s">
        <v>655</v>
      </c>
      <c r="AW5" s="10" t="s">
        <v>656</v>
      </c>
      <c r="AX5" s="249"/>
      <c r="AY5" s="15" t="s">
        <v>657</v>
      </c>
      <c r="AZ5" s="15"/>
      <c r="BA5" s="10" t="s">
        <v>658</v>
      </c>
      <c r="BB5" s="16" t="s">
        <v>659</v>
      </c>
      <c r="BC5" s="265">
        <v>12</v>
      </c>
      <c r="BD5" s="10" t="s">
        <v>660</v>
      </c>
      <c r="BE5" s="10"/>
      <c r="BF5" s="17" t="s">
        <v>661</v>
      </c>
      <c r="BG5" s="18" t="s">
        <v>661</v>
      </c>
      <c r="BH5" s="15" t="s">
        <v>662</v>
      </c>
      <c r="BI5" s="10" t="s">
        <v>663</v>
      </c>
      <c r="BJ5" s="17" t="s">
        <v>661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2"/>
      <c r="BV5" s="10"/>
      <c r="BW5" s="10"/>
      <c r="BX5" s="10"/>
      <c r="BY5" s="13"/>
      <c r="BZ5" s="10"/>
      <c r="CA5" s="10"/>
    </row>
    <row r="6" spans="1:79" s="7" customFormat="1" ht="14.4" x14ac:dyDescent="0.3">
      <c r="A6" s="19" t="s">
        <v>664</v>
      </c>
      <c r="B6" s="20" t="s">
        <v>1</v>
      </c>
      <c r="C6" s="20" t="s">
        <v>2</v>
      </c>
      <c r="D6" s="20" t="s">
        <v>665</v>
      </c>
      <c r="E6" s="20" t="s">
        <v>3</v>
      </c>
      <c r="F6" s="20" t="s">
        <v>666</v>
      </c>
      <c r="G6" s="21" t="s">
        <v>667</v>
      </c>
      <c r="H6" s="21" t="s">
        <v>667</v>
      </c>
      <c r="I6" s="21" t="s">
        <v>667</v>
      </c>
      <c r="J6" s="21" t="s">
        <v>667</v>
      </c>
      <c r="K6" s="21" t="s">
        <v>667</v>
      </c>
      <c r="L6" s="21" t="s">
        <v>667</v>
      </c>
      <c r="M6" s="21" t="s">
        <v>667</v>
      </c>
      <c r="N6" s="21" t="s">
        <v>667</v>
      </c>
      <c r="O6" s="21" t="s">
        <v>667</v>
      </c>
      <c r="P6" s="21" t="s">
        <v>667</v>
      </c>
      <c r="Q6" s="21" t="s">
        <v>667</v>
      </c>
      <c r="R6" s="21" t="s">
        <v>667</v>
      </c>
      <c r="S6" s="21" t="s">
        <v>667</v>
      </c>
      <c r="T6" s="21" t="s">
        <v>667</v>
      </c>
      <c r="U6" s="21" t="s">
        <v>667</v>
      </c>
      <c r="V6" s="21" t="s">
        <v>667</v>
      </c>
      <c r="W6" s="21" t="s">
        <v>668</v>
      </c>
      <c r="X6" s="21" t="s">
        <v>668</v>
      </c>
      <c r="Y6" s="21" t="s">
        <v>668</v>
      </c>
      <c r="Z6" s="21" t="s">
        <v>668</v>
      </c>
      <c r="AA6" s="21" t="s">
        <v>668</v>
      </c>
      <c r="AB6" s="21" t="s">
        <v>668</v>
      </c>
      <c r="AC6" s="21" t="s">
        <v>668</v>
      </c>
      <c r="AD6" s="21" t="s">
        <v>668</v>
      </c>
      <c r="AE6" s="21" t="s">
        <v>668</v>
      </c>
      <c r="AF6" s="21" t="s">
        <v>668</v>
      </c>
      <c r="AG6" s="21" t="s">
        <v>668</v>
      </c>
      <c r="AH6" s="21" t="s">
        <v>668</v>
      </c>
      <c r="AI6" s="21" t="s">
        <v>668</v>
      </c>
      <c r="AJ6" s="21" t="s">
        <v>668</v>
      </c>
      <c r="AK6" s="21" t="s">
        <v>668</v>
      </c>
      <c r="AL6" s="22" t="s">
        <v>669</v>
      </c>
      <c r="AM6" s="23" t="s">
        <v>657</v>
      </c>
      <c r="AN6" s="23" t="s">
        <v>670</v>
      </c>
      <c r="AO6" s="23" t="s">
        <v>647</v>
      </c>
      <c r="AP6" s="23" t="s">
        <v>648</v>
      </c>
      <c r="AQ6" s="23" t="s">
        <v>649</v>
      </c>
      <c r="AR6" s="23" t="s">
        <v>650</v>
      </c>
      <c r="AS6" s="23" t="s">
        <v>651</v>
      </c>
      <c r="AT6" s="23" t="s">
        <v>652</v>
      </c>
      <c r="AU6" s="23" t="s">
        <v>671</v>
      </c>
      <c r="AV6" s="23">
        <f>'Electricity ($)'!BF11</f>
        <v>0</v>
      </c>
      <c r="AW6" s="23" t="s">
        <v>654</v>
      </c>
      <c r="AX6" s="23" t="s">
        <v>671</v>
      </c>
      <c r="AY6" s="23" t="s">
        <v>655</v>
      </c>
      <c r="AZ6" s="254" t="s">
        <v>672</v>
      </c>
      <c r="BA6" s="23" t="s">
        <v>656</v>
      </c>
      <c r="BB6" s="24" t="s">
        <v>673</v>
      </c>
      <c r="BC6" s="25" t="s">
        <v>674</v>
      </c>
      <c r="BD6" s="26" t="s">
        <v>675</v>
      </c>
      <c r="BE6" s="26"/>
      <c r="BF6" s="27" t="s">
        <v>676</v>
      </c>
      <c r="BG6" s="28" t="s">
        <v>677</v>
      </c>
      <c r="BH6" s="26" t="s">
        <v>676</v>
      </c>
      <c r="BI6" s="26" t="s">
        <v>678</v>
      </c>
      <c r="BJ6" s="29" t="s">
        <v>679</v>
      </c>
      <c r="BK6" s="30" t="s">
        <v>680</v>
      </c>
      <c r="BL6" s="30"/>
      <c r="BM6" s="30" t="s">
        <v>681</v>
      </c>
      <c r="BN6" s="30" t="s">
        <v>682</v>
      </c>
      <c r="BO6" s="30" t="s">
        <v>683</v>
      </c>
      <c r="BP6" s="30" t="s">
        <v>684</v>
      </c>
      <c r="BQ6" s="30" t="s">
        <v>685</v>
      </c>
      <c r="BR6" s="31" t="s">
        <v>686</v>
      </c>
      <c r="BS6" s="31" t="s">
        <v>687</v>
      </c>
      <c r="BT6" s="31" t="s">
        <v>688</v>
      </c>
      <c r="BU6" s="31" t="s">
        <v>689</v>
      </c>
      <c r="BV6" s="15" t="s">
        <v>690</v>
      </c>
      <c r="BW6" s="10" t="s">
        <v>691</v>
      </c>
      <c r="BX6" s="10" t="s">
        <v>692</v>
      </c>
      <c r="BY6" s="32" t="s">
        <v>693</v>
      </c>
      <c r="BZ6" s="10"/>
      <c r="CA6" s="10"/>
    </row>
    <row r="7" spans="1:79" x14ac:dyDescent="0.25">
      <c r="A7" s="33"/>
      <c r="BB7" s="34"/>
      <c r="BC7" s="35"/>
      <c r="BF7" s="36"/>
      <c r="BG7" s="37"/>
      <c r="BJ7" s="36"/>
      <c r="BO7" s="225"/>
    </row>
    <row r="8" spans="1:79" ht="15.6" x14ac:dyDescent="0.3">
      <c r="A8" s="38" t="s">
        <v>694</v>
      </c>
      <c r="B8" s="38" t="s">
        <v>4</v>
      </c>
      <c r="C8" s="1" t="s">
        <v>5</v>
      </c>
      <c r="D8" s="39" t="s">
        <v>695</v>
      </c>
      <c r="E8" s="40" t="s">
        <v>6</v>
      </c>
      <c r="F8" s="41">
        <v>0</v>
      </c>
      <c r="G8" s="42" t="s">
        <v>696</v>
      </c>
      <c r="H8" s="42" t="s">
        <v>696</v>
      </c>
      <c r="I8" s="42" t="s">
        <v>696</v>
      </c>
      <c r="J8" s="42" t="s">
        <v>697</v>
      </c>
      <c r="K8" s="42" t="s">
        <v>698</v>
      </c>
      <c r="L8" s="42" t="s">
        <v>699</v>
      </c>
      <c r="M8" s="42" t="s">
        <v>700</v>
      </c>
      <c r="N8" s="42" t="s">
        <v>701</v>
      </c>
      <c r="O8" s="42" t="s">
        <v>702</v>
      </c>
      <c r="P8" s="3" t="s">
        <v>703</v>
      </c>
      <c r="Q8" s="42" t="s">
        <v>704</v>
      </c>
      <c r="R8" s="42" t="s">
        <v>705</v>
      </c>
      <c r="S8" s="42" t="s">
        <v>706</v>
      </c>
      <c r="T8" s="42" t="s">
        <v>707</v>
      </c>
      <c r="U8" s="42" t="s">
        <v>708</v>
      </c>
      <c r="V8" s="42" t="str">
        <f>VLOOKUP(D8,[1]ALL!$A$15:$Z$983,3,FALSE)</f>
        <v>ADM-EGW</v>
      </c>
      <c r="W8" s="43">
        <v>124584.73820454346</v>
      </c>
      <c r="X8" s="43">
        <v>90055.347196891991</v>
      </c>
      <c r="Y8" s="43">
        <v>92333.430960196725</v>
      </c>
      <c r="Z8" s="43">
        <v>52122.035470210234</v>
      </c>
      <c r="AA8" s="43">
        <v>57207.48</v>
      </c>
      <c r="AB8" s="43">
        <v>59439.68</v>
      </c>
      <c r="AC8" s="43">
        <v>61868.94</v>
      </c>
      <c r="AD8" s="43">
        <v>76417.259999999995</v>
      </c>
      <c r="AE8" s="43">
        <v>63409.91</v>
      </c>
      <c r="AF8" s="43">
        <v>74095.98</v>
      </c>
      <c r="AG8" s="43">
        <v>70274.350000000006</v>
      </c>
      <c r="AH8" s="43">
        <v>66665.899999999994</v>
      </c>
      <c r="AI8" s="43">
        <v>70697.649999999994</v>
      </c>
      <c r="AJ8" s="43">
        <v>70285.600000000006</v>
      </c>
      <c r="AK8" s="43">
        <v>84333.15</v>
      </c>
      <c r="AL8" s="44"/>
      <c r="AM8" s="45">
        <f>VLOOKUP($B8,'[2]E.U.'!$R$9:$BZ$205,11,FALSE)</f>
        <v>6332.83</v>
      </c>
      <c r="AN8" s="45">
        <f>VLOOKUP($B8,'[3]E.U.'!$R9:$AZ$225,11,FALSE)</f>
        <v>7668.1</v>
      </c>
      <c r="AO8" s="45">
        <f>VLOOKUP($B8,'[4]E.U.'!$R$9:$BZ$225,11,FALSE)</f>
        <v>6578.4591535556756</v>
      </c>
      <c r="AP8" s="45">
        <f>VLOOKUP($B8,'[5]E.U.'!$R$9:$BZ$225,11,FALSE)</f>
        <v>6378.217824842146</v>
      </c>
      <c r="AQ8" s="45">
        <f>VLOOKUP($B8,'[6]E.U.'!$R$9:$CA$225,11,FALSE)</f>
        <v>6736.8168816105272</v>
      </c>
      <c r="AR8" s="45">
        <f>VLOOKUP($B8,'[7]E.U.'!$R$9:$AZ$225,11,FALSE)</f>
        <v>6170.3041055921612</v>
      </c>
      <c r="AS8" s="45">
        <f>VLOOKUP($B8,'[8]E.U.'!$R$9:$AZ$225,11,FALSE)</f>
        <v>6504.7305702870626</v>
      </c>
      <c r="AT8" s="45">
        <f>VLOOKUP($B8,'[9]E.U.'!$R$9:$AZ$221,11,FALSE)</f>
        <v>5568.3601721164541</v>
      </c>
      <c r="AU8" s="45"/>
      <c r="AV8" s="45">
        <f>VLOOKUP($B8,'[10]E.U.'!$R$9:$AZ$221,11,FALSE)</f>
        <v>5551.8947858259289</v>
      </c>
      <c r="AW8" s="45">
        <f>VLOOKUP($B8,'[11]E.U.'!$R$9:$AZ$220,11,FALSE)</f>
        <v>5398.6809795113504</v>
      </c>
      <c r="AX8" s="252"/>
      <c r="AY8" s="45">
        <f>VLOOKUP($B8,'[12]E.U.'!$R$9:$AZ$220,11,FALSE)</f>
        <v>5372.0786989889439</v>
      </c>
      <c r="AZ8" s="45"/>
      <c r="BA8" s="45">
        <f>VLOOKUP($B8,'[13]E.U.'!$R$9:$AZ$221,11,FALSE)</f>
        <v>4620.1677574303476</v>
      </c>
      <c r="BB8" s="46">
        <f t="shared" ref="BB8:BB13" si="0">SUM(AM8:BA8)</f>
        <v>72880.640929760601</v>
      </c>
      <c r="BC8" s="47" t="e">
        <f>SUM(#REF!)</f>
        <v>#REF!</v>
      </c>
      <c r="BD8" s="43" t="e">
        <f>VLOOKUP(V8,[14]ELECTRIC!$C$1:$H$4000,6,FALSE)</f>
        <v>#N/A</v>
      </c>
      <c r="BE8" s="43" t="e">
        <f t="shared" ref="BE8:BE39" si="1">BB8-BD8</f>
        <v>#N/A</v>
      </c>
      <c r="BF8" s="48">
        <f>BB8*(12/$BC$5)</f>
        <v>72880.640929760601</v>
      </c>
      <c r="BG8" s="49">
        <f t="shared" ref="BG8:BG31" si="2">(BB8*9/7)+((BB8*3/7)*1.065)</f>
        <v>126968.4880197758</v>
      </c>
      <c r="BH8" s="43" t="e">
        <f>IF(BC8=0,0,(BB8*(AK8/BC8)))</f>
        <v>#REF!</v>
      </c>
      <c r="BI8" s="50" t="e">
        <f>IF(OR(BB8=0,BC8=0),0,ABS(BB8/BC8)-1)</f>
        <v>#REF!</v>
      </c>
      <c r="BJ8" s="51">
        <f>IF(OR(AK8=0,BF8=0),0,ABS(BF8/AK8)-1)</f>
        <v>-0.13580079802828893</v>
      </c>
      <c r="BK8" s="52"/>
      <c r="BL8" s="52"/>
      <c r="BM8" s="52"/>
      <c r="BN8" s="52"/>
      <c r="BO8" s="72"/>
      <c r="BP8" s="52"/>
      <c r="BQ8" s="52"/>
      <c r="BR8" s="50"/>
      <c r="BS8" s="53"/>
      <c r="BT8" s="53"/>
      <c r="BU8" s="54"/>
      <c r="BV8" s="55"/>
      <c r="BW8" s="55"/>
      <c r="BX8" s="56" t="s">
        <v>709</v>
      </c>
      <c r="BY8" s="57" t="s">
        <v>710</v>
      </c>
      <c r="BZ8" s="58"/>
    </row>
    <row r="9" spans="1:79" ht="15.6" x14ac:dyDescent="0.3">
      <c r="A9" s="59" t="s">
        <v>694</v>
      </c>
      <c r="B9" s="38" t="s">
        <v>7</v>
      </c>
      <c r="C9" s="1" t="s">
        <v>711</v>
      </c>
      <c r="D9" s="39" t="s">
        <v>712</v>
      </c>
      <c r="E9" s="40" t="s">
        <v>9</v>
      </c>
      <c r="F9" s="41">
        <v>0</v>
      </c>
      <c r="G9" s="42"/>
      <c r="H9" s="42"/>
      <c r="I9" s="42"/>
      <c r="J9" s="42" t="s">
        <v>713</v>
      </c>
      <c r="K9" s="42" t="s">
        <v>714</v>
      </c>
      <c r="L9" s="42" t="s">
        <v>715</v>
      </c>
      <c r="M9" s="42" t="s">
        <v>716</v>
      </c>
      <c r="N9" s="42" t="s">
        <v>717</v>
      </c>
      <c r="O9" s="42" t="s">
        <v>718</v>
      </c>
      <c r="P9" s="3" t="s">
        <v>719</v>
      </c>
      <c r="Q9" s="42" t="s">
        <v>720</v>
      </c>
      <c r="R9" s="42" t="s">
        <v>721</v>
      </c>
      <c r="S9" s="42" t="s">
        <v>722</v>
      </c>
      <c r="T9" s="42" t="s">
        <v>723</v>
      </c>
      <c r="U9" s="42" t="s">
        <v>724</v>
      </c>
      <c r="V9" s="42" t="str">
        <f>VLOOKUP(D9,[1]ALL!$A$15:$Z$983,3,FALSE)</f>
        <v>ADM1-EL</v>
      </c>
      <c r="W9" s="43"/>
      <c r="X9" s="60" t="s">
        <v>725</v>
      </c>
      <c r="Y9" s="43"/>
      <c r="Z9" s="43">
        <v>41237.28312483996</v>
      </c>
      <c r="AA9" s="43">
        <v>42709.4</v>
      </c>
      <c r="AB9" s="43">
        <v>43534.22</v>
      </c>
      <c r="AC9" s="43">
        <v>42975.95</v>
      </c>
      <c r="AD9" s="43">
        <v>39607.440000000002</v>
      </c>
      <c r="AE9" s="43">
        <v>41752.94</v>
      </c>
      <c r="AF9" s="43">
        <v>46440.79</v>
      </c>
      <c r="AG9" s="43">
        <v>48233.87</v>
      </c>
      <c r="AH9" s="43">
        <v>52921.760000000002</v>
      </c>
      <c r="AI9" s="43">
        <v>51098.29</v>
      </c>
      <c r="AJ9" s="43">
        <v>50966.36</v>
      </c>
      <c r="AK9" s="43">
        <v>56451.72</v>
      </c>
      <c r="AL9" s="44"/>
      <c r="AM9" s="45">
        <f>VLOOKUP($B9,'[2]E.U.'!$R$9:$AZ$205,11,FALSE)</f>
        <v>4770.09</v>
      </c>
      <c r="AN9" s="45">
        <f>VLOOKUP($B9,'[3]E.U.'!$R9:$AZ$225,11,FALSE)</f>
        <v>4837.6000000000004</v>
      </c>
      <c r="AO9" s="45">
        <f>VLOOKUP($B9,'[4]E.U.'!$R$9:$BZ$225,11,FALSE)</f>
        <v>4530.2131141844884</v>
      </c>
      <c r="AP9" s="45">
        <f>VLOOKUP($B9,'[5]E.U.'!$R$9:$BZ$225,11,FALSE)</f>
        <v>4606.7867874438789</v>
      </c>
      <c r="AQ9" s="45">
        <f>VLOOKUP($B9,'[6]E.U.'!$R$9:$CA$225,11,FALSE)</f>
        <v>4839.9408410467886</v>
      </c>
      <c r="AR9" s="45">
        <f>VLOOKUP($B9,'[7]E.U.'!$R$9:$AZ$225,11,FALSE)</f>
        <v>4677.1412480456547</v>
      </c>
      <c r="AS9" s="45">
        <f>VLOOKUP($B9,'[8]E.U.'!$R$9:$AZ$225,11,FALSE)</f>
        <v>4991.2598186308378</v>
      </c>
      <c r="AT9" s="45">
        <f>VLOOKUP($B9,'[9]E.U.'!$R$9:$AZ$221,11,FALSE)</f>
        <v>4172.1526807482633</v>
      </c>
      <c r="AU9" s="45"/>
      <c r="AV9" s="45">
        <f>VLOOKUP($B9,'[10]E.U.'!$R$9:$AZ$221,11,FALSE)</f>
        <v>4586.9415967977748</v>
      </c>
      <c r="AW9" s="45">
        <f>VLOOKUP($B9,'[11]E.U.'!$R$9:$AZ$220,11,FALSE)</f>
        <v>4286.8459996393931</v>
      </c>
      <c r="AX9" s="252"/>
      <c r="AY9" s="45">
        <f>VLOOKUP($B9,'[12]E.U.'!$R$9:$AZ$220,11,FALSE)</f>
        <v>4348.4856302958724</v>
      </c>
      <c r="AZ9" s="45"/>
      <c r="BA9" s="45">
        <f>VLOOKUP($B9,'[13]E.U.'!$R$9:$AZ$221,11,FALSE)</f>
        <v>5140.5429073139367</v>
      </c>
      <c r="BB9" s="46">
        <f t="shared" si="0"/>
        <v>55788.000624146895</v>
      </c>
      <c r="BC9" s="47" t="e">
        <f>SUM(#REF!)</f>
        <v>#REF!</v>
      </c>
      <c r="BD9" s="43" t="e">
        <f>VLOOKUP(V9,[14]ELECTRIC!$C$1:$H$4000,6,FALSE)</f>
        <v>#N/A</v>
      </c>
      <c r="BE9" s="43" t="e">
        <f t="shared" si="1"/>
        <v>#N/A</v>
      </c>
      <c r="BF9" s="48">
        <f t="shared" ref="BF9:BF72" si="3">BB9*(12/$BC$5)</f>
        <v>55788.000624146895</v>
      </c>
      <c r="BG9" s="49">
        <f t="shared" si="2"/>
        <v>97190.66680163877</v>
      </c>
      <c r="BH9" s="43" t="e">
        <f>IF(BC9=0,0,(BB9*(AK9/BC9)))</f>
        <v>#REF!</v>
      </c>
      <c r="BI9" s="50" t="e">
        <f t="shared" ref="BI9:BI28" si="4">IF(OR(BB9=0,BC9=0),0,ABS(BB9/BC9)-1)</f>
        <v>#REF!</v>
      </c>
      <c r="BJ9" s="51">
        <f t="shared" ref="BJ9:BJ71" si="5">IF(OR(AK9=0,BF9=0),0,ABS(BF9/AK9)-1)</f>
        <v>-1.1757292352706061E-2</v>
      </c>
      <c r="BK9" s="52"/>
      <c r="BL9" s="52"/>
      <c r="BM9" s="52"/>
      <c r="BN9" s="52"/>
      <c r="BO9" s="72"/>
      <c r="BP9" s="52"/>
      <c r="BQ9" s="52"/>
      <c r="BR9" s="50"/>
      <c r="BS9" s="53"/>
      <c r="BT9" s="53"/>
      <c r="BU9" s="61" t="s">
        <v>726</v>
      </c>
      <c r="BV9" s="55"/>
      <c r="BW9" s="55"/>
      <c r="BX9" s="56"/>
      <c r="BY9" s="57"/>
      <c r="BZ9" s="58"/>
    </row>
    <row r="10" spans="1:79" ht="15.6" x14ac:dyDescent="0.3">
      <c r="A10" s="59" t="s">
        <v>694</v>
      </c>
      <c r="B10" s="62" t="s">
        <v>10</v>
      </c>
      <c r="C10" s="63" t="s">
        <v>11</v>
      </c>
      <c r="D10" t="s">
        <v>727</v>
      </c>
      <c r="E10" s="64" t="s">
        <v>12</v>
      </c>
      <c r="F10" s="41">
        <v>0</v>
      </c>
      <c r="G10" s="42"/>
      <c r="H10" s="42"/>
      <c r="I10" s="42"/>
      <c r="J10" s="42"/>
      <c r="K10" s="42" t="s">
        <v>728</v>
      </c>
      <c r="L10" s="42" t="s">
        <v>729</v>
      </c>
      <c r="M10" s="42" t="s">
        <v>730</v>
      </c>
      <c r="N10" s="42" t="s">
        <v>731</v>
      </c>
      <c r="O10" s="42" t="s">
        <v>732</v>
      </c>
      <c r="P10" s="3" t="s">
        <v>733</v>
      </c>
      <c r="Q10" s="42" t="s">
        <v>734</v>
      </c>
      <c r="R10" s="42" t="s">
        <v>735</v>
      </c>
      <c r="S10" s="42" t="s">
        <v>736</v>
      </c>
      <c r="T10" s="42" t="s">
        <v>737</v>
      </c>
      <c r="U10" s="42" t="s">
        <v>738</v>
      </c>
      <c r="V10" s="42" t="str">
        <f>VLOOKUP(D10,[1]ALL!$A$15:$Z$983,3,FALSE)</f>
        <v>ADM9-EL</v>
      </c>
      <c r="W10" s="43"/>
      <c r="X10" s="60"/>
      <c r="Y10" s="43"/>
      <c r="Z10" s="43"/>
      <c r="AA10" s="43"/>
      <c r="AB10" s="43">
        <v>0</v>
      </c>
      <c r="AC10" s="43">
        <v>0</v>
      </c>
      <c r="AD10" s="43">
        <v>0</v>
      </c>
      <c r="AE10" s="43">
        <v>289.27800000000002</v>
      </c>
      <c r="AF10" s="43">
        <v>4190.2410000000009</v>
      </c>
      <c r="AG10" s="43">
        <v>4827.3170000000009</v>
      </c>
      <c r="AH10" s="43">
        <v>6644.66</v>
      </c>
      <c r="AI10" s="43">
        <v>4646.97</v>
      </c>
      <c r="AJ10" s="43">
        <v>3718.39</v>
      </c>
      <c r="AK10" s="43">
        <v>4820.32</v>
      </c>
      <c r="AL10" s="44"/>
      <c r="AM10" s="45">
        <f>VLOOKUP($B10,'[2]E.U.'!$R$9:$AZ$205,11,FALSE)</f>
        <v>596.42999999999995</v>
      </c>
      <c r="AN10" s="45">
        <f>VLOOKUP($B10,'[3]E.U.'!$R9:$AZ$225,11,FALSE)</f>
        <v>715.55</v>
      </c>
      <c r="AO10" s="45">
        <f>VLOOKUP($B10,'[4]E.U.'!$R$9:$BZ$225,11,FALSE)</f>
        <v>711.21126845941421</v>
      </c>
      <c r="AP10" s="45">
        <f>VLOOKUP($B10,'[5]E.U.'!$R$9:$BZ$225,11,FALSE)</f>
        <v>675.2237806283224</v>
      </c>
      <c r="AQ10" s="45">
        <f>VLOOKUP($B10,'[6]E.U.'!$R$9:$CA$225,11,FALSE)</f>
        <v>735.75517228461194</v>
      </c>
      <c r="AR10" s="45">
        <f>VLOOKUP($B10,'[7]E.U.'!$R$9:$AZ$225,11,FALSE)</f>
        <v>645.58846760396091</v>
      </c>
      <c r="AS10" s="45">
        <f>VLOOKUP($B10,'[8]E.U.'!$R$9:$AZ$225,11,FALSE)</f>
        <v>688.66828191801096</v>
      </c>
      <c r="AT10" s="45">
        <f>VLOOKUP($B10,'[9]E.U.'!$R$9:$AZ$221,11,FALSE)</f>
        <v>610.76766390494561</v>
      </c>
      <c r="AU10" s="45"/>
      <c r="AV10" s="45">
        <f>VLOOKUP($B10,'[10]E.U.'!$R$9:$AZ$221,11,FALSE)</f>
        <v>634.92051150225961</v>
      </c>
      <c r="AW10" s="45">
        <f>VLOOKUP($B10,'[11]E.U.'!$R$9:$AZ$220,11,FALSE)</f>
        <v>592.70208545499736</v>
      </c>
      <c r="AX10" s="252"/>
      <c r="AY10" s="45">
        <f>VLOOKUP($B10,'[12]E.U.'!$R$9:$AZ$220,11,FALSE)</f>
        <v>579.34361255916929</v>
      </c>
      <c r="AZ10" s="45"/>
      <c r="BA10" s="45">
        <f>VLOOKUP($B10,'[13]E.U.'!$R$9:$AZ$221,11,FALSE)</f>
        <v>557.08211066375941</v>
      </c>
      <c r="BB10" s="46">
        <f t="shared" si="0"/>
        <v>7743.2429549794524</v>
      </c>
      <c r="BC10" s="47" t="e">
        <f>SUM(#REF!)</f>
        <v>#REF!</v>
      </c>
      <c r="BD10" s="43" t="e">
        <f>VLOOKUP(V10,[14]ELECTRIC!$C$1:$H$4000,6,FALSE)</f>
        <v>#N/A</v>
      </c>
      <c r="BE10" s="43" t="e">
        <f t="shared" si="1"/>
        <v>#N/A</v>
      </c>
      <c r="BF10" s="48">
        <f t="shared" si="3"/>
        <v>7743.2429549794524</v>
      </c>
      <c r="BG10" s="49">
        <f t="shared" si="2"/>
        <v>13489.835405139202</v>
      </c>
      <c r="BH10" s="43" t="e">
        <f>IF(BC10=0,0,(BB10*(AK10/BC10)))</f>
        <v>#REF!</v>
      </c>
      <c r="BI10" s="50" t="e">
        <f t="shared" si="4"/>
        <v>#REF!</v>
      </c>
      <c r="BJ10" s="51">
        <f t="shared" si="5"/>
        <v>0.60637529354471331</v>
      </c>
      <c r="BK10" s="52"/>
      <c r="BL10" s="52"/>
      <c r="BM10" s="52"/>
      <c r="BN10" s="52"/>
      <c r="BO10" s="72"/>
      <c r="BP10" s="52"/>
      <c r="BQ10" s="52"/>
      <c r="BR10" s="50"/>
      <c r="BS10" s="53"/>
      <c r="BT10" s="53"/>
      <c r="BU10" s="61"/>
      <c r="BV10" s="55"/>
      <c r="BW10" s="55"/>
      <c r="BX10" s="56"/>
      <c r="BY10" s="57"/>
      <c r="BZ10" s="58"/>
    </row>
    <row r="11" spans="1:79" ht="15.6" x14ac:dyDescent="0.3">
      <c r="A11" s="59" t="s">
        <v>739</v>
      </c>
      <c r="B11" s="38" t="s">
        <v>13</v>
      </c>
      <c r="C11" s="63" t="s">
        <v>740</v>
      </c>
      <c r="D11" t="s">
        <v>741</v>
      </c>
      <c r="E11" s="40" t="s">
        <v>15</v>
      </c>
      <c r="F11" s="41">
        <v>0</v>
      </c>
      <c r="G11" s="42" t="s">
        <v>742</v>
      </c>
      <c r="H11" s="42" t="s">
        <v>742</v>
      </c>
      <c r="I11" s="42" t="s">
        <v>742</v>
      </c>
      <c r="J11" s="42" t="s">
        <v>743</v>
      </c>
      <c r="K11" s="42" t="s">
        <v>744</v>
      </c>
      <c r="L11" s="42" t="s">
        <v>745</v>
      </c>
      <c r="M11" s="42" t="s">
        <v>746</v>
      </c>
      <c r="N11" s="42" t="s">
        <v>747</v>
      </c>
      <c r="O11" s="42" t="s">
        <v>748</v>
      </c>
      <c r="P11" s="7" t="s">
        <v>749</v>
      </c>
      <c r="Q11" s="42" t="s">
        <v>750</v>
      </c>
      <c r="R11" s="42" t="s">
        <v>751</v>
      </c>
      <c r="S11" s="42"/>
      <c r="T11" s="42"/>
      <c r="U11" s="42"/>
      <c r="V11" s="42"/>
      <c r="W11" s="43">
        <v>50444.773178227566</v>
      </c>
      <c r="X11" s="43">
        <v>51613.932982292012</v>
      </c>
      <c r="Y11" s="43">
        <v>46805.394825666335</v>
      </c>
      <c r="Z11" s="43">
        <v>49927.175208397581</v>
      </c>
      <c r="AA11" s="43">
        <v>47345.24</v>
      </c>
      <c r="AB11" s="43">
        <v>47072.95</v>
      </c>
      <c r="AC11" s="43">
        <v>54818.559999999998</v>
      </c>
      <c r="AD11" s="43">
        <v>62208.2</v>
      </c>
      <c r="AE11" s="43">
        <v>67095.77</v>
      </c>
      <c r="AF11" s="43">
        <v>72982.8</v>
      </c>
      <c r="AG11" s="43">
        <v>39839.949999999997</v>
      </c>
      <c r="AH11" s="43">
        <v>0</v>
      </c>
      <c r="AI11" s="43">
        <v>0</v>
      </c>
      <c r="AJ11" s="43"/>
      <c r="AK11" s="43"/>
      <c r="AL11" s="44"/>
      <c r="AM11" s="45">
        <f>VLOOKUP($B11,'[2]E.U.'!$R$9:$AZ$205,11,FALSE)</f>
        <v>0</v>
      </c>
      <c r="AN11" s="45">
        <f>VLOOKUP($B11,'[3]E.U.'!$R9:$AZ$225,11,FALSE)</f>
        <v>0</v>
      </c>
      <c r="AO11" s="45">
        <f>VLOOKUP($B11,'[4]E.U.'!$R$9:$BZ$225,11,FALSE)</f>
        <v>0</v>
      </c>
      <c r="AP11" s="45">
        <f>VLOOKUP($B11,'[5]E.U.'!$R$9:$BZ$225,11,FALSE)</f>
        <v>0</v>
      </c>
      <c r="AQ11" s="45">
        <f>VLOOKUP($B11,'[6]E.U.'!$R$9:$CA$225,11,FALSE)</f>
        <v>0</v>
      </c>
      <c r="AR11" s="45">
        <f>VLOOKUP($B11,'[7]E.U.'!$R$9:$AZ$225,11,FALSE)</f>
        <v>0</v>
      </c>
      <c r="AS11" s="45">
        <f>VLOOKUP($B11,'[8]E.U.'!$R$9:$AZ$225,11,FALSE)</f>
        <v>0</v>
      </c>
      <c r="AT11" s="45">
        <f>VLOOKUP($B11,'[9]E.U.'!$R$9:$AZ$221,11,FALSE)</f>
        <v>0</v>
      </c>
      <c r="AU11" s="45"/>
      <c r="AV11" s="45">
        <f>VLOOKUP($B11,'[10]E.U.'!$R$9:$AZ$221,11,FALSE)</f>
        <v>0</v>
      </c>
      <c r="AW11" s="45" t="e">
        <f>VLOOKUP($B11,'[11]E.U.'!$R$9:$AZ$220,11,FALSE)</f>
        <v>#REF!</v>
      </c>
      <c r="AX11" s="45"/>
      <c r="AY11" s="45" t="e">
        <f>VLOOKUP($B11,'[12]E.U.'!$R$9:$AZ$220,11,FALSE)</f>
        <v>#REF!</v>
      </c>
      <c r="AZ11" s="45"/>
      <c r="BA11" s="45">
        <f>VLOOKUP($B11,'[13]E.U.'!$R$9:$AZ$221,11,FALSE)</f>
        <v>0</v>
      </c>
      <c r="BB11" s="46"/>
      <c r="BC11" s="47"/>
      <c r="BD11" s="43"/>
      <c r="BE11" s="43"/>
      <c r="BF11" s="48">
        <f t="shared" si="3"/>
        <v>0</v>
      </c>
      <c r="BG11" s="49"/>
      <c r="BH11" s="43"/>
      <c r="BI11" s="50">
        <f t="shared" si="4"/>
        <v>0</v>
      </c>
      <c r="BJ11" s="51">
        <f t="shared" si="5"/>
        <v>0</v>
      </c>
      <c r="BK11" s="52"/>
      <c r="BL11" s="52"/>
      <c r="BM11" s="52" t="s">
        <v>752</v>
      </c>
      <c r="BN11" s="52"/>
      <c r="BO11" s="72"/>
      <c r="BP11" s="52"/>
      <c r="BQ11" s="52"/>
      <c r="BR11" s="50" t="s">
        <v>753</v>
      </c>
      <c r="BS11" s="53"/>
      <c r="BT11" s="53"/>
      <c r="BU11" s="65"/>
      <c r="BV11" s="55"/>
      <c r="BW11" s="55"/>
      <c r="BX11" s="56" t="s">
        <v>754</v>
      </c>
      <c r="BY11" s="57" t="s">
        <v>755</v>
      </c>
      <c r="BZ11" s="58"/>
    </row>
    <row r="12" spans="1:79" ht="15.6" x14ac:dyDescent="0.3">
      <c r="A12" s="59" t="s">
        <v>694</v>
      </c>
      <c r="B12" s="38" t="s">
        <v>16</v>
      </c>
      <c r="C12" s="63" t="s">
        <v>756</v>
      </c>
      <c r="D12" t="s">
        <v>757</v>
      </c>
      <c r="E12" s="40" t="s">
        <v>18</v>
      </c>
      <c r="F12" s="41" t="s">
        <v>758</v>
      </c>
      <c r="G12" s="42" t="s">
        <v>759</v>
      </c>
      <c r="H12" s="42" t="s">
        <v>759</v>
      </c>
      <c r="I12" s="42" t="s">
        <v>759</v>
      </c>
      <c r="J12" s="42" t="s">
        <v>760</v>
      </c>
      <c r="K12" s="42" t="s">
        <v>761</v>
      </c>
      <c r="L12" s="42" t="s">
        <v>762</v>
      </c>
      <c r="M12" s="42" t="s">
        <v>763</v>
      </c>
      <c r="N12" s="42" t="s">
        <v>764</v>
      </c>
      <c r="O12" s="42" t="s">
        <v>765</v>
      </c>
      <c r="P12" s="13" t="s">
        <v>766</v>
      </c>
      <c r="Q12" s="42" t="s">
        <v>767</v>
      </c>
      <c r="R12" s="42" t="s">
        <v>768</v>
      </c>
      <c r="S12" s="42" t="s">
        <v>769</v>
      </c>
      <c r="T12" s="42" t="s">
        <v>770</v>
      </c>
      <c r="U12" s="42" t="s">
        <v>771</v>
      </c>
      <c r="V12" s="42" t="str">
        <f>VLOOKUP(D12,[1]ALL!$A$15:$Z$983,3,FALSE)</f>
        <v>WPH-EGW</v>
      </c>
      <c r="W12" s="43">
        <v>165485.83277175191</v>
      </c>
      <c r="X12" s="43">
        <v>117796.52483755378</v>
      </c>
      <c r="Y12" s="43">
        <v>118906.37575775479</v>
      </c>
      <c r="Z12" s="43">
        <v>126529.80347486661</v>
      </c>
      <c r="AA12" s="43">
        <v>126876.38</v>
      </c>
      <c r="AB12" s="43">
        <v>130659.36</v>
      </c>
      <c r="AC12" s="43">
        <v>137677.06</v>
      </c>
      <c r="AD12" s="43">
        <v>140342.45000000001</v>
      </c>
      <c r="AE12" s="43">
        <v>153970.48000000001</v>
      </c>
      <c r="AF12" s="43">
        <v>153746.01999999999</v>
      </c>
      <c r="AG12" s="43">
        <v>141630.39000000001</v>
      </c>
      <c r="AH12" s="43">
        <v>142644.84</v>
      </c>
      <c r="AI12" s="43">
        <v>155829.96</v>
      </c>
      <c r="AJ12" s="43">
        <v>144604.32</v>
      </c>
      <c r="AK12" s="43">
        <v>231663.13</v>
      </c>
      <c r="AL12" s="44"/>
      <c r="AM12" s="45">
        <f>VLOOKUP($B12,'[2]E.U.'!$R$9:$AZ$205,11,FALSE)</f>
        <v>13128.17</v>
      </c>
      <c r="AN12" s="45">
        <f>VLOOKUP($B12,'[3]E.U.'!$R9:$AZ$225,11,FALSE)</f>
        <v>17356.48</v>
      </c>
      <c r="AO12" s="45">
        <f>VLOOKUP($B12,'[4]E.U.'!$R$9:$BZ$225,11,FALSE)</f>
        <v>16155.418719583331</v>
      </c>
      <c r="AP12" s="45">
        <f>VLOOKUP($B12,'[5]E.U.'!$R$9:$BZ$225,11,FALSE)</f>
        <v>15381.812078783954</v>
      </c>
      <c r="AQ12" s="45">
        <f>VLOOKUP($B12,'[6]E.U.'!$R$9:$CA$225,11,FALSE)</f>
        <v>17717.77892084244</v>
      </c>
      <c r="AR12" s="45">
        <f>VLOOKUP($B12,'[7]E.U.'!$R$9:$AZ$225,11,FALSE)</f>
        <v>15443.130881580018</v>
      </c>
      <c r="AS12" s="45">
        <f>VLOOKUP($B12,'[8]E.U.'!$R$9:$AZ$225,11,FALSE)</f>
        <v>13358.892620251581</v>
      </c>
      <c r="AT12" s="45">
        <f>VLOOKUP($B12,'[9]E.U.'!$R$9:$AZ$221,11,FALSE)</f>
        <v>8931.2787966281012</v>
      </c>
      <c r="AU12" s="45"/>
      <c r="AV12" s="45">
        <f>VLOOKUP($B12,'[10]E.U.'!$R$9:$AZ$221,11,FALSE)</f>
        <v>8742.6994375106697</v>
      </c>
      <c r="AW12" s="45">
        <f>VLOOKUP($B12,'[11]E.U.'!$R$9:$AZ$220,11,FALSE)</f>
        <v>10552.564922509508</v>
      </c>
      <c r="AX12" s="252"/>
      <c r="AY12" s="45">
        <f>VLOOKUP($B12,'[12]E.U.'!$R$9:$AZ$220,11,FALSE)</f>
        <v>10011.16209979745</v>
      </c>
      <c r="AZ12" s="45"/>
      <c r="BA12" s="45">
        <f>VLOOKUP($B12,'[13]E.U.'!$R$9:$AZ$221,11,FALSE)</f>
        <v>10767.155504845263</v>
      </c>
      <c r="BB12" s="46">
        <f t="shared" si="0"/>
        <v>157546.54398233231</v>
      </c>
      <c r="BC12" s="47" t="e">
        <f>SUM(#REF!)</f>
        <v>#REF!</v>
      </c>
      <c r="BD12" s="43" t="e">
        <f>VLOOKUP(V12,[14]ELECTRIC!$C$1:$H$4000,6,FALSE)</f>
        <v>#N/A</v>
      </c>
      <c r="BE12" s="255" t="e">
        <f t="shared" si="1"/>
        <v>#N/A</v>
      </c>
      <c r="BF12" s="48">
        <f t="shared" si="3"/>
        <v>157546.54398233231</v>
      </c>
      <c r="BG12" s="49">
        <f t="shared" si="2"/>
        <v>274468.58626636321</v>
      </c>
      <c r="BH12" s="43" t="e">
        <f>IF(BC12=0,0,(BB12*(AK12/BC12)))</f>
        <v>#REF!</v>
      </c>
      <c r="BI12" s="50" t="e">
        <f t="shared" si="4"/>
        <v>#REF!</v>
      </c>
      <c r="BJ12" s="51">
        <f t="shared" si="5"/>
        <v>-0.31993259357959847</v>
      </c>
      <c r="BK12" s="52"/>
      <c r="BL12" s="52"/>
      <c r="BM12" s="52"/>
      <c r="BN12" s="52"/>
      <c r="BO12" s="72"/>
      <c r="BP12" s="52"/>
      <c r="BQ12" s="52"/>
      <c r="BR12" s="50"/>
      <c r="BS12" s="53"/>
      <c r="BT12" s="53"/>
      <c r="BU12" s="65"/>
      <c r="BV12" s="55"/>
      <c r="BW12" s="55"/>
      <c r="BX12" s="56"/>
      <c r="BY12" s="57" t="s">
        <v>772</v>
      </c>
      <c r="BZ12" s="58"/>
    </row>
    <row r="13" spans="1:79" ht="15.6" x14ac:dyDescent="0.3">
      <c r="A13" s="59" t="s">
        <v>694</v>
      </c>
      <c r="B13" s="38" t="s">
        <v>19</v>
      </c>
      <c r="C13" s="63" t="s">
        <v>773</v>
      </c>
      <c r="D13" t="s">
        <v>774</v>
      </c>
      <c r="E13" s="40" t="s">
        <v>21</v>
      </c>
      <c r="F13" s="41" t="s">
        <v>758</v>
      </c>
      <c r="G13" s="42" t="s">
        <v>775</v>
      </c>
      <c r="H13" s="42" t="s">
        <v>775</v>
      </c>
      <c r="I13" s="42" t="s">
        <v>775</v>
      </c>
      <c r="J13" s="42" t="s">
        <v>776</v>
      </c>
      <c r="K13" s="42" t="s">
        <v>777</v>
      </c>
      <c r="L13" s="42" t="s">
        <v>778</v>
      </c>
      <c r="M13" s="42" t="s">
        <v>779</v>
      </c>
      <c r="N13" s="42" t="s">
        <v>780</v>
      </c>
      <c r="O13" s="42" t="s">
        <v>781</v>
      </c>
      <c r="P13" s="13" t="s">
        <v>782</v>
      </c>
      <c r="Q13" s="42" t="s">
        <v>783</v>
      </c>
      <c r="R13" s="42" t="s">
        <v>784</v>
      </c>
      <c r="S13" s="42" t="s">
        <v>785</v>
      </c>
      <c r="T13" s="42" t="s">
        <v>786</v>
      </c>
      <c r="U13" s="42" t="s">
        <v>787</v>
      </c>
      <c r="V13" s="42" t="str">
        <f>VLOOKUP(D13,[1]ALL!$A$15:$Z$983,3,FALSE)</f>
        <v>SOS-EGW</v>
      </c>
      <c r="W13" s="43">
        <v>69928.937676880072</v>
      </c>
      <c r="X13" s="43">
        <v>49779.448179355328</v>
      </c>
      <c r="Y13" s="43">
        <v>50246.803200644616</v>
      </c>
      <c r="Z13" s="43">
        <v>53471.686973023308</v>
      </c>
      <c r="AA13" s="43">
        <v>53615.79</v>
      </c>
      <c r="AB13" s="43">
        <v>55212.99</v>
      </c>
      <c r="AC13" s="43">
        <v>58176.97</v>
      </c>
      <c r="AD13" s="43">
        <v>59302.68</v>
      </c>
      <c r="AE13" s="43">
        <v>65059.76</v>
      </c>
      <c r="AF13" s="43">
        <v>64970.15</v>
      </c>
      <c r="AG13" s="43">
        <v>59851.93</v>
      </c>
      <c r="AH13" s="43">
        <v>60280.25</v>
      </c>
      <c r="AI13" s="43">
        <v>65862.210000000006</v>
      </c>
      <c r="AJ13" s="43">
        <v>61575.69</v>
      </c>
      <c r="AK13" s="43">
        <v>48155.13</v>
      </c>
      <c r="AL13" s="44"/>
      <c r="AM13" s="45">
        <f>VLOOKUP($B13,'[2]E.U.'!$R$9:$AZ$205,11,FALSE)</f>
        <v>5548.46</v>
      </c>
      <c r="AN13" s="45">
        <f>VLOOKUP($B13,'[3]E.U.'!$R9:$AZ$225,11,FALSE)</f>
        <v>7334.79</v>
      </c>
      <c r="AO13" s="45">
        <f>VLOOKUP($B13,'[4]E.U.'!$R$9:$BZ$225,11,FALSE)</f>
        <v>6825.2592748793422</v>
      </c>
      <c r="AP13" s="45">
        <f>VLOOKUP($B13,'[5]E.U.'!$R$9:$BZ$225,11,FALSE)</f>
        <v>6498.4276493507004</v>
      </c>
      <c r="AQ13" s="45">
        <f>VLOOKUP($B13,'[6]E.U.'!$R$9:$CA$225,11,FALSE)</f>
        <v>7485.3172828702072</v>
      </c>
      <c r="AR13" s="45">
        <f>VLOOKUP($B13,'[7]E.U.'!$R$9:$AZ$225,11,FALSE)</f>
        <v>6524.3354669238352</v>
      </c>
      <c r="AS13" s="45">
        <f>VLOOKUP($B13,'[8]E.U.'!$R$9:$AZ$225,11,FALSE)</f>
        <v>5643.8004985304442</v>
      </c>
      <c r="AT13" s="45">
        <f>VLOOKUP($B13,'[9]E.U.'!$R$9:$AZ$221,11,FALSE)</f>
        <v>3773.2419918362471</v>
      </c>
      <c r="AU13" s="45"/>
      <c r="AV13" s="45">
        <f>VLOOKUP($B13,'[10]E.U.'!$R$9:$AZ$221,11,FALSE)</f>
        <v>3693.5699496434931</v>
      </c>
      <c r="AW13" s="45">
        <f>VLOOKUP($B13,'[11]E.U.'!$R$9:$AZ$220,11,FALSE)</f>
        <v>4458.1991945436857</v>
      </c>
      <c r="AX13" s="252"/>
      <c r="AY13" s="45">
        <f>VLOOKUP($B13,'[12]E.U.'!$R$9:$AZ$220,11,FALSE)</f>
        <v>4229.466411069543</v>
      </c>
      <c r="AZ13" s="45"/>
      <c r="BA13" s="45">
        <f>VLOOKUP($B13,'[13]E.U.'!$R$9:$AZ$221,11,FALSE)</f>
        <v>4548.8555884496936</v>
      </c>
      <c r="BB13" s="46">
        <f t="shared" si="0"/>
        <v>66563.723308097193</v>
      </c>
      <c r="BC13" s="47" t="e">
        <f>SUM(#REF!)</f>
        <v>#REF!</v>
      </c>
      <c r="BD13" s="43" t="e">
        <f>VLOOKUP(V13,[14]ELECTRIC!$C$1:$H$4000,6,FALSE)</f>
        <v>#N/A</v>
      </c>
      <c r="BE13" s="255" t="e">
        <f t="shared" si="1"/>
        <v>#N/A</v>
      </c>
      <c r="BF13" s="48">
        <f t="shared" si="3"/>
        <v>66563.723308097193</v>
      </c>
      <c r="BG13" s="49">
        <f t="shared" si="2"/>
        <v>115963.51510603505</v>
      </c>
      <c r="BH13" s="43" t="e">
        <f>IF(BC13=0,0,(BB13*(AK13/BC13)))</f>
        <v>#REF!</v>
      </c>
      <c r="BI13" s="50" t="e">
        <f t="shared" si="4"/>
        <v>#REF!</v>
      </c>
      <c r="BJ13" s="51">
        <f t="shared" si="5"/>
        <v>0.38227688946322425</v>
      </c>
      <c r="BK13" s="52"/>
      <c r="BL13" s="52"/>
      <c r="BM13" s="52"/>
      <c r="BN13" s="52"/>
      <c r="BO13" s="72"/>
      <c r="BP13" s="52"/>
      <c r="BQ13" s="52"/>
      <c r="BR13" s="50"/>
      <c r="BS13" s="53"/>
      <c r="BT13" s="53"/>
      <c r="BU13" s="65"/>
      <c r="BV13" s="55"/>
      <c r="BW13" s="55"/>
      <c r="BX13" s="66"/>
      <c r="BY13" s="67"/>
      <c r="BZ13" s="68"/>
    </row>
    <row r="14" spans="1:79" ht="15.6" x14ac:dyDescent="0.3">
      <c r="A14" s="59" t="s">
        <v>694</v>
      </c>
      <c r="B14" s="38" t="s">
        <v>22</v>
      </c>
      <c r="C14" s="1" t="s">
        <v>23</v>
      </c>
      <c r="D14" t="s">
        <v>788</v>
      </c>
      <c r="E14" s="40" t="s">
        <v>24</v>
      </c>
      <c r="F14" s="41" t="s">
        <v>758</v>
      </c>
      <c r="G14" s="42" t="s">
        <v>789</v>
      </c>
      <c r="H14" s="42" t="s">
        <v>789</v>
      </c>
      <c r="I14" s="42" t="s">
        <v>789</v>
      </c>
      <c r="J14" s="42" t="s">
        <v>790</v>
      </c>
      <c r="K14" s="42" t="s">
        <v>791</v>
      </c>
      <c r="L14" s="42" t="s">
        <v>792</v>
      </c>
      <c r="M14" s="42" t="s">
        <v>793</v>
      </c>
      <c r="N14" s="42" t="s">
        <v>794</v>
      </c>
      <c r="O14" s="42" t="s">
        <v>795</v>
      </c>
      <c r="P14" s="3" t="s">
        <v>796</v>
      </c>
      <c r="Q14" s="42" t="s">
        <v>797</v>
      </c>
      <c r="R14" s="42" t="s">
        <v>798</v>
      </c>
      <c r="S14" s="42" t="s">
        <v>799</v>
      </c>
      <c r="T14" s="42" t="s">
        <v>800</v>
      </c>
      <c r="U14" s="42" t="s">
        <v>801</v>
      </c>
      <c r="V14" s="42" t="str">
        <f>VLOOKUP(D14,[1]ALL!$A$15:$Z$983,3,FALSE)</f>
        <v>VKC-EGW</v>
      </c>
      <c r="W14" s="43">
        <v>168744.90033914495</v>
      </c>
      <c r="X14" s="43">
        <v>134018.74194295148</v>
      </c>
      <c r="Y14" s="43">
        <v>164340.22556229646</v>
      </c>
      <c r="Z14" s="43">
        <v>170226.37712624937</v>
      </c>
      <c r="AA14" s="43">
        <v>170539.96</v>
      </c>
      <c r="AB14" s="43">
        <v>160613.81</v>
      </c>
      <c r="AC14" s="43">
        <v>187101.12</v>
      </c>
      <c r="AD14" s="43">
        <v>153700.71</v>
      </c>
      <c r="AE14" s="43">
        <v>181712.33</v>
      </c>
      <c r="AF14" s="43">
        <v>175267.94</v>
      </c>
      <c r="AG14" s="43">
        <v>170407.06</v>
      </c>
      <c r="AH14" s="43">
        <v>170395.61</v>
      </c>
      <c r="AI14" s="43">
        <v>172867.51</v>
      </c>
      <c r="AJ14" s="43">
        <v>183581.69</v>
      </c>
      <c r="AK14" s="43">
        <v>193810.29</v>
      </c>
      <c r="AL14" s="44"/>
      <c r="AM14" s="45">
        <f>VLOOKUP($B14,'[2]E.U.'!$R$9:$AZ$205,11,FALSE)</f>
        <v>15425.6</v>
      </c>
      <c r="AN14" s="45">
        <f>VLOOKUP($B14,'[3]E.U.'!$R9:$AZ$225,11,FALSE)</f>
        <v>18809.61</v>
      </c>
      <c r="AO14" s="45">
        <f>VLOOKUP($B14,'[4]E.U.'!$R$9:$BZ$225,11,FALSE)</f>
        <v>17315.421414581251</v>
      </c>
      <c r="AP14" s="45">
        <f>VLOOKUP($B14,'[5]E.U.'!$R$9:$BZ$225,11,FALSE)</f>
        <v>17285.756691753566</v>
      </c>
      <c r="AQ14" s="45">
        <f>VLOOKUP($B14,'[6]E.U.'!$R$9:$CA$225,11,FALSE)</f>
        <v>20097.847140361369</v>
      </c>
      <c r="AR14" s="45">
        <f>VLOOKUP($B14,'[7]E.U.'!$R$9:$AZ$225,11,FALSE)</f>
        <v>17601.77294649609</v>
      </c>
      <c r="AS14" s="45">
        <f>VLOOKUP($B14,'[8]E.U.'!$R$9:$AZ$225,11,FALSE)</f>
        <v>15228.875963771288</v>
      </c>
      <c r="AT14" s="45">
        <f>VLOOKUP($B14,'[9]E.U.'!$R$9:$AZ$221,11,FALSE)</f>
        <v>10596.08792860535</v>
      </c>
      <c r="AU14" s="45"/>
      <c r="AV14" s="45">
        <f>VLOOKUP($B14,'[10]E.U.'!$R$9:$AZ$221,11,FALSE)</f>
        <v>11927.108936757239</v>
      </c>
      <c r="AW14" s="45">
        <f>VLOOKUP($B14,'[11]E.U.'!$R$9:$AZ$220,11,FALSE)</f>
        <v>14074.374787072818</v>
      </c>
      <c r="AX14" s="252"/>
      <c r="AY14" s="45">
        <f>VLOOKUP($B14,'[12]E.U.'!$R$9:$AZ$220,11,FALSE)</f>
        <v>13845.841049568035</v>
      </c>
      <c r="AZ14" s="45"/>
      <c r="BA14" s="45">
        <f>VLOOKUP($B14,'[13]E.U.'!$R$9:$AZ$221,11,FALSE)</f>
        <v>14711.321368107261</v>
      </c>
      <c r="BB14" s="46">
        <f t="shared" ref="BB14:BB77" si="6">SUM(AM14:BA14)</f>
        <v>186919.61822707424</v>
      </c>
      <c r="BC14" s="47" t="e">
        <f>SUM(#REF!)</f>
        <v>#REF!</v>
      </c>
      <c r="BD14" s="43" t="e">
        <f>VLOOKUP(V14,[14]ELECTRIC!$C$1:$H$4000,6,FALSE)</f>
        <v>#N/A</v>
      </c>
      <c r="BE14" s="43" t="e">
        <f t="shared" si="1"/>
        <v>#N/A</v>
      </c>
      <c r="BF14" s="48">
        <f t="shared" si="3"/>
        <v>186919.61822707424</v>
      </c>
      <c r="BG14" s="49">
        <f t="shared" si="2"/>
        <v>325640.67775416718</v>
      </c>
      <c r="BH14" s="43" t="e">
        <f>IF(BC14=0,0,(BB14*(AK14/BC14)))</f>
        <v>#REF!</v>
      </c>
      <c r="BI14" s="52" t="e">
        <f t="shared" si="4"/>
        <v>#REF!</v>
      </c>
      <c r="BJ14" s="51">
        <f t="shared" si="5"/>
        <v>-3.5553694145577963E-2</v>
      </c>
      <c r="BK14" s="52"/>
      <c r="BL14" s="52"/>
      <c r="BM14" s="52"/>
      <c r="BN14" s="52"/>
      <c r="BO14" s="72"/>
      <c r="BP14" s="52"/>
      <c r="BQ14" s="52"/>
      <c r="BR14" s="52"/>
      <c r="BS14" s="53"/>
      <c r="BT14" s="53"/>
      <c r="BU14" s="65"/>
      <c r="BV14" s="55"/>
      <c r="BW14" s="55"/>
      <c r="BX14" s="66"/>
      <c r="BY14" s="67"/>
      <c r="BZ14" s="68"/>
    </row>
    <row r="15" spans="1:79" ht="15.6" x14ac:dyDescent="0.3">
      <c r="A15" s="59" t="s">
        <v>739</v>
      </c>
      <c r="B15" s="38" t="s">
        <v>25</v>
      </c>
      <c r="C15" s="1" t="s">
        <v>26</v>
      </c>
      <c r="D15" t="s">
        <v>802</v>
      </c>
      <c r="E15" s="40" t="s">
        <v>27</v>
      </c>
      <c r="F15" s="41">
        <v>0</v>
      </c>
      <c r="G15" s="42" t="s">
        <v>803</v>
      </c>
      <c r="H15" s="42" t="s">
        <v>803</v>
      </c>
      <c r="I15" s="42" t="s">
        <v>803</v>
      </c>
      <c r="J15" s="42" t="s">
        <v>804</v>
      </c>
      <c r="K15" s="42" t="s">
        <v>805</v>
      </c>
      <c r="L15" s="42" t="s">
        <v>806</v>
      </c>
      <c r="M15" s="42" t="s">
        <v>807</v>
      </c>
      <c r="N15" s="42" t="s">
        <v>808</v>
      </c>
      <c r="O15" s="42" t="s">
        <v>809</v>
      </c>
      <c r="P15" s="42" t="s">
        <v>810</v>
      </c>
      <c r="Q15" s="42" t="s">
        <v>811</v>
      </c>
      <c r="R15" s="42" t="s">
        <v>812</v>
      </c>
      <c r="S15" s="42" t="s">
        <v>813</v>
      </c>
      <c r="T15" s="42" t="s">
        <v>814</v>
      </c>
      <c r="U15" s="42" t="s">
        <v>815</v>
      </c>
      <c r="V15" s="42" t="str">
        <f>VLOOKUP(D15,[1]ALL!$A$15:$Z$983,3,FALSE)</f>
        <v>YWC-EGW</v>
      </c>
      <c r="W15" s="43">
        <v>11805.617261885456</v>
      </c>
      <c r="X15" s="43">
        <v>11853.828002806058</v>
      </c>
      <c r="Y15" s="43">
        <v>10610.250853305311</v>
      </c>
      <c r="Z15" s="43">
        <v>11728.15665338693</v>
      </c>
      <c r="AA15" s="43">
        <v>11024.01</v>
      </c>
      <c r="AB15" s="43">
        <v>11403.18</v>
      </c>
      <c r="AC15" s="43">
        <v>13065.9</v>
      </c>
      <c r="AD15" s="43">
        <v>13472.34</v>
      </c>
      <c r="AE15" s="43">
        <v>15094.21</v>
      </c>
      <c r="AF15" s="43">
        <v>13660.03</v>
      </c>
      <c r="AG15" s="43">
        <v>13336.31</v>
      </c>
      <c r="AH15" s="43">
        <v>13107.96</v>
      </c>
      <c r="AI15" s="43">
        <v>1177.1300000000001</v>
      </c>
      <c r="AJ15" s="43">
        <v>0</v>
      </c>
      <c r="AK15" s="43">
        <v>0</v>
      </c>
      <c r="AL15" s="44"/>
      <c r="AM15" s="45">
        <f>VLOOKUP($B15,'[2]E.U.'!$R$9:$AZ$205,11,FALSE)</f>
        <v>0</v>
      </c>
      <c r="AN15" s="45">
        <f>VLOOKUP($B15,'[3]E.U.'!$R10:$AZ$225,11,FALSE)</f>
        <v>0</v>
      </c>
      <c r="AO15" s="45">
        <f>VLOOKUP($B15,'[4]E.U.'!$R$9:$BZ$225,11,FALSE)</f>
        <v>0</v>
      </c>
      <c r="AP15" s="45">
        <f>VLOOKUP($B15,'[5]E.U.'!$R$9:$BZ$225,11,FALSE)</f>
        <v>0</v>
      </c>
      <c r="AQ15" s="45">
        <f>VLOOKUP($B15,'[6]E.U.'!$R$9:$CA$225,11,FALSE)</f>
        <v>0</v>
      </c>
      <c r="AR15" s="45">
        <f>VLOOKUP($B15,'[7]E.U.'!$R$9:$AZ$225,11,FALSE)</f>
        <v>0</v>
      </c>
      <c r="AS15" s="45">
        <f>VLOOKUP($B15,'[8]E.U.'!$R$9:$AZ$225,11,FALSE)</f>
        <v>0</v>
      </c>
      <c r="AT15" s="45">
        <f>VLOOKUP($B15,'[9]E.U.'!$R$9:$AZ$221,11,FALSE)</f>
        <v>0</v>
      </c>
      <c r="AU15" s="45"/>
      <c r="AV15" s="45">
        <f>VLOOKUP($B15,'[10]E.U.'!$R$9:$AZ$221,11,FALSE)</f>
        <v>0</v>
      </c>
      <c r="AW15" s="45" t="e">
        <f>VLOOKUP($B15,'[11]E.U.'!$R$9:$AZ$220,11,FALSE)</f>
        <v>#REF!</v>
      </c>
      <c r="AX15" s="45"/>
      <c r="AY15" s="45" t="e">
        <f>VLOOKUP($B15,'[12]E.U.'!$R$9:$AZ$220,11,FALSE)</f>
        <v>#REF!</v>
      </c>
      <c r="AZ15" s="45"/>
      <c r="BA15" s="45">
        <f>VLOOKUP($B15,'[13]E.U.'!$R$9:$AZ$221,11,FALSE)</f>
        <v>0</v>
      </c>
      <c r="BB15" s="46" t="e">
        <f t="shared" si="6"/>
        <v>#REF!</v>
      </c>
      <c r="BC15" s="47" t="e">
        <f>SUM(#REF!)</f>
        <v>#REF!</v>
      </c>
      <c r="BD15" s="43" t="e">
        <f>VLOOKUP(V15,[14]ELECTRIC!$C$1:$H$4000,6,FALSE)</f>
        <v>#N/A</v>
      </c>
      <c r="BE15" s="43" t="e">
        <f t="shared" si="1"/>
        <v>#REF!</v>
      </c>
      <c r="BF15" s="48" t="e">
        <f t="shared" si="3"/>
        <v>#REF!</v>
      </c>
      <c r="BG15" s="49" t="e">
        <f t="shared" si="2"/>
        <v>#REF!</v>
      </c>
      <c r="BH15" s="43" t="e">
        <f>IF(BC15=0,0,(BB15*(AK15/BC15)))</f>
        <v>#REF!</v>
      </c>
      <c r="BI15" s="50" t="e">
        <f t="shared" si="4"/>
        <v>#REF!</v>
      </c>
      <c r="BJ15" s="51" t="e">
        <f t="shared" si="5"/>
        <v>#REF!</v>
      </c>
      <c r="BK15" s="52"/>
      <c r="BL15" s="52"/>
      <c r="BM15" s="52"/>
      <c r="BN15" s="52"/>
      <c r="BO15" s="72"/>
      <c r="BP15" s="52"/>
      <c r="BQ15" s="52"/>
      <c r="BR15" s="50" t="s">
        <v>816</v>
      </c>
      <c r="BS15" s="53"/>
      <c r="BT15" s="53"/>
      <c r="BU15" s="65"/>
      <c r="BV15" s="55"/>
      <c r="BW15" s="55"/>
      <c r="BX15" s="56"/>
      <c r="BY15" s="57"/>
      <c r="BZ15" s="58"/>
    </row>
    <row r="16" spans="1:79" ht="15.6" x14ac:dyDescent="0.3">
      <c r="A16" s="59" t="s">
        <v>739</v>
      </c>
      <c r="B16" s="38" t="s">
        <v>28</v>
      </c>
      <c r="C16" s="1" t="s">
        <v>29</v>
      </c>
      <c r="D16"/>
      <c r="E16" s="40" t="s">
        <v>30</v>
      </c>
      <c r="F16" s="41">
        <v>0</v>
      </c>
      <c r="G16" s="42" t="s">
        <v>817</v>
      </c>
      <c r="H16" s="42" t="s">
        <v>817</v>
      </c>
      <c r="I16" s="42" t="s">
        <v>817</v>
      </c>
      <c r="J16" s="42" t="s">
        <v>818</v>
      </c>
      <c r="K16" s="42" t="s">
        <v>819</v>
      </c>
      <c r="L16" s="42" t="s">
        <v>820</v>
      </c>
      <c r="M16" s="42" t="s">
        <v>821</v>
      </c>
      <c r="N16" s="42" t="s">
        <v>822</v>
      </c>
      <c r="O16" s="42" t="s">
        <v>823</v>
      </c>
      <c r="P16" s="42" t="s">
        <v>824</v>
      </c>
      <c r="Q16" s="42" t="s">
        <v>825</v>
      </c>
      <c r="R16" s="42"/>
      <c r="S16" s="42"/>
      <c r="T16" s="42"/>
      <c r="U16" s="42"/>
      <c r="V16" s="42"/>
      <c r="W16" s="43">
        <v>6923.2955301447355</v>
      </c>
      <c r="X16" s="43">
        <v>4866.2988121128701</v>
      </c>
      <c r="Y16" s="43">
        <v>4969.0386040582762</v>
      </c>
      <c r="Z16" s="43">
        <v>5517.5646859961616</v>
      </c>
      <c r="AA16" s="43">
        <v>4571.9399999999996</v>
      </c>
      <c r="AB16" s="43">
        <v>4903.33</v>
      </c>
      <c r="AC16" s="43">
        <v>5559.22</v>
      </c>
      <c r="AD16" s="43">
        <v>5927</v>
      </c>
      <c r="AE16" s="43">
        <v>3060.36</v>
      </c>
      <c r="AF16" s="43">
        <v>0</v>
      </c>
      <c r="AG16" s="43">
        <v>0</v>
      </c>
      <c r="AH16" s="43">
        <v>0</v>
      </c>
      <c r="AI16" s="43">
        <v>0</v>
      </c>
      <c r="AJ16" s="43"/>
      <c r="AK16" s="43"/>
      <c r="AL16" s="44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6"/>
      <c r="BC16" s="47"/>
      <c r="BD16" s="43"/>
      <c r="BE16" s="43"/>
      <c r="BF16" s="48">
        <f t="shared" si="3"/>
        <v>0</v>
      </c>
      <c r="BG16" s="49"/>
      <c r="BH16" s="43"/>
      <c r="BI16" s="50">
        <f t="shared" si="4"/>
        <v>0</v>
      </c>
      <c r="BJ16" s="51">
        <f t="shared" si="5"/>
        <v>0</v>
      </c>
      <c r="BK16" s="52"/>
      <c r="BL16" s="52"/>
      <c r="BM16" s="52" t="s">
        <v>826</v>
      </c>
      <c r="BN16" s="52"/>
      <c r="BO16" s="72"/>
      <c r="BP16" s="72" t="s">
        <v>827</v>
      </c>
      <c r="BQ16" s="52"/>
      <c r="BR16" s="50"/>
      <c r="BS16" s="53"/>
      <c r="BT16" s="53"/>
      <c r="BU16" s="65"/>
      <c r="BV16" s="55"/>
      <c r="BW16" s="55"/>
      <c r="BX16" s="56"/>
      <c r="BY16" s="69" t="s">
        <v>828</v>
      </c>
      <c r="BZ16" s="58"/>
    </row>
    <row r="17" spans="1:78" ht="15" customHeight="1" x14ac:dyDescent="0.3">
      <c r="A17" s="59" t="s">
        <v>694</v>
      </c>
      <c r="B17" s="38" t="s">
        <v>31</v>
      </c>
      <c r="C17" s="1" t="s">
        <v>32</v>
      </c>
      <c r="D17" t="s">
        <v>829</v>
      </c>
      <c r="E17" s="40" t="s">
        <v>33</v>
      </c>
      <c r="F17" s="41">
        <v>0</v>
      </c>
      <c r="G17" s="42" t="s">
        <v>830</v>
      </c>
      <c r="H17" s="42" t="s">
        <v>830</v>
      </c>
      <c r="I17" s="42" t="s">
        <v>830</v>
      </c>
      <c r="J17" s="42" t="s">
        <v>831</v>
      </c>
      <c r="K17" s="42" t="s">
        <v>832</v>
      </c>
      <c r="L17" s="42" t="s">
        <v>833</v>
      </c>
      <c r="M17" s="42" t="s">
        <v>834</v>
      </c>
      <c r="N17" s="42" t="s">
        <v>835</v>
      </c>
      <c r="O17" s="42" t="s">
        <v>836</v>
      </c>
      <c r="P17" s="42" t="s">
        <v>837</v>
      </c>
      <c r="Q17" s="42" t="s">
        <v>838</v>
      </c>
      <c r="R17" s="42" t="s">
        <v>839</v>
      </c>
      <c r="S17" s="42" t="s">
        <v>840</v>
      </c>
      <c r="T17" s="42" t="s">
        <v>841</v>
      </c>
      <c r="U17" s="42" t="s">
        <v>842</v>
      </c>
      <c r="V17" s="42" t="str">
        <f>VLOOKUP(D17,[1]ALL!$A$15:$Z$983,3,FALSE)</f>
        <v>LAW-EGW</v>
      </c>
      <c r="W17" s="43">
        <v>158545.98356755759</v>
      </c>
      <c r="X17" s="43">
        <v>169559.78899471826</v>
      </c>
      <c r="Y17" s="43">
        <v>179590.05039111798</v>
      </c>
      <c r="Z17" s="43">
        <v>181763.34665494662</v>
      </c>
      <c r="AA17" s="43">
        <v>175413.64</v>
      </c>
      <c r="AB17" s="43">
        <v>184529.07</v>
      </c>
      <c r="AC17" s="43">
        <v>192541.68</v>
      </c>
      <c r="AD17" s="43">
        <v>212054.55</v>
      </c>
      <c r="AE17" s="43">
        <v>230244.35</v>
      </c>
      <c r="AF17" s="43">
        <v>247887.26</v>
      </c>
      <c r="AG17" s="43">
        <v>261641.94</v>
      </c>
      <c r="AH17" s="43">
        <v>253448.87</v>
      </c>
      <c r="AI17" s="43">
        <v>259850.09</v>
      </c>
      <c r="AJ17" s="43">
        <v>273754.23</v>
      </c>
      <c r="AK17" s="43">
        <v>182978.34</v>
      </c>
      <c r="AL17" s="44"/>
      <c r="AM17" s="45">
        <f>VLOOKUP($B17,'[2]E.U.'!$R$9:$AZ$205,11,FALSE)</f>
        <v>33775.42</v>
      </c>
      <c r="AN17" s="45">
        <f>VLOOKUP($B17,'[3]E.U.'!$R9:$AZ$225,11,FALSE)</f>
        <v>42199.41</v>
      </c>
      <c r="AO17" s="45">
        <f>VLOOKUP($B17,'[4]E.U.'!$R$9:$BZ$225,11,FALSE)</f>
        <v>23624.131988253303</v>
      </c>
      <c r="AP17" s="45">
        <f>VLOOKUP($B17,'[5]E.U.'!$R$9:$BZ$225,11,FALSE)</f>
        <v>23999.434092399031</v>
      </c>
      <c r="AQ17" s="45">
        <f>VLOOKUP($B17,'[6]E.U.'!$R$9:$CA$225,11,FALSE)</f>
        <v>28567.995521962846</v>
      </c>
      <c r="AR17" s="45">
        <f>VLOOKUP($B17,'[7]E.U.'!$R$9:$AZ$225,11,FALSE)</f>
        <v>26212.006670363735</v>
      </c>
      <c r="AS17" s="45">
        <f>VLOOKUP($B17,'[8]E.U.'!$R$9:$AZ$225,11,FALSE)</f>
        <v>28101.713106350628</v>
      </c>
      <c r="AT17" s="45">
        <f>VLOOKUP($B17,'[9]E.U.'!$R$9:$AZ$221,11,FALSE)</f>
        <v>23544.836904698324</v>
      </c>
      <c r="AU17" s="45"/>
      <c r="AV17" s="45">
        <f>VLOOKUP($B17,'[10]E.U.'!$R$9:$AZ$221,11,FALSE)</f>
        <v>24144.408544699643</v>
      </c>
      <c r="AW17" s="45">
        <f>VLOOKUP($B17,'[11]E.U.'!$R$9:$AZ$220,11,FALSE)</f>
        <v>23533.248272065473</v>
      </c>
      <c r="AX17" s="252"/>
      <c r="AY17" s="45">
        <f>VLOOKUP($B17,'[12]E.U.'!$R$9:$AZ$220,11,FALSE)</f>
        <v>23129.573315277074</v>
      </c>
      <c r="AZ17" s="45"/>
      <c r="BA17" s="45">
        <f>VLOOKUP($B17,'[13]E.U.'!$R$9:$AZ$221,11,FALSE)</f>
        <v>22226.736155685052</v>
      </c>
      <c r="BB17" s="46">
        <f t="shared" si="6"/>
        <v>323058.91457175504</v>
      </c>
      <c r="BC17" s="47" t="e">
        <f>SUM(#REF!)</f>
        <v>#REF!</v>
      </c>
      <c r="BD17" s="43" t="e">
        <f>VLOOKUP(V17,[14]ELECTRIC!$C$1:$H$4000,6,FALSE)</f>
        <v>#N/A</v>
      </c>
      <c r="BE17" s="43" t="e">
        <f>BB17-BD17</f>
        <v>#N/A</v>
      </c>
      <c r="BF17" s="48">
        <f t="shared" si="3"/>
        <v>323058.91457175504</v>
      </c>
      <c r="BG17" s="43">
        <f t="shared" si="2"/>
        <v>562814.78045750759</v>
      </c>
      <c r="BH17" s="43" t="e">
        <f>IF(BC17=0,0,(BB17*(AK17/BC17)))</f>
        <v>#REF!</v>
      </c>
      <c r="BI17" s="52" t="e">
        <f t="shared" si="4"/>
        <v>#REF!</v>
      </c>
      <c r="BJ17" s="51">
        <f t="shared" si="5"/>
        <v>0.76555823258509759</v>
      </c>
      <c r="BK17" s="52"/>
      <c r="BL17" s="52"/>
      <c r="BM17" s="52"/>
      <c r="BN17" s="52"/>
      <c r="BO17" s="72" t="s">
        <v>843</v>
      </c>
      <c r="BP17" s="72" t="s">
        <v>844</v>
      </c>
      <c r="BQ17" s="52"/>
      <c r="BR17" s="50"/>
      <c r="BS17" s="53"/>
      <c r="BT17" s="53"/>
      <c r="BU17" s="65"/>
      <c r="BV17" s="73" t="s">
        <v>845</v>
      </c>
      <c r="BW17" s="55"/>
      <c r="BX17" s="74" t="s">
        <v>846</v>
      </c>
      <c r="BY17" s="67" t="s">
        <v>847</v>
      </c>
      <c r="BZ17" s="58"/>
    </row>
    <row r="18" spans="1:78" ht="15.6" x14ac:dyDescent="0.3">
      <c r="A18" s="59" t="s">
        <v>694</v>
      </c>
      <c r="B18" s="38" t="s">
        <v>34</v>
      </c>
      <c r="C18" s="63" t="s">
        <v>35</v>
      </c>
      <c r="D18" t="s">
        <v>848</v>
      </c>
      <c r="E18" s="64" t="s">
        <v>36</v>
      </c>
      <c r="F18" s="41">
        <v>0</v>
      </c>
      <c r="G18" s="42" t="s">
        <v>849</v>
      </c>
      <c r="H18" s="42" t="s">
        <v>849</v>
      </c>
      <c r="I18" s="42" t="s">
        <v>849</v>
      </c>
      <c r="J18" s="42" t="s">
        <v>850</v>
      </c>
      <c r="K18" s="42" t="s">
        <v>851</v>
      </c>
      <c r="L18" s="42" t="s">
        <v>852</v>
      </c>
      <c r="M18" s="42" t="s">
        <v>853</v>
      </c>
      <c r="N18" s="42" t="s">
        <v>854</v>
      </c>
      <c r="O18" s="42" t="s">
        <v>855</v>
      </c>
      <c r="P18" s="42" t="s">
        <v>856</v>
      </c>
      <c r="Q18" s="42" t="s">
        <v>857</v>
      </c>
      <c r="R18" s="42" t="s">
        <v>858</v>
      </c>
      <c r="S18" s="42" t="s">
        <v>859</v>
      </c>
      <c r="T18" s="42" t="s">
        <v>860</v>
      </c>
      <c r="U18" s="42" t="s">
        <v>861</v>
      </c>
      <c r="V18" s="42" t="str">
        <f>VLOOKUP(D18,[1]ALL!$A$15:$Z$983,3,FALSE)</f>
        <v>LAW1-EL</v>
      </c>
      <c r="W18" s="43">
        <v>139718.52318886801</v>
      </c>
      <c r="X18" s="43">
        <v>22905.058328582334</v>
      </c>
      <c r="Y18" s="43">
        <v>18893.36938737781</v>
      </c>
      <c r="Z18" s="43">
        <v>110367.87552667389</v>
      </c>
      <c r="AA18" s="43">
        <v>61324.84</v>
      </c>
      <c r="AB18" s="43">
        <v>122431.39</v>
      </c>
      <c r="AC18" s="43">
        <v>190929.6</v>
      </c>
      <c r="AD18" s="43">
        <v>173450.51</v>
      </c>
      <c r="AE18" s="43">
        <v>221452.83</v>
      </c>
      <c r="AF18" s="43">
        <v>201089.55</v>
      </c>
      <c r="AG18" s="43">
        <v>176865.55</v>
      </c>
      <c r="AH18" s="43">
        <v>158333.44</v>
      </c>
      <c r="AI18" s="43">
        <v>161176.51999999999</v>
      </c>
      <c r="AJ18" s="43">
        <v>205494.58</v>
      </c>
      <c r="AK18" s="43">
        <v>288510.25</v>
      </c>
      <c r="AL18" s="44"/>
      <c r="AM18" s="45">
        <f>VLOOKUP($B18,'[2]E.U.'!$R$9:$AZ$205,11,FALSE)</f>
        <v>7434.92</v>
      </c>
      <c r="AN18" s="45">
        <f>VLOOKUP($B18,'[3]E.U.'!$R9:$AZ$225,11,FALSE)</f>
        <v>14331.7</v>
      </c>
      <c r="AO18" s="45">
        <f>VLOOKUP($B18,'[4]E.U.'!$R$9:$BZ$225,11,FALSE)</f>
        <v>22452.881126202228</v>
      </c>
      <c r="AP18" s="45">
        <f>VLOOKUP($B18,'[5]E.U.'!$R$9:$BZ$225,11,FALSE)</f>
        <v>22725.722815933295</v>
      </c>
      <c r="AQ18" s="45">
        <f>VLOOKUP($B18,'[6]E.U.'!$R$9:$CA$225,11,FALSE)</f>
        <v>32914.672279836901</v>
      </c>
      <c r="AR18" s="45">
        <f>VLOOKUP($B18,'[7]E.U.'!$R$9:$AZ$225,11,FALSE)</f>
        <v>26834.742159798832</v>
      </c>
      <c r="AS18" s="45">
        <f>VLOOKUP($B18,'[8]E.U.'!$R$9:$AZ$225,11,FALSE)</f>
        <v>15081.817438011316</v>
      </c>
      <c r="AT18" s="45">
        <f>VLOOKUP($B18,'[9]E.U.'!$R$9:$AZ$221,11,FALSE)</f>
        <v>8072.4562863592655</v>
      </c>
      <c r="AU18" s="45"/>
      <c r="AV18" s="45">
        <f>VLOOKUP($B18,'[10]E.U.'!$R$9:$AZ$221,11,FALSE)</f>
        <v>7704.7436544203883</v>
      </c>
      <c r="AW18" s="45">
        <f>VLOOKUP($B18,'[11]E.U.'!$R$9:$AZ$220,11,FALSE)</f>
        <v>11539.401270161063</v>
      </c>
      <c r="AX18" s="252"/>
      <c r="AY18" s="45">
        <f>VLOOKUP($B18,'[12]E.U.'!$R$9:$AZ$220,11,FALSE)</f>
        <v>12363.394838633241</v>
      </c>
      <c r="AZ18" s="45"/>
      <c r="BA18" s="45">
        <f>VLOOKUP($B18,'[13]E.U.'!$R$9:$AZ$221,11,FALSE)</f>
        <v>14608.596933915354</v>
      </c>
      <c r="BB18" s="46">
        <f t="shared" si="6"/>
        <v>196065.0488032719</v>
      </c>
      <c r="BC18" s="47" t="e">
        <f>SUM(#REF!)</f>
        <v>#REF!</v>
      </c>
      <c r="BD18" s="43" t="e">
        <f>VLOOKUP(V18,[14]ELECTRIC!$C$1:$H$4000,6,FALSE)</f>
        <v>#N/A</v>
      </c>
      <c r="BE18" s="43" t="e">
        <f t="shared" si="1"/>
        <v>#N/A</v>
      </c>
      <c r="BF18" s="48">
        <f t="shared" si="3"/>
        <v>196065.0488032719</v>
      </c>
      <c r="BG18" s="49">
        <f t="shared" si="2"/>
        <v>341573.32430798584</v>
      </c>
      <c r="BH18" s="43" t="e">
        <f>IF(BC18=0,0,(BB18*(AK18/BC18)))</f>
        <v>#REF!</v>
      </c>
      <c r="BI18" s="50" t="e">
        <f t="shared" si="4"/>
        <v>#REF!</v>
      </c>
      <c r="BJ18" s="51">
        <f t="shared" si="5"/>
        <v>-0.32042258878749752</v>
      </c>
      <c r="BK18" s="52"/>
      <c r="BL18" s="52"/>
      <c r="BM18" s="52"/>
      <c r="BN18" s="52"/>
      <c r="BO18" s="72" t="s">
        <v>843</v>
      </c>
      <c r="BP18" s="52"/>
      <c r="BQ18" s="52"/>
      <c r="BR18" s="50" t="s">
        <v>862</v>
      </c>
      <c r="BS18" s="75" t="s">
        <v>863</v>
      </c>
      <c r="BT18" s="53"/>
      <c r="BU18" s="54" t="s">
        <v>864</v>
      </c>
      <c r="BV18" s="55"/>
      <c r="BW18" s="55"/>
      <c r="BX18" s="66"/>
      <c r="BY18" s="67"/>
      <c r="BZ18" s="68"/>
    </row>
    <row r="19" spans="1:78" ht="15.6" x14ac:dyDescent="0.3">
      <c r="A19" s="59" t="s">
        <v>694</v>
      </c>
      <c r="B19" s="38" t="s">
        <v>37</v>
      </c>
      <c r="C19" s="1" t="s">
        <v>38</v>
      </c>
      <c r="D19" t="s">
        <v>865</v>
      </c>
      <c r="E19" s="40" t="s">
        <v>39</v>
      </c>
      <c r="F19" s="41">
        <v>0</v>
      </c>
      <c r="G19" s="42" t="s">
        <v>866</v>
      </c>
      <c r="H19" s="42" t="s">
        <v>866</v>
      </c>
      <c r="I19" s="42" t="s">
        <v>866</v>
      </c>
      <c r="J19" s="42" t="s">
        <v>867</v>
      </c>
      <c r="K19" s="42" t="s">
        <v>868</v>
      </c>
      <c r="L19" s="42" t="s">
        <v>869</v>
      </c>
      <c r="M19" s="42" t="s">
        <v>870</v>
      </c>
      <c r="N19" s="42" t="s">
        <v>871</v>
      </c>
      <c r="O19" s="42" t="s">
        <v>872</v>
      </c>
      <c r="P19" s="42" t="s">
        <v>873</v>
      </c>
      <c r="Q19" s="42" t="s">
        <v>874</v>
      </c>
      <c r="R19" s="42" t="s">
        <v>875</v>
      </c>
      <c r="S19" s="42" t="s">
        <v>876</v>
      </c>
      <c r="T19" s="42" t="s">
        <v>877</v>
      </c>
      <c r="U19" s="42" t="s">
        <v>878</v>
      </c>
      <c r="V19" s="42" t="str">
        <f>VLOOKUP(D19,[1]ALL!$A$15:$Z$983,3,FALSE)</f>
        <v>BRI-EGW</v>
      </c>
      <c r="W19" s="43">
        <v>63046.067860061121</v>
      </c>
      <c r="X19" s="43">
        <v>65335.575036138456</v>
      </c>
      <c r="Y19" s="43">
        <v>65468.80959751772</v>
      </c>
      <c r="Z19" s="43">
        <v>67086.886086679355</v>
      </c>
      <c r="AA19" s="43">
        <v>71177.259999999995</v>
      </c>
      <c r="AB19" s="43">
        <v>76550.06</v>
      </c>
      <c r="AC19" s="43">
        <v>77285.710000000006</v>
      </c>
      <c r="AD19" s="43">
        <v>90472.1</v>
      </c>
      <c r="AE19" s="43">
        <v>99726.43</v>
      </c>
      <c r="AF19" s="43">
        <v>99845.96</v>
      </c>
      <c r="AG19" s="43">
        <v>76880.69</v>
      </c>
      <c r="AH19" s="43">
        <v>60010.39</v>
      </c>
      <c r="AI19" s="43">
        <v>49756.26</v>
      </c>
      <c r="AJ19" s="43">
        <v>49665.49</v>
      </c>
      <c r="AK19" s="43">
        <v>78360.14</v>
      </c>
      <c r="AL19" s="44"/>
      <c r="AM19" s="45">
        <f>VLOOKUP($B19,'[2]E.U.'!$R$9:$AZ$205,11,FALSE)</f>
        <v>6912.65</v>
      </c>
      <c r="AN19" s="45">
        <f>VLOOKUP($B19,'[3]E.U.'!$R9:$AZ$225,11,FALSE)</f>
        <v>7321.02</v>
      </c>
      <c r="AO19" s="45">
        <f>VLOOKUP($B19,'[4]E.U.'!$R$9:$BZ$225,11,FALSE)</f>
        <v>6635.5877303675661</v>
      </c>
      <c r="AP19" s="45">
        <f>VLOOKUP($B19,'[5]E.U.'!$R$9:$BZ$225,11,FALSE)</f>
        <v>6480.6291154849496</v>
      </c>
      <c r="AQ19" s="45">
        <f>VLOOKUP($B19,'[6]E.U.'!$R$9:$CA$225,11,FALSE)</f>
        <v>7369.7815931369505</v>
      </c>
      <c r="AR19" s="45">
        <f>VLOOKUP($B19,'[7]E.U.'!$R$9:$AZ$225,11,FALSE)</f>
        <v>6998.1502456814542</v>
      </c>
      <c r="AS19" s="45">
        <f>VLOOKUP($B19,'[8]E.U.'!$R$9:$AZ$225,11,FALSE)</f>
        <v>7176.9082891140888</v>
      </c>
      <c r="AT19" s="45">
        <f>VLOOKUP($B19,'[9]E.U.'!$R$9:$AZ$221,11,FALSE)</f>
        <v>5744.5202609312428</v>
      </c>
      <c r="AU19" s="45"/>
      <c r="AV19" s="45">
        <f>VLOOKUP($B19,'[10]E.U.'!$R$9:$AZ$221,11,FALSE)</f>
        <v>6240.8994353874368</v>
      </c>
      <c r="AW19" s="45">
        <f>VLOOKUP($B19,'[11]E.U.'!$R$9:$AZ$220,11,FALSE)</f>
        <v>6493.7917498776051</v>
      </c>
      <c r="AX19" s="252"/>
      <c r="AY19" s="45">
        <f>VLOOKUP($B19,'[12]E.U.'!$R$9:$AZ$220,11,FALSE)</f>
        <v>6303.8670950014257</v>
      </c>
      <c r="AZ19" s="45"/>
      <c r="BA19" s="45">
        <f>VLOOKUP($B19,'[13]E.U.'!$R$9:$AZ$221,11,FALSE)</f>
        <v>6194.2700899088713</v>
      </c>
      <c r="BB19" s="46">
        <f t="shared" si="6"/>
        <v>79872.075604891579</v>
      </c>
      <c r="BC19" s="47" t="e">
        <f>SUM(#REF!)</f>
        <v>#REF!</v>
      </c>
      <c r="BD19" s="43" t="e">
        <f>VLOOKUP(V19,[14]ELECTRIC!$C$1:$H$4000,6,FALSE)</f>
        <v>#N/A</v>
      </c>
      <c r="BE19" s="43" t="e">
        <f t="shared" si="1"/>
        <v>#N/A</v>
      </c>
      <c r="BF19" s="48">
        <f t="shared" si="3"/>
        <v>79872.075604891579</v>
      </c>
      <c r="BG19" s="49">
        <f t="shared" si="2"/>
        <v>139148.56600023614</v>
      </c>
      <c r="BH19" s="43" t="e">
        <f>IF(BC19=0,0,(BB19*(AK19/BC19)))</f>
        <v>#REF!</v>
      </c>
      <c r="BI19" s="50" t="e">
        <f t="shared" si="4"/>
        <v>#REF!</v>
      </c>
      <c r="BJ19" s="51">
        <f t="shared" si="5"/>
        <v>1.9294702700781041E-2</v>
      </c>
      <c r="BK19" s="52"/>
      <c r="BL19" s="52"/>
      <c r="BM19" s="52"/>
      <c r="BN19" s="52"/>
      <c r="BO19" s="72"/>
      <c r="BP19" s="52"/>
      <c r="BQ19" s="52"/>
      <c r="BR19" s="50"/>
      <c r="BS19" s="53"/>
      <c r="BT19" s="53"/>
      <c r="BU19" s="65"/>
      <c r="BV19" s="55"/>
      <c r="BW19" s="55"/>
      <c r="BX19" s="56"/>
      <c r="BY19" s="67" t="s">
        <v>847</v>
      </c>
      <c r="BZ19" s="58"/>
    </row>
    <row r="20" spans="1:78" ht="14.25" customHeight="1" x14ac:dyDescent="0.3">
      <c r="A20" s="59" t="s">
        <v>694</v>
      </c>
      <c r="B20" s="38" t="s">
        <v>40</v>
      </c>
      <c r="C20" s="1" t="s">
        <v>41</v>
      </c>
      <c r="D20" t="s">
        <v>879</v>
      </c>
      <c r="E20" s="40" t="s">
        <v>42</v>
      </c>
      <c r="F20" s="41" t="s">
        <v>758</v>
      </c>
      <c r="G20" s="42" t="s">
        <v>880</v>
      </c>
      <c r="H20" s="42" t="s">
        <v>880</v>
      </c>
      <c r="I20" s="42" t="s">
        <v>880</v>
      </c>
      <c r="J20" s="42" t="s">
        <v>881</v>
      </c>
      <c r="K20" s="42" t="s">
        <v>882</v>
      </c>
      <c r="L20" s="42" t="s">
        <v>883</v>
      </c>
      <c r="M20" s="42" t="s">
        <v>884</v>
      </c>
      <c r="N20" s="42" t="s">
        <v>885</v>
      </c>
      <c r="O20" s="42" t="s">
        <v>886</v>
      </c>
      <c r="P20" s="42" t="s">
        <v>887</v>
      </c>
      <c r="Q20" s="42" t="s">
        <v>888</v>
      </c>
      <c r="R20" s="42" t="s">
        <v>889</v>
      </c>
      <c r="S20" s="42" t="s">
        <v>890</v>
      </c>
      <c r="T20" s="42" t="s">
        <v>891</v>
      </c>
      <c r="U20" s="42" t="s">
        <v>892</v>
      </c>
      <c r="V20" s="42" t="str">
        <f>VLOOKUP(D20,[1]ALL!$A$15:$Z$983,3,FALSE)</f>
        <v>CEM-EGW</v>
      </c>
      <c r="W20" s="43">
        <v>25058.683430277586</v>
      </c>
      <c r="X20" s="43">
        <v>25275.514225978455</v>
      </c>
      <c r="Y20" s="43">
        <v>25270.348032003229</v>
      </c>
      <c r="Z20" s="43">
        <v>21858.019909848841</v>
      </c>
      <c r="AA20" s="43">
        <v>20531.060000000001</v>
      </c>
      <c r="AB20" s="43">
        <v>21008.01</v>
      </c>
      <c r="AC20" s="43">
        <v>21122.1</v>
      </c>
      <c r="AD20" s="43">
        <v>24964.94</v>
      </c>
      <c r="AE20" s="43">
        <v>32308.04</v>
      </c>
      <c r="AF20" s="43">
        <v>37649.160000000003</v>
      </c>
      <c r="AG20" s="43">
        <v>30353.74</v>
      </c>
      <c r="AH20" s="43">
        <v>36148.28</v>
      </c>
      <c r="AI20" s="43">
        <v>41961.64</v>
      </c>
      <c r="AJ20" s="43">
        <v>46626.42</v>
      </c>
      <c r="AK20" s="43">
        <v>48985.38</v>
      </c>
      <c r="AL20" s="44"/>
      <c r="AM20" s="45">
        <f>VLOOKUP($B20,'[2]E.U.'!$R$9:$AZ$205,11,FALSE)</f>
        <v>3798.85</v>
      </c>
      <c r="AN20" s="45">
        <f>VLOOKUP($B20,'[3]E.U.'!$R9:$AZ$225,11,FALSE)</f>
        <v>3482.4</v>
      </c>
      <c r="AO20" s="45">
        <f>VLOOKUP($B20,'[4]E.U.'!$R$9:$BZ$225,11,FALSE)</f>
        <v>3853.5601163949959</v>
      </c>
      <c r="AP20" s="45">
        <f>VLOOKUP($B20,'[5]E.U.'!$R$9:$BZ$225,11,FALSE)</f>
        <v>4073.6265015166719</v>
      </c>
      <c r="AQ20" s="45">
        <f>VLOOKUP($B20,'[6]E.U.'!$R$9:$CA$225,11,FALSE)</f>
        <v>4331.8758563122738</v>
      </c>
      <c r="AR20" s="45">
        <f>VLOOKUP($B20,'[7]E.U.'!$R$9:$AZ$225,11,FALSE)</f>
        <v>3940.5196020332514</v>
      </c>
      <c r="AS20" s="45">
        <f>VLOOKUP($B20,'[8]E.U.'!$R$9:$AZ$225,11,FALSE)</f>
        <v>3832.0151929485155</v>
      </c>
      <c r="AT20" s="45">
        <f>VLOOKUP($B20,'[9]E.U.'!$R$9:$AZ$221,11,FALSE)</f>
        <v>3562.6127796318856</v>
      </c>
      <c r="AU20" s="45"/>
      <c r="AV20" s="45">
        <f>VLOOKUP($B20,'[10]E.U.'!$R$9:$AZ$221,11,FALSE)</f>
        <v>3524.378611344147</v>
      </c>
      <c r="AW20" s="45">
        <f>VLOOKUP($B20,'[11]E.U.'!$R$9:$AZ$220,11,FALSE)</f>
        <v>3319.1545788032827</v>
      </c>
      <c r="AX20" s="252"/>
      <c r="AY20" s="45">
        <f>VLOOKUP($B20,'[12]E.U.'!$R$9:$AZ$220,11,FALSE)</f>
        <v>3397.900260049455</v>
      </c>
      <c r="AZ20" s="45"/>
      <c r="BA20" s="45">
        <f>VLOOKUP($B20,'[13]E.U.'!$R$9:$AZ$221,11,FALSE)</f>
        <v>3178.4531202483759</v>
      </c>
      <c r="BB20" s="46">
        <f t="shared" si="6"/>
        <v>44295.346619282856</v>
      </c>
      <c r="BC20" s="47" t="e">
        <f>SUM(#REF!)</f>
        <v>#REF!</v>
      </c>
      <c r="BD20" s="43" t="e">
        <f>VLOOKUP(V20,[14]ELECTRIC!$C$1:$H$4000,6,FALSE)</f>
        <v>#N/A</v>
      </c>
      <c r="BE20" s="43" t="e">
        <f t="shared" si="1"/>
        <v>#N/A</v>
      </c>
      <c r="BF20" s="48">
        <f t="shared" si="3"/>
        <v>44295.346619282856</v>
      </c>
      <c r="BG20" s="49">
        <f t="shared" si="2"/>
        <v>77168.821717450628</v>
      </c>
      <c r="BH20" s="43" t="e">
        <f>IF(BC20=0,0,(BB20*(AK20/BC20)))</f>
        <v>#REF!</v>
      </c>
      <c r="BI20" s="50" t="e">
        <f t="shared" si="4"/>
        <v>#REF!</v>
      </c>
      <c r="BJ20" s="51">
        <f t="shared" si="5"/>
        <v>-9.5743533697546956E-2</v>
      </c>
      <c r="BK20" s="52"/>
      <c r="BL20" s="52"/>
      <c r="BM20" s="52"/>
      <c r="BN20" s="52"/>
      <c r="BO20" s="72"/>
      <c r="BP20" s="52"/>
      <c r="BQ20" s="52"/>
      <c r="BR20" s="50"/>
      <c r="BS20" s="53"/>
      <c r="BT20" s="53"/>
      <c r="BU20" s="65"/>
      <c r="BV20" s="55"/>
      <c r="BW20" s="55"/>
      <c r="BX20" s="56"/>
      <c r="BY20" s="67"/>
      <c r="BZ20" s="58"/>
    </row>
    <row r="21" spans="1:78" ht="14.25" customHeight="1" x14ac:dyDescent="0.3">
      <c r="A21" s="76" t="s">
        <v>739</v>
      </c>
      <c r="B21" s="38" t="s">
        <v>43</v>
      </c>
      <c r="C21" s="63" t="s">
        <v>893</v>
      </c>
      <c r="D21"/>
      <c r="E21" s="40" t="s">
        <v>48</v>
      </c>
      <c r="F21" s="41">
        <v>0</v>
      </c>
      <c r="G21" s="42" t="s">
        <v>894</v>
      </c>
      <c r="H21" s="42" t="s">
        <v>895</v>
      </c>
      <c r="I21" s="42" t="s">
        <v>896</v>
      </c>
      <c r="J21" s="42" t="s">
        <v>897</v>
      </c>
      <c r="K21" s="42" t="s">
        <v>898</v>
      </c>
      <c r="L21" s="42" t="s">
        <v>899</v>
      </c>
      <c r="M21" s="42" t="s">
        <v>900</v>
      </c>
      <c r="N21" s="42" t="s">
        <v>901</v>
      </c>
      <c r="O21" s="42" t="s">
        <v>902</v>
      </c>
      <c r="P21" s="42" t="s">
        <v>903</v>
      </c>
      <c r="Q21" s="42" t="s">
        <v>904</v>
      </c>
      <c r="R21" s="42"/>
      <c r="S21" s="42"/>
      <c r="T21" s="42"/>
      <c r="U21" s="42"/>
      <c r="V21" s="42"/>
      <c r="W21" s="43">
        <v>89340.582361812121</v>
      </c>
      <c r="X21" s="43">
        <v>86143.662512897674</v>
      </c>
      <c r="Y21" s="43">
        <v>79914.530011726514</v>
      </c>
      <c r="Z21" s="43">
        <v>82810.952267788554</v>
      </c>
      <c r="AA21" s="43">
        <v>82638.47</v>
      </c>
      <c r="AB21" s="43">
        <v>90176.87</v>
      </c>
      <c r="AC21" s="43">
        <v>95971.854999999996</v>
      </c>
      <c r="AD21" s="43">
        <v>99834.069766000015</v>
      </c>
      <c r="AE21" s="43">
        <v>7164.9749599999996</v>
      </c>
      <c r="AF21" s="43">
        <v>0</v>
      </c>
      <c r="AG21" s="43">
        <v>0</v>
      </c>
      <c r="AH21" s="43">
        <v>0</v>
      </c>
      <c r="AI21" s="43">
        <v>0</v>
      </c>
      <c r="AJ21" s="43"/>
      <c r="AK21" s="43"/>
      <c r="AL21" s="44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6"/>
      <c r="BC21" s="47"/>
      <c r="BD21" s="43"/>
      <c r="BE21" s="43"/>
      <c r="BF21" s="48">
        <f t="shared" si="3"/>
        <v>0</v>
      </c>
      <c r="BG21" s="49"/>
      <c r="BH21" s="43"/>
      <c r="BI21" s="50">
        <f t="shared" si="4"/>
        <v>0</v>
      </c>
      <c r="BJ21" s="51">
        <f t="shared" si="5"/>
        <v>0</v>
      </c>
      <c r="BK21" s="52"/>
      <c r="BL21" s="52"/>
      <c r="BM21" s="52"/>
      <c r="BN21" s="52"/>
      <c r="BO21" s="72"/>
      <c r="BP21" s="52"/>
      <c r="BQ21" s="52"/>
      <c r="BR21" s="50"/>
      <c r="BS21" s="53"/>
      <c r="BT21" s="53"/>
      <c r="BU21" s="65"/>
      <c r="BV21" s="55"/>
      <c r="BW21" s="55"/>
      <c r="BX21" s="56"/>
      <c r="BY21" s="77"/>
      <c r="BZ21" s="58"/>
    </row>
    <row r="22" spans="1:78" ht="14.25" customHeight="1" x14ac:dyDescent="0.3">
      <c r="A22" s="76" t="s">
        <v>739</v>
      </c>
      <c r="B22" s="38" t="s">
        <v>46</v>
      </c>
      <c r="C22" s="63" t="s">
        <v>905</v>
      </c>
      <c r="D22"/>
      <c r="E22" s="40" t="s">
        <v>45</v>
      </c>
      <c r="F22" s="41">
        <v>0</v>
      </c>
      <c r="G22" s="42" t="s">
        <v>906</v>
      </c>
      <c r="H22" s="42" t="s">
        <v>906</v>
      </c>
      <c r="I22" s="42" t="s">
        <v>906</v>
      </c>
      <c r="J22" s="42" t="s">
        <v>907</v>
      </c>
      <c r="K22" s="42" t="s">
        <v>908</v>
      </c>
      <c r="L22" s="42" t="s">
        <v>909</v>
      </c>
      <c r="M22" s="42" t="s">
        <v>910</v>
      </c>
      <c r="N22" s="42" t="s">
        <v>911</v>
      </c>
      <c r="O22" s="42" t="s">
        <v>912</v>
      </c>
      <c r="P22" s="42" t="s">
        <v>913</v>
      </c>
      <c r="Q22" s="42" t="s">
        <v>914</v>
      </c>
      <c r="R22" s="42"/>
      <c r="S22" s="42"/>
      <c r="T22" s="42"/>
      <c r="U22" s="42"/>
      <c r="V22" s="42"/>
      <c r="W22" s="43">
        <v>3398.5306982722364</v>
      </c>
      <c r="X22" s="43">
        <v>3523.936646983323</v>
      </c>
      <c r="Y22" s="43">
        <v>3269.117340960604</v>
      </c>
      <c r="Z22" s="43">
        <v>1292.48682469188</v>
      </c>
      <c r="AA22" s="43">
        <v>2333.04</v>
      </c>
      <c r="AB22" s="43">
        <v>2502.34</v>
      </c>
      <c r="AC22" s="43">
        <v>2663.1449999999995</v>
      </c>
      <c r="AD22" s="43">
        <v>2595.600234</v>
      </c>
      <c r="AE22" s="43">
        <v>185.22504000000001</v>
      </c>
      <c r="AF22" s="43">
        <v>0</v>
      </c>
      <c r="AG22" s="43">
        <v>0</v>
      </c>
      <c r="AH22" s="43">
        <v>0</v>
      </c>
      <c r="AI22" s="43">
        <v>0</v>
      </c>
      <c r="AJ22" s="43"/>
      <c r="AK22" s="43"/>
      <c r="AL22" s="44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6"/>
      <c r="BC22" s="47"/>
      <c r="BD22" s="43"/>
      <c r="BE22" s="43"/>
      <c r="BF22" s="48">
        <f t="shared" si="3"/>
        <v>0</v>
      </c>
      <c r="BG22" s="49"/>
      <c r="BH22" s="43"/>
      <c r="BI22" s="50">
        <f t="shared" si="4"/>
        <v>0</v>
      </c>
      <c r="BJ22" s="51">
        <f t="shared" si="5"/>
        <v>0</v>
      </c>
      <c r="BK22" s="52"/>
      <c r="BL22" s="52"/>
      <c r="BM22" s="52"/>
      <c r="BN22" s="52"/>
      <c r="BO22" s="72"/>
      <c r="BP22" s="52"/>
      <c r="BQ22" s="52"/>
      <c r="BR22" s="50"/>
      <c r="BS22" s="53"/>
      <c r="BT22" s="53"/>
      <c r="BU22" s="65"/>
      <c r="BV22" s="55"/>
      <c r="BW22" s="55"/>
      <c r="BX22" s="56"/>
      <c r="BY22" s="77"/>
      <c r="BZ22" s="58"/>
    </row>
    <row r="23" spans="1:78" ht="15.6" x14ac:dyDescent="0.3">
      <c r="A23" s="59" t="s">
        <v>694</v>
      </c>
      <c r="B23" s="38" t="s">
        <v>49</v>
      </c>
      <c r="C23" s="1" t="s">
        <v>50</v>
      </c>
      <c r="D23" t="s">
        <v>915</v>
      </c>
      <c r="E23" s="40" t="s">
        <v>51</v>
      </c>
      <c r="F23" s="41">
        <v>0</v>
      </c>
      <c r="G23" s="42" t="s">
        <v>916</v>
      </c>
      <c r="H23" s="42" t="s">
        <v>916</v>
      </c>
      <c r="I23" s="42" t="s">
        <v>916</v>
      </c>
      <c r="J23" s="42" t="s">
        <v>917</v>
      </c>
      <c r="K23" s="42" t="s">
        <v>918</v>
      </c>
      <c r="L23" s="42" t="s">
        <v>919</v>
      </c>
      <c r="M23" s="42" t="s">
        <v>920</v>
      </c>
      <c r="N23" s="42" t="s">
        <v>921</v>
      </c>
      <c r="O23" s="42" t="s">
        <v>922</v>
      </c>
      <c r="P23" s="42" t="s">
        <v>923</v>
      </c>
      <c r="Q23" s="42" t="s">
        <v>924</v>
      </c>
      <c r="R23" s="42" t="s">
        <v>925</v>
      </c>
      <c r="S23" s="42" t="s">
        <v>926</v>
      </c>
      <c r="T23" s="42" t="s">
        <v>927</v>
      </c>
      <c r="U23" s="42" t="s">
        <v>928</v>
      </c>
      <c r="V23" s="42" t="str">
        <f>VLOOKUP(D23,[1]ALL!$A$15:$Z$983,3,FALSE)</f>
        <v>AHN-ELC</v>
      </c>
      <c r="W23" s="43">
        <v>0</v>
      </c>
      <c r="X23" s="43">
        <v>0</v>
      </c>
      <c r="Y23" s="43">
        <v>0</v>
      </c>
      <c r="Z23" s="43">
        <v>0</v>
      </c>
      <c r="AA23" s="43">
        <v>194.31</v>
      </c>
      <c r="AB23" s="43">
        <v>1544.26</v>
      </c>
      <c r="AC23" s="43">
        <v>2258.9</v>
      </c>
      <c r="AD23" s="43">
        <v>2238.02</v>
      </c>
      <c r="AE23" s="43">
        <v>2111.42</v>
      </c>
      <c r="AF23" s="43">
        <v>2158.3000000000002</v>
      </c>
      <c r="AG23" s="43">
        <v>2354.75</v>
      </c>
      <c r="AH23" s="43">
        <v>2292.96</v>
      </c>
      <c r="AI23" s="43">
        <v>4865.72</v>
      </c>
      <c r="AJ23" s="43">
        <v>5920.61</v>
      </c>
      <c r="AK23" s="43">
        <v>8993.91</v>
      </c>
      <c r="AL23" s="44"/>
      <c r="AM23" s="45">
        <f>VLOOKUP($B23,'[2]E.U.'!$R$9:$AZ$205,11,FALSE)</f>
        <v>577.02</v>
      </c>
      <c r="AN23" s="45">
        <f>VLOOKUP($B23,'[3]E.U.'!$R9:$AZ$225,11,FALSE)</f>
        <v>3.66</v>
      </c>
      <c r="AO23" s="45">
        <f>VLOOKUP($B23,'[4]E.U.'!$R$9:$BZ$225,11,FALSE)</f>
        <v>519.98377112695971</v>
      </c>
      <c r="AP23" s="45">
        <f>VLOOKUP($B23,'[5]E.U.'!$R$9:$BZ$225,11,FALSE)</f>
        <v>475.43374451068541</v>
      </c>
      <c r="AQ23" s="45">
        <f>VLOOKUP($B23,'[6]E.U.'!$R$9:$CA$225,11,FALSE)</f>
        <v>243.2381138682064</v>
      </c>
      <c r="AR23" s="45">
        <f>VLOOKUP($B23,'[7]E.U.'!$R$9:$AZ$225,11,FALSE)</f>
        <v>255.17031842305857</v>
      </c>
      <c r="AS23" s="45">
        <f>VLOOKUP($B23,'[8]E.U.'!$R$9:$AZ$225,11,FALSE)</f>
        <v>213.86053188468406</v>
      </c>
      <c r="AT23" s="45">
        <f>VLOOKUP($B23,'[9]E.U.'!$R$9:$AZ$221,11,FALSE)</f>
        <v>258.57754406557314</v>
      </c>
      <c r="AU23" s="45"/>
      <c r="AV23" s="45">
        <f>VLOOKUP($B23,'[10]E.U.'!$R$9:$AZ$221,11,FALSE)</f>
        <v>239.19755460280629</v>
      </c>
      <c r="AW23" s="45">
        <f>VLOOKUP($B23,'[11]E.U.'!$R$9:$AZ$220,11,FALSE)</f>
        <v>226.87595143434791</v>
      </c>
      <c r="AX23" s="252"/>
      <c r="AY23" s="45">
        <f>VLOOKUP($B23,'[12]E.U.'!$R$9:$AZ$220,11,FALSE)</f>
        <v>179.91722520539778</v>
      </c>
      <c r="AZ23" s="45"/>
      <c r="BA23" s="45">
        <f>VLOOKUP($B23,'[13]E.U.'!$R$9:$AZ$221,11,FALSE)</f>
        <v>227.39350672330301</v>
      </c>
      <c r="BB23" s="46">
        <f t="shared" si="6"/>
        <v>3420.3282618450212</v>
      </c>
      <c r="BC23" s="47" t="e">
        <f>SUM(#REF!)</f>
        <v>#REF!</v>
      </c>
      <c r="BD23" s="43" t="e">
        <f>VLOOKUP(V23,[14]ELECTRIC!$C$1:$H$4000,6,FALSE)</f>
        <v>#N/A</v>
      </c>
      <c r="BE23" s="43" t="e">
        <f t="shared" si="1"/>
        <v>#N/A</v>
      </c>
      <c r="BF23" s="48">
        <f t="shared" si="3"/>
        <v>3420.3282618450212</v>
      </c>
      <c r="BG23" s="49">
        <f t="shared" si="2"/>
        <v>5958.7004504571478</v>
      </c>
      <c r="BH23" s="43" t="e">
        <f>IF(BC23=0,0,(BB23*(AK23/BC23)))</f>
        <v>#REF!</v>
      </c>
      <c r="BI23" s="50" t="e">
        <f t="shared" si="4"/>
        <v>#REF!</v>
      </c>
      <c r="BJ23" s="51">
        <f t="shared" si="5"/>
        <v>-0.61970619431982077</v>
      </c>
      <c r="BK23" s="52"/>
      <c r="BL23" s="52"/>
      <c r="BM23" s="52"/>
      <c r="BN23" s="52"/>
      <c r="BO23" s="72"/>
      <c r="BP23" s="52"/>
      <c r="BQ23" s="52"/>
      <c r="BR23" s="75" t="s">
        <v>929</v>
      </c>
      <c r="BS23" s="75" t="s">
        <v>930</v>
      </c>
      <c r="BT23" s="75" t="s">
        <v>930</v>
      </c>
      <c r="BU23" s="65"/>
      <c r="BV23" s="55"/>
      <c r="BW23" s="55"/>
      <c r="BX23" s="56"/>
      <c r="BY23" s="67"/>
      <c r="BZ23" s="58"/>
    </row>
    <row r="24" spans="1:78" ht="15.6" x14ac:dyDescent="0.3">
      <c r="A24" s="59" t="s">
        <v>694</v>
      </c>
      <c r="B24" s="38" t="s">
        <v>52</v>
      </c>
      <c r="C24" s="1" t="s">
        <v>53</v>
      </c>
      <c r="D24" t="s">
        <v>931</v>
      </c>
      <c r="E24" s="40" t="s">
        <v>54</v>
      </c>
      <c r="F24" s="41">
        <v>0</v>
      </c>
      <c r="G24" s="42" t="s">
        <v>932</v>
      </c>
      <c r="H24" s="42" t="s">
        <v>932</v>
      </c>
      <c r="I24" s="42" t="s">
        <v>932</v>
      </c>
      <c r="J24" s="42" t="s">
        <v>933</v>
      </c>
      <c r="K24" s="42" t="s">
        <v>934</v>
      </c>
      <c r="L24" s="42" t="s">
        <v>935</v>
      </c>
      <c r="M24" s="42" t="s">
        <v>936</v>
      </c>
      <c r="N24" s="42" t="s">
        <v>937</v>
      </c>
      <c r="O24" s="42" t="s">
        <v>938</v>
      </c>
      <c r="P24" s="42" t="s">
        <v>939</v>
      </c>
      <c r="Q24" s="42" t="s">
        <v>940</v>
      </c>
      <c r="R24" s="42" t="s">
        <v>941</v>
      </c>
      <c r="S24" s="42" t="s">
        <v>942</v>
      </c>
      <c r="T24" s="42" t="s">
        <v>943</v>
      </c>
      <c r="U24" s="42" t="s">
        <v>944</v>
      </c>
      <c r="V24" s="42" t="str">
        <f>VLOOKUP(D24,[1]ALL!$A$15:$Z$983,3,FALSE)</f>
        <v>CAS-EGW</v>
      </c>
      <c r="W24" s="43">
        <v>20787.745210359451</v>
      </c>
      <c r="X24" s="43">
        <v>15181.41331875138</v>
      </c>
      <c r="Y24" s="43">
        <v>14757.968355105149</v>
      </c>
      <c r="Z24" s="43">
        <v>18687.852597448207</v>
      </c>
      <c r="AA24" s="43">
        <v>16246.39</v>
      </c>
      <c r="AB24" s="43">
        <v>17521.05</v>
      </c>
      <c r="AC24" s="43">
        <v>18301.07</v>
      </c>
      <c r="AD24" s="43">
        <v>20165.400000000001</v>
      </c>
      <c r="AE24" s="43">
        <v>18224.560000000001</v>
      </c>
      <c r="AF24" s="43">
        <v>26567.66</v>
      </c>
      <c r="AG24" s="43">
        <v>26432.14</v>
      </c>
      <c r="AH24" s="43">
        <v>26275.8</v>
      </c>
      <c r="AI24" s="43">
        <v>27601.19</v>
      </c>
      <c r="AJ24" s="43">
        <v>23064.09</v>
      </c>
      <c r="AK24" s="43">
        <v>12738.1</v>
      </c>
      <c r="AL24" s="44"/>
      <c r="AM24" s="45">
        <f>VLOOKUP($B24,'[2]E.U.'!$R$9:$AZ$205,11,FALSE)</f>
        <v>1790.85</v>
      </c>
      <c r="AN24" s="45">
        <f>VLOOKUP($B24,'[3]E.U.'!$R9:$AZ$225,11,FALSE)</f>
        <v>2510.37</v>
      </c>
      <c r="AO24" s="45">
        <f>VLOOKUP($B24,'[4]E.U.'!$R$9:$BZ$225,11,FALSE)</f>
        <v>2435.0124427878559</v>
      </c>
      <c r="AP24" s="45">
        <f>VLOOKUP($B24,'[5]E.U.'!$R$9:$BZ$225,11,FALSE)</f>
        <v>2371.9978145893206</v>
      </c>
      <c r="AQ24" s="45">
        <f>VLOOKUP($B24,'[6]E.U.'!$R$9:$CA$225,11,FALSE)</f>
        <v>2505.8001347409859</v>
      </c>
      <c r="AR24" s="45">
        <f>VLOOKUP($B24,'[7]E.U.'!$R$9:$AZ$225,11,FALSE)</f>
        <v>1796.3663492342976</v>
      </c>
      <c r="AS24" s="45">
        <f>VLOOKUP($B24,'[8]E.U.'!$R$9:$AZ$225,11,FALSE)</f>
        <v>1356.5688378128857</v>
      </c>
      <c r="AT24" s="45">
        <f>VLOOKUP($B24,'[9]E.U.'!$R$9:$AZ$221,11,FALSE)</f>
        <v>1261.8129258623712</v>
      </c>
      <c r="AU24" s="45"/>
      <c r="AV24" s="45">
        <f>VLOOKUP($B24,'[10]E.U.'!$R$9:$AZ$221,11,FALSE)</f>
        <v>1253.8042928858995</v>
      </c>
      <c r="AW24" s="45">
        <f>VLOOKUP($B24,'[11]E.U.'!$R$9:$AZ$220,11,FALSE)</f>
        <v>1610.1141899914855</v>
      </c>
      <c r="AX24" s="252"/>
      <c r="AY24" s="45">
        <f>VLOOKUP($B24,'[12]E.U.'!$R$9:$AZ$220,11,FALSE)</f>
        <v>1401.7326585717733</v>
      </c>
      <c r="AZ24" s="45"/>
      <c r="BA24" s="45">
        <f>VLOOKUP($B24,'[13]E.U.'!$R$9:$AZ$221,11,FALSE)</f>
        <v>1201.7327064831613</v>
      </c>
      <c r="BB24" s="46">
        <f t="shared" si="6"/>
        <v>21496.16235296004</v>
      </c>
      <c r="BC24" s="47" t="e">
        <f>SUM(#REF!)</f>
        <v>#REF!</v>
      </c>
      <c r="BD24" s="43" t="e">
        <f>VLOOKUP(V24,[14]ELECTRIC!$C$1:$H$4000,6,FALSE)</f>
        <v>#N/A</v>
      </c>
      <c r="BE24" s="43" t="e">
        <f t="shared" si="1"/>
        <v>#N/A</v>
      </c>
      <c r="BF24" s="48">
        <f t="shared" si="3"/>
        <v>21496.16235296004</v>
      </c>
      <c r="BG24" s="49">
        <f t="shared" si="2"/>
        <v>37449.385699192528</v>
      </c>
      <c r="BH24" s="43" t="e">
        <f>IF(BC24=0,0,(BB24*(AK24/BC24)))</f>
        <v>#REF!</v>
      </c>
      <c r="BI24" s="50" t="e">
        <f t="shared" si="4"/>
        <v>#REF!</v>
      </c>
      <c r="BJ24" s="51">
        <f t="shared" si="5"/>
        <v>0.68754856320487656</v>
      </c>
      <c r="BK24" s="52"/>
      <c r="BL24" s="52"/>
      <c r="BM24" s="52"/>
      <c r="BN24" s="52"/>
      <c r="BO24" s="72" t="s">
        <v>945</v>
      </c>
      <c r="BP24" s="52"/>
      <c r="BQ24" s="52"/>
      <c r="BR24" s="50"/>
      <c r="BS24" s="53"/>
      <c r="BT24" s="53"/>
      <c r="BU24" s="65"/>
      <c r="BV24" s="55"/>
      <c r="BW24" s="55"/>
      <c r="BX24" s="56"/>
      <c r="BY24" s="67"/>
      <c r="BZ24" s="58"/>
    </row>
    <row r="25" spans="1:78" ht="15.6" x14ac:dyDescent="0.3">
      <c r="A25" s="59" t="s">
        <v>694</v>
      </c>
      <c r="B25" s="38" t="s">
        <v>55</v>
      </c>
      <c r="C25" s="1" t="s">
        <v>56</v>
      </c>
      <c r="D25" t="s">
        <v>946</v>
      </c>
      <c r="E25" s="40" t="s">
        <v>57</v>
      </c>
      <c r="F25" s="41">
        <v>0</v>
      </c>
      <c r="G25" s="42" t="s">
        <v>895</v>
      </c>
      <c r="H25" s="42" t="s">
        <v>895</v>
      </c>
      <c r="I25" s="42" t="s">
        <v>895</v>
      </c>
      <c r="J25" s="42" t="s">
        <v>947</v>
      </c>
      <c r="K25" s="42" t="s">
        <v>948</v>
      </c>
      <c r="L25" s="42" t="s">
        <v>949</v>
      </c>
      <c r="M25" s="42" t="s">
        <v>950</v>
      </c>
      <c r="N25" s="42" t="s">
        <v>951</v>
      </c>
      <c r="O25" s="42" t="s">
        <v>952</v>
      </c>
      <c r="P25" s="42" t="s">
        <v>953</v>
      </c>
      <c r="Q25" s="42" t="s">
        <v>954</v>
      </c>
      <c r="R25" s="42" t="s">
        <v>955</v>
      </c>
      <c r="S25" s="42" t="s">
        <v>956</v>
      </c>
      <c r="T25" s="42" t="s">
        <v>957</v>
      </c>
      <c r="U25" s="42" t="s">
        <v>958</v>
      </c>
      <c r="V25" s="42" t="str">
        <f>VLOOKUP(D25,[1]ALL!$A$15:$Z$983,3,FALSE)</f>
        <v>HER-EGW</v>
      </c>
      <c r="W25" s="43">
        <v>143564.71388783527</v>
      </c>
      <c r="X25" s="43">
        <v>126554.85035549152</v>
      </c>
      <c r="Y25" s="43">
        <v>115316.73437614484</v>
      </c>
      <c r="Z25" s="43">
        <v>126581.25237652994</v>
      </c>
      <c r="AA25" s="43">
        <v>133533.71</v>
      </c>
      <c r="AB25" s="43">
        <v>134493.87</v>
      </c>
      <c r="AC25" s="43">
        <v>141935.35</v>
      </c>
      <c r="AD25" s="43">
        <v>138354.79999999999</v>
      </c>
      <c r="AE25" s="43">
        <v>156943.19</v>
      </c>
      <c r="AF25" s="43">
        <v>177444.4</v>
      </c>
      <c r="AG25" s="43">
        <v>166639.43</v>
      </c>
      <c r="AH25" s="43">
        <v>167580.35</v>
      </c>
      <c r="AI25" s="43">
        <v>105956.14</v>
      </c>
      <c r="AJ25" s="43">
        <v>48044.9</v>
      </c>
      <c r="AK25" s="43">
        <v>145098.76999999999</v>
      </c>
      <c r="AL25" s="44"/>
      <c r="AM25" s="45">
        <f>VLOOKUP($B25,'[2]E.U.'!$R$9:$AZ$205,11,FALSE)</f>
        <v>12797.58</v>
      </c>
      <c r="AN25" s="45">
        <f>VLOOKUP($B25,'[3]E.U.'!$R9:$AZ$225,11,FALSE)</f>
        <v>14635.65</v>
      </c>
      <c r="AO25" s="45">
        <f>VLOOKUP($B25,'[4]E.U.'!$R$9:$BZ$225,11,FALSE)</f>
        <v>13417.126934909003</v>
      </c>
      <c r="AP25" s="45">
        <f>VLOOKUP($B25,'[5]E.U.'!$R$9:$BZ$225,11,FALSE)</f>
        <v>13795.837554143092</v>
      </c>
      <c r="AQ25" s="45">
        <f>VLOOKUP($B25,'[6]E.U.'!$R$9:$CA$225,11,FALSE)</f>
        <v>14596.72722223346</v>
      </c>
      <c r="AR25" s="45">
        <f>VLOOKUP($B25,'[7]E.U.'!$R$9:$AZ$225,11,FALSE)</f>
        <v>13225.877241056791</v>
      </c>
      <c r="AS25" s="45">
        <f>VLOOKUP($B25,'[8]E.U.'!$R$9:$AZ$225,11,FALSE)</f>
        <v>13922.478355273044</v>
      </c>
      <c r="AT25" s="45">
        <f>VLOOKUP($B25,'[9]E.U.'!$R$9:$AZ$221,11,FALSE)</f>
        <v>11728.237744410724</v>
      </c>
      <c r="AU25" s="45"/>
      <c r="AV25" s="45">
        <f>VLOOKUP($B25,'[10]E.U.'!$R$9:$AZ$221,11,FALSE)</f>
        <v>11493.80522414157</v>
      </c>
      <c r="AW25" s="45">
        <f>VLOOKUP($B25,'[11]E.U.'!$R$9:$AZ$220,11,FALSE)</f>
        <v>11370.246745033814</v>
      </c>
      <c r="AX25" s="252"/>
      <c r="AY25" s="45">
        <f>VLOOKUP($B25,'[12]E.U.'!$R$9:$AZ$220,11,FALSE)</f>
        <v>11596.576300221808</v>
      </c>
      <c r="AZ25" s="45"/>
      <c r="BA25" s="45">
        <f>VLOOKUP($B25,'[13]E.U.'!$R$9:$AZ$221,11,FALSE)</f>
        <v>11206.601652912044</v>
      </c>
      <c r="BB25" s="46">
        <f t="shared" si="6"/>
        <v>153786.74497433534</v>
      </c>
      <c r="BC25" s="47" t="e">
        <f>SUM(#REF!)</f>
        <v>#REF!</v>
      </c>
      <c r="BD25" s="43" t="e">
        <f>VLOOKUP(V25,[14]ELECTRIC!$C$1:$H$4000,6,FALSE)</f>
        <v>#N/A</v>
      </c>
      <c r="BE25" s="43" t="e">
        <f t="shared" si="1"/>
        <v>#N/A</v>
      </c>
      <c r="BF25" s="48">
        <f t="shared" si="3"/>
        <v>153786.74497433534</v>
      </c>
      <c r="BG25" s="49">
        <f t="shared" si="2"/>
        <v>267918.47928028851</v>
      </c>
      <c r="BH25" s="43">
        <f>BF25</f>
        <v>153786.74497433534</v>
      </c>
      <c r="BI25" s="50" t="e">
        <f t="shared" si="4"/>
        <v>#REF!</v>
      </c>
      <c r="BJ25" s="51">
        <f t="shared" si="5"/>
        <v>5.9876282716492701E-2</v>
      </c>
      <c r="BK25" s="52"/>
      <c r="BL25" s="52"/>
      <c r="BM25" s="52"/>
      <c r="BN25" s="52"/>
      <c r="BO25" s="72" t="s">
        <v>959</v>
      </c>
      <c r="BP25" s="52"/>
      <c r="BQ25" s="52"/>
      <c r="BR25" s="50"/>
      <c r="BS25" s="53"/>
      <c r="BT25" s="53"/>
      <c r="BU25" s="65"/>
      <c r="BV25" s="55"/>
      <c r="BW25" s="55"/>
      <c r="BX25" s="56"/>
      <c r="BY25" s="67" t="s">
        <v>847</v>
      </c>
      <c r="BZ25" s="58"/>
    </row>
    <row r="26" spans="1:78" ht="15.6" x14ac:dyDescent="0.3">
      <c r="A26" s="59" t="s">
        <v>694</v>
      </c>
      <c r="B26" s="38" t="s">
        <v>58</v>
      </c>
      <c r="C26" s="63" t="s">
        <v>59</v>
      </c>
      <c r="D26" t="s">
        <v>960</v>
      </c>
      <c r="E26" s="40" t="s">
        <v>60</v>
      </c>
      <c r="F26" s="41">
        <v>0</v>
      </c>
      <c r="G26" s="42" t="s">
        <v>961</v>
      </c>
      <c r="H26" s="42" t="s">
        <v>961</v>
      </c>
      <c r="I26" s="42" t="s">
        <v>961</v>
      </c>
      <c r="J26" s="42" t="s">
        <v>962</v>
      </c>
      <c r="K26" s="42" t="s">
        <v>963</v>
      </c>
      <c r="L26" s="42" t="s">
        <v>964</v>
      </c>
      <c r="M26" s="42" t="s">
        <v>965</v>
      </c>
      <c r="N26" s="42" t="s">
        <v>966</v>
      </c>
      <c r="O26" s="42" t="s">
        <v>967</v>
      </c>
      <c r="P26" s="42" t="s">
        <v>968</v>
      </c>
      <c r="Q26" s="42" t="s">
        <v>969</v>
      </c>
      <c r="R26" s="42" t="s">
        <v>970</v>
      </c>
      <c r="S26" s="42" t="s">
        <v>971</v>
      </c>
      <c r="T26" s="42" t="s">
        <v>972</v>
      </c>
      <c r="U26" s="42" t="s">
        <v>973</v>
      </c>
      <c r="V26" s="42" t="str">
        <f>VLOOKUP(D26,[1]ALL!$A$15:$Z$983,3,FALSE)</f>
        <v>HEX-EGW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/>
      <c r="AL26" s="44"/>
      <c r="AM26" s="45">
        <f>VLOOKUP($B26,'[2]E.U.'!$R$9:$AZ$205,11,FALSE)</f>
        <v>0</v>
      </c>
      <c r="AN26" s="45">
        <f>VLOOKUP($B26,'[3]E.U.'!$R9:$AZ$225,11,FALSE)</f>
        <v>0</v>
      </c>
      <c r="AO26" s="45">
        <f>VLOOKUP($B26,'[4]E.U.'!$R$9:$BZ$225,11,FALSE)</f>
        <v>0</v>
      </c>
      <c r="AP26" s="45">
        <f>VLOOKUP($B26,'[5]E.U.'!$R$9:$BZ$225,11,FALSE)</f>
        <v>0</v>
      </c>
      <c r="AQ26" s="45">
        <f>VLOOKUP($B26,'[6]E.U.'!$R$9:$CA$225,11,FALSE)</f>
        <v>0</v>
      </c>
      <c r="AR26" s="45">
        <f>VLOOKUP($B26,'[7]E.U.'!$R$9:$AZ$225,11,FALSE)</f>
        <v>0</v>
      </c>
      <c r="AS26" s="45">
        <f>VLOOKUP($B26,'[8]E.U.'!$R$9:$AZ$225,11,FALSE)</f>
        <v>0</v>
      </c>
      <c r="AT26" s="45">
        <f>VLOOKUP($B26,'[9]E.U.'!$R$9:$AZ$221,11,FALSE)</f>
        <v>0</v>
      </c>
      <c r="AU26" s="45"/>
      <c r="AV26" s="45">
        <f>VLOOKUP($B26,'[10]E.U.'!$R$9:$AZ$221,11,FALSE)</f>
        <v>0</v>
      </c>
      <c r="AW26" s="45" t="e">
        <f>VLOOKUP($B26,'[11]E.U.'!$R$9:$AZ$220,11,FALSE)</f>
        <v>#REF!</v>
      </c>
      <c r="AX26" s="45"/>
      <c r="AY26" s="45" t="e">
        <f>VLOOKUP($B26,'[12]E.U.'!$R$9:$AZ$220,11,FALSE)</f>
        <v>#REF!</v>
      </c>
      <c r="AZ26" s="45"/>
      <c r="BA26" s="45">
        <f>VLOOKUP($B26,'[13]E.U.'!$R$9:$AZ$221,11,FALSE)</f>
        <v>0</v>
      </c>
      <c r="BB26" s="46" t="e">
        <f t="shared" si="6"/>
        <v>#REF!</v>
      </c>
      <c r="BC26" s="47" t="e">
        <f>SUM(#REF!)</f>
        <v>#REF!</v>
      </c>
      <c r="BD26" s="43"/>
      <c r="BE26" s="43" t="e">
        <f t="shared" si="1"/>
        <v>#REF!</v>
      </c>
      <c r="BF26" s="48" t="e">
        <f t="shared" si="3"/>
        <v>#REF!</v>
      </c>
      <c r="BG26" s="49" t="e">
        <f t="shared" si="2"/>
        <v>#REF!</v>
      </c>
      <c r="BH26" s="43" t="e">
        <f t="shared" ref="BH26:BH55" si="7">IF(BC26=0,0,(BB26*(AK26/BC26)))</f>
        <v>#REF!</v>
      </c>
      <c r="BI26" s="50" t="e">
        <f t="shared" si="4"/>
        <v>#REF!</v>
      </c>
      <c r="BJ26" s="51" t="e">
        <f t="shared" si="5"/>
        <v>#REF!</v>
      </c>
      <c r="BK26" s="52"/>
      <c r="BL26" s="52"/>
      <c r="BM26" s="52"/>
      <c r="BN26" s="52"/>
      <c r="BO26" s="72"/>
      <c r="BP26" s="52"/>
      <c r="BQ26" s="52"/>
      <c r="BR26" s="50"/>
      <c r="BS26" s="53"/>
      <c r="BT26" s="53"/>
      <c r="BU26" s="65"/>
      <c r="BV26" s="55"/>
      <c r="BW26" s="55"/>
      <c r="BX26" s="56"/>
      <c r="BY26" s="67"/>
      <c r="BZ26" s="58"/>
    </row>
    <row r="27" spans="1:78" ht="15.6" x14ac:dyDescent="0.3">
      <c r="A27" s="59" t="s">
        <v>694</v>
      </c>
      <c r="B27" s="38" t="s">
        <v>61</v>
      </c>
      <c r="C27" s="1" t="s">
        <v>62</v>
      </c>
      <c r="D27" t="s">
        <v>974</v>
      </c>
      <c r="E27" s="40" t="s">
        <v>63</v>
      </c>
      <c r="F27" s="41">
        <v>0</v>
      </c>
      <c r="G27" s="42" t="s">
        <v>975</v>
      </c>
      <c r="H27" s="42" t="s">
        <v>975</v>
      </c>
      <c r="I27" s="42" t="s">
        <v>975</v>
      </c>
      <c r="J27" s="42" t="s">
        <v>976</v>
      </c>
      <c r="K27" s="42" t="s">
        <v>977</v>
      </c>
      <c r="L27" s="42" t="s">
        <v>978</v>
      </c>
      <c r="M27" s="42" t="s">
        <v>979</v>
      </c>
      <c r="N27" s="42" t="s">
        <v>980</v>
      </c>
      <c r="O27" s="42" t="s">
        <v>981</v>
      </c>
      <c r="P27" s="42" t="s">
        <v>982</v>
      </c>
      <c r="Q27" s="42" t="s">
        <v>983</v>
      </c>
      <c r="R27" s="42" t="s">
        <v>984</v>
      </c>
      <c r="S27" s="42" t="s">
        <v>985</v>
      </c>
      <c r="T27" s="42" t="s">
        <v>986</v>
      </c>
      <c r="U27" s="42" t="s">
        <v>987</v>
      </c>
      <c r="V27" s="42" t="str">
        <f>VLOOKUP(D27,[1]ALL!$A$15:$Z$983,3,FALSE)</f>
        <v>DML-EGW</v>
      </c>
      <c r="W27" s="43">
        <v>195037.99646406595</v>
      </c>
      <c r="X27" s="43">
        <v>195974.93664810629</v>
      </c>
      <c r="Y27" s="43">
        <v>174672.66968359763</v>
      </c>
      <c r="Z27" s="43">
        <v>177329.92239666003</v>
      </c>
      <c r="AA27" s="43">
        <v>171840.02</v>
      </c>
      <c r="AB27" s="43">
        <v>175421.33</v>
      </c>
      <c r="AC27" s="43">
        <v>189286.44</v>
      </c>
      <c r="AD27" s="43">
        <v>210677.68</v>
      </c>
      <c r="AE27" s="43">
        <v>237886.42</v>
      </c>
      <c r="AF27" s="43">
        <v>275249.32</v>
      </c>
      <c r="AG27" s="43">
        <v>253737.63</v>
      </c>
      <c r="AH27" s="43">
        <v>243066.48</v>
      </c>
      <c r="AI27" s="43">
        <v>262211.03000000003</v>
      </c>
      <c r="AJ27" s="43">
        <v>264732.42</v>
      </c>
      <c r="AK27" s="43">
        <v>333834.11</v>
      </c>
      <c r="AL27" s="44"/>
      <c r="AM27" s="45">
        <f>VLOOKUP($B27,'[2]E.U.'!$R$9:$AZ$205,11,FALSE)</f>
        <v>24303.69</v>
      </c>
      <c r="AN27" s="45">
        <f>VLOOKUP($B27,'[3]E.U.'!$R9:$AZ$225,11,FALSE)</f>
        <v>24834.03</v>
      </c>
      <c r="AO27" s="45">
        <f>VLOOKUP($B27,'[4]E.U.'!$R$9:$BZ$225,11,FALSE)</f>
        <v>23535.803265919389</v>
      </c>
      <c r="AP27" s="45">
        <f>VLOOKUP($B27,'[5]E.U.'!$R$9:$BZ$225,11,FALSE)</f>
        <v>21485.027020608428</v>
      </c>
      <c r="AQ27" s="45">
        <f>VLOOKUP($B27,'[6]E.U.'!$R$9:$CA$225,11,FALSE)</f>
        <v>26638.14625130931</v>
      </c>
      <c r="AR27" s="45">
        <f>VLOOKUP($B27,'[7]E.U.'!$R$9:$AZ$225,11,FALSE)</f>
        <v>23000.439215224331</v>
      </c>
      <c r="AS27" s="45">
        <f>VLOOKUP($B27,'[8]E.U.'!$R$9:$AZ$225,11,FALSE)</f>
        <v>24206.384670005744</v>
      </c>
      <c r="AT27" s="45">
        <f>VLOOKUP($B27,'[9]E.U.'!$R$9:$AZ$221,11,FALSE)</f>
        <v>21028.478234031347</v>
      </c>
      <c r="AU27" s="45"/>
      <c r="AV27" s="45">
        <f>VLOOKUP($B27,'[10]E.U.'!$R$9:$AZ$221,11,FALSE)</f>
        <v>20988.302614431588</v>
      </c>
      <c r="AW27" s="45">
        <f>VLOOKUP($B27,'[11]E.U.'!$R$9:$AZ$220,11,FALSE)</f>
        <v>20977.877879877833</v>
      </c>
      <c r="AX27" s="252"/>
      <c r="AY27" s="45">
        <f>VLOOKUP($B27,'[12]E.U.'!$R$9:$AZ$220,11,FALSE)</f>
        <v>20250.188249946808</v>
      </c>
      <c r="AZ27" s="45"/>
      <c r="BA27" s="45">
        <f>VLOOKUP($B27,'[13]E.U.'!$R$9:$AZ$221,11,FALSE)</f>
        <v>18751.703110635553</v>
      </c>
      <c r="BB27" s="46">
        <f t="shared" si="6"/>
        <v>270000.07051199034</v>
      </c>
      <c r="BC27" s="47" t="e">
        <f>SUM(#REF!)</f>
        <v>#REF!</v>
      </c>
      <c r="BD27" s="43" t="e">
        <f>VLOOKUP(V27,[14]ELECTRIC!$C$1:$H$4000,6,FALSE)</f>
        <v>#N/A</v>
      </c>
      <c r="BE27" s="43" t="e">
        <f t="shared" si="1"/>
        <v>#N/A</v>
      </c>
      <c r="BF27" s="48">
        <f t="shared" si="3"/>
        <v>270000.07051199034</v>
      </c>
      <c r="BG27" s="49">
        <f t="shared" si="2"/>
        <v>470378.69427053171</v>
      </c>
      <c r="BH27" s="43" t="e">
        <f t="shared" si="7"/>
        <v>#REF!</v>
      </c>
      <c r="BI27" s="50" t="e">
        <f t="shared" si="4"/>
        <v>#REF!</v>
      </c>
      <c r="BJ27" s="51">
        <f t="shared" si="5"/>
        <v>-0.1912148506574407</v>
      </c>
      <c r="BK27" s="52"/>
      <c r="BL27" s="52"/>
      <c r="BM27" s="52"/>
      <c r="BN27" s="52"/>
      <c r="BO27" s="224" t="s">
        <v>988</v>
      </c>
      <c r="BP27" s="52"/>
      <c r="BQ27" s="52"/>
      <c r="BR27" s="50"/>
      <c r="BS27" s="53"/>
      <c r="BT27" s="53"/>
      <c r="BU27" s="65"/>
      <c r="BV27" s="55"/>
      <c r="BW27" s="55"/>
      <c r="BX27" s="56"/>
      <c r="BY27" s="67"/>
      <c r="BZ27" s="58"/>
    </row>
    <row r="28" spans="1:78" ht="15.6" x14ac:dyDescent="0.3">
      <c r="A28" s="59" t="s">
        <v>694</v>
      </c>
      <c r="B28" s="38" t="s">
        <v>64</v>
      </c>
      <c r="C28" s="1" t="s">
        <v>65</v>
      </c>
      <c r="D28" t="s">
        <v>989</v>
      </c>
      <c r="E28" s="40" t="s">
        <v>66</v>
      </c>
      <c r="F28" s="41" t="s">
        <v>758</v>
      </c>
      <c r="G28" s="42" t="s">
        <v>990</v>
      </c>
      <c r="H28" s="42" t="s">
        <v>990</v>
      </c>
      <c r="I28" s="42" t="s">
        <v>990</v>
      </c>
      <c r="J28" s="42" t="s">
        <v>991</v>
      </c>
      <c r="K28" s="42" t="s">
        <v>992</v>
      </c>
      <c r="L28" s="42" t="s">
        <v>993</v>
      </c>
      <c r="M28" s="42" t="s">
        <v>994</v>
      </c>
      <c r="N28" s="42" t="s">
        <v>995</v>
      </c>
      <c r="O28" s="42" t="s">
        <v>996</v>
      </c>
      <c r="P28" s="42" t="s">
        <v>997</v>
      </c>
      <c r="Q28" s="42" t="s">
        <v>998</v>
      </c>
      <c r="R28" s="42" t="s">
        <v>999</v>
      </c>
      <c r="S28" s="42" t="s">
        <v>1000</v>
      </c>
      <c r="T28" s="42" t="s">
        <v>1001</v>
      </c>
      <c r="U28" s="42" t="s">
        <v>1002</v>
      </c>
      <c r="V28" s="42" t="str">
        <f>VLOOKUP(D28,[1]ALL!$A$15:$Z$983,3,FALSE)</f>
        <v>GER-EGW</v>
      </c>
      <c r="W28" s="43">
        <v>134210.95379676044</v>
      </c>
      <c r="X28" s="43">
        <v>124655.39365770078</v>
      </c>
      <c r="Y28" s="43">
        <v>116776.36099643813</v>
      </c>
      <c r="Z28" s="43">
        <v>120298.28300695901</v>
      </c>
      <c r="AA28" s="43">
        <v>122885.29</v>
      </c>
      <c r="AB28" s="43">
        <v>135229.4</v>
      </c>
      <c r="AC28" s="43">
        <v>139382.26</v>
      </c>
      <c r="AD28" s="43">
        <v>150127.26999999999</v>
      </c>
      <c r="AE28" s="43">
        <v>159386.89000000001</v>
      </c>
      <c r="AF28" s="43">
        <v>159305.66</v>
      </c>
      <c r="AG28" s="43">
        <v>184820.91</v>
      </c>
      <c r="AH28" s="43">
        <v>199195.81</v>
      </c>
      <c r="AI28" s="43">
        <v>199489.16</v>
      </c>
      <c r="AJ28" s="43">
        <v>222996.88</v>
      </c>
      <c r="AK28" s="43">
        <v>222515.42</v>
      </c>
      <c r="AL28" s="44"/>
      <c r="AM28" s="45">
        <f>VLOOKUP($B28,'[2]E.U.'!$R$9:$AZ$205,11,FALSE)</f>
        <v>19070.740000000002</v>
      </c>
      <c r="AN28" s="45">
        <f>VLOOKUP($B28,'[3]E.U.'!$R9:$AZ$225,11,FALSE)</f>
        <v>22982.5</v>
      </c>
      <c r="AO28" s="45">
        <f>VLOOKUP($B28,'[4]E.U.'!$R$9:$BZ$225,11,FALSE)</f>
        <v>22003.304935052383</v>
      </c>
      <c r="AP28" s="45">
        <f>VLOOKUP($B28,'[5]E.U.'!$R$9:$BZ$225,11,FALSE)</f>
        <v>22050.632296581021</v>
      </c>
      <c r="AQ28" s="45">
        <f>VLOOKUP($B28,'[6]E.U.'!$R$9:$CA$225,11,FALSE)</f>
        <v>27147.985172216144</v>
      </c>
      <c r="AR28" s="45">
        <f>VLOOKUP($B28,'[7]E.U.'!$R$9:$AZ$225,11,FALSE)</f>
        <v>23913.828875786581</v>
      </c>
      <c r="AS28" s="45">
        <f>VLOOKUP($B28,'[8]E.U.'!$R$9:$AZ$225,11,FALSE)</f>
        <v>20631.393070876788</v>
      </c>
      <c r="AT28" s="45">
        <f>VLOOKUP($B28,'[9]E.U.'!$R$9:$AZ$221,11,FALSE)</f>
        <v>17148.307796373661</v>
      </c>
      <c r="AU28" s="45"/>
      <c r="AV28" s="45">
        <f>VLOOKUP($B28,'[10]E.U.'!$R$9:$AZ$221,11,FALSE)</f>
        <v>18706.854623740812</v>
      </c>
      <c r="AW28" s="45">
        <f>VLOOKUP($B28,'[11]E.U.'!$R$9:$AZ$220,11,FALSE)</f>
        <v>17756.76696655064</v>
      </c>
      <c r="AX28" s="45"/>
      <c r="AY28" s="45">
        <f>VLOOKUP($B28,'[12]E.U.'!$R$9:$AZ$220,11,FALSE)</f>
        <v>15219.619062436925</v>
      </c>
      <c r="AZ28" s="45"/>
      <c r="BA28" s="45">
        <f>VLOOKUP($B28,'[13]E.U.'!$R$9:$AZ$221,11,FALSE)</f>
        <v>14671.966662227389</v>
      </c>
      <c r="BB28" s="46">
        <f t="shared" si="6"/>
        <v>241303.89946184235</v>
      </c>
      <c r="BC28" s="47" t="e">
        <f>SUM(#REF!)</f>
        <v>#REF!</v>
      </c>
      <c r="BD28" s="43" t="e">
        <f>VLOOKUP(V28,[14]ELECTRIC!$C$1:$H$4000,6,FALSE)</f>
        <v>#N/A</v>
      </c>
      <c r="BE28" s="43" t="e">
        <f t="shared" si="1"/>
        <v>#N/A</v>
      </c>
      <c r="BF28" s="48">
        <f t="shared" si="3"/>
        <v>241303.89946184235</v>
      </c>
      <c r="BG28" s="49">
        <f t="shared" si="2"/>
        <v>420385.86484816676</v>
      </c>
      <c r="BH28" s="43" t="e">
        <f t="shared" si="7"/>
        <v>#REF!</v>
      </c>
      <c r="BI28" s="50" t="e">
        <f t="shared" si="4"/>
        <v>#REF!</v>
      </c>
      <c r="BJ28" s="51">
        <f t="shared" si="5"/>
        <v>8.4436752571315443E-2</v>
      </c>
      <c r="BK28" s="52"/>
      <c r="BL28" s="52"/>
      <c r="BM28" s="52"/>
      <c r="BN28" s="52"/>
      <c r="BO28" s="72"/>
      <c r="BP28" s="52"/>
      <c r="BQ28" s="52"/>
      <c r="BR28" s="50"/>
      <c r="BS28" s="53"/>
      <c r="BT28" s="53"/>
      <c r="BU28" s="65"/>
      <c r="BV28" s="55"/>
      <c r="BW28" s="55"/>
      <c r="BX28" s="56"/>
      <c r="BY28" s="67"/>
      <c r="BZ28" s="58"/>
    </row>
    <row r="29" spans="1:78" ht="15.6" x14ac:dyDescent="0.3">
      <c r="A29" s="76" t="s">
        <v>694</v>
      </c>
      <c r="B29" s="38" t="s">
        <v>67</v>
      </c>
      <c r="C29" s="1" t="s">
        <v>68</v>
      </c>
      <c r="D29" t="s">
        <v>1003</v>
      </c>
      <c r="E29" s="40" t="s">
        <v>69</v>
      </c>
      <c r="F29" s="41">
        <v>0</v>
      </c>
      <c r="G29" s="42" t="s">
        <v>1004</v>
      </c>
      <c r="H29" s="42" t="s">
        <v>1004</v>
      </c>
      <c r="I29" s="42" t="s">
        <v>1004</v>
      </c>
      <c r="J29" s="42" t="s">
        <v>1005</v>
      </c>
      <c r="K29" s="42" t="s">
        <v>1006</v>
      </c>
      <c r="L29" s="42" t="s">
        <v>1007</v>
      </c>
      <c r="M29" s="42" t="s">
        <v>1008</v>
      </c>
      <c r="N29" s="42" t="s">
        <v>1009</v>
      </c>
      <c r="O29" s="42" t="s">
        <v>1010</v>
      </c>
      <c r="P29" s="42" t="s">
        <v>1011</v>
      </c>
      <c r="Q29" s="42" t="s">
        <v>1012</v>
      </c>
      <c r="R29" s="42" t="s">
        <v>1013</v>
      </c>
      <c r="S29" s="42" t="s">
        <v>1014</v>
      </c>
      <c r="T29" s="42" t="s">
        <v>1015</v>
      </c>
      <c r="U29" s="42" t="s">
        <v>1016</v>
      </c>
      <c r="V29" s="42" t="str">
        <f>VLOOKUP(D29,[1]ALL!$A$15:$Z$983,3,FALSE)</f>
        <v>SCD-EGW</v>
      </c>
      <c r="W29" s="43">
        <v>4040.0280673960642</v>
      </c>
      <c r="X29" s="43">
        <v>3886.9408885098956</v>
      </c>
      <c r="Y29" s="43">
        <v>3986.0555132025634</v>
      </c>
      <c r="Z29" s="43">
        <v>4043.5277962244822</v>
      </c>
      <c r="AA29" s="43">
        <v>3115.78</v>
      </c>
      <c r="AB29" s="43">
        <v>3866.88</v>
      </c>
      <c r="AC29" s="43">
        <v>4175.24</v>
      </c>
      <c r="AD29" s="43">
        <v>4463.7039999999997</v>
      </c>
      <c r="AE29" s="43">
        <v>4743.75</v>
      </c>
      <c r="AF29" s="43">
        <v>5321.08</v>
      </c>
      <c r="AG29" s="43">
        <v>5380.61</v>
      </c>
      <c r="AH29" s="43">
        <v>5386.43</v>
      </c>
      <c r="AI29" s="43">
        <v>5109.9799999999996</v>
      </c>
      <c r="AJ29" s="43">
        <v>5294.59</v>
      </c>
      <c r="AK29" s="43">
        <v>4309.3100000000004</v>
      </c>
      <c r="AL29" s="44"/>
      <c r="AM29" s="45">
        <f>VLOOKUP($B29,'[2]E.U.'!$R$9:$AZ$205,11,FALSE)</f>
        <v>401.64</v>
      </c>
      <c r="AN29" s="45">
        <f>VLOOKUP($B29,'[3]E.U.'!$R9:$AZ$225,11,FALSE)</f>
        <v>465.85</v>
      </c>
      <c r="AO29" s="45">
        <f>VLOOKUP($B29,'[4]E.U.'!$R$9:$BZ$225,11,FALSE)</f>
        <v>369.49723778578806</v>
      </c>
      <c r="AP29" s="45">
        <f>VLOOKUP($B29,'[5]E.U.'!$R$9:$BZ$225,11,FALSE)</f>
        <v>447.64193625320945</v>
      </c>
      <c r="AQ29" s="45">
        <f>VLOOKUP($B29,'[6]E.U.'!$R$9:$CA$225,11,FALSE)</f>
        <v>727.10541819701632</v>
      </c>
      <c r="AR29" s="45">
        <f>VLOOKUP($B29,'[7]E.U.'!$R$9:$AZ$225,11,FALSE)</f>
        <v>732.5019197958278</v>
      </c>
      <c r="AS29" s="45">
        <f>VLOOKUP($B29,'[8]E.U.'!$R$9:$AZ$225,11,FALSE)</f>
        <v>469.11977236706912</v>
      </c>
      <c r="AT29" s="45">
        <f>VLOOKUP($B29,'[9]E.U.'!$R$9:$AZ$221,11,FALSE)</f>
        <v>389.93563575821821</v>
      </c>
      <c r="AU29" s="45"/>
      <c r="AV29" s="45">
        <f>VLOOKUP($B29,'[10]E.U.'!$R$9:$AZ$221,11,FALSE)</f>
        <v>476.70765445036056</v>
      </c>
      <c r="AW29" s="45">
        <f>VLOOKUP($B29,'[11]E.U.'!$R$9:$AZ$220,11,FALSE)</f>
        <v>498.69742256215676</v>
      </c>
      <c r="AX29" s="252"/>
      <c r="AY29" s="45">
        <f>VLOOKUP($B29,'[12]E.U.'!$R$9:$AZ$220,11,FALSE)</f>
        <v>522.6949794017404</v>
      </c>
      <c r="AZ29" s="45"/>
      <c r="BA29" s="45">
        <f>VLOOKUP($B29,'[13]E.U.'!$R$9:$AZ$221,11,FALSE)</f>
        <v>556.84875803846512</v>
      </c>
      <c r="BB29" s="46">
        <f t="shared" si="6"/>
        <v>6058.2407346098516</v>
      </c>
      <c r="BC29" s="47" t="e">
        <f>SUM(#REF!)</f>
        <v>#REF!</v>
      </c>
      <c r="BD29" s="43" t="e">
        <f>VLOOKUP(V29,[14]ELECTRIC!$C$1:$H$4000,6,FALSE)</f>
        <v>#N/A</v>
      </c>
      <c r="BE29" s="43" t="e">
        <f t="shared" si="1"/>
        <v>#N/A</v>
      </c>
      <c r="BF29" s="48">
        <f t="shared" si="3"/>
        <v>6058.2407346098516</v>
      </c>
      <c r="BG29" s="49">
        <f t="shared" si="2"/>
        <v>10554.320822652448</v>
      </c>
      <c r="BH29" s="43" t="e">
        <f t="shared" si="7"/>
        <v>#REF!</v>
      </c>
      <c r="BI29" s="50" t="e">
        <f>IF(OR(BB29=0,BC29=0),0,ABS((BB29+BB191)/BC29)-1)</f>
        <v>#REF!</v>
      </c>
      <c r="BJ29" s="51">
        <f t="shared" si="5"/>
        <v>0.40584936674545369</v>
      </c>
      <c r="BK29" s="52"/>
      <c r="BL29" s="52"/>
      <c r="BM29" s="52"/>
      <c r="BN29" s="52"/>
      <c r="BO29" s="72"/>
      <c r="BP29" s="52"/>
      <c r="BQ29" s="52"/>
      <c r="BR29" s="50"/>
      <c r="BS29" s="53"/>
      <c r="BT29" s="53"/>
      <c r="BU29" s="65"/>
      <c r="BV29" s="55"/>
      <c r="BW29" s="55"/>
      <c r="BX29" s="56"/>
      <c r="BY29" s="57" t="s">
        <v>1017</v>
      </c>
      <c r="BZ29" s="58"/>
    </row>
    <row r="30" spans="1:78" ht="15.6" x14ac:dyDescent="0.3">
      <c r="A30" s="59" t="s">
        <v>694</v>
      </c>
      <c r="B30" s="38" t="s">
        <v>70</v>
      </c>
      <c r="C30" s="1" t="s">
        <v>71</v>
      </c>
      <c r="D30" t="s">
        <v>1018</v>
      </c>
      <c r="E30" s="40" t="s">
        <v>72</v>
      </c>
      <c r="F30" s="41" t="s">
        <v>758</v>
      </c>
      <c r="G30" s="42" t="s">
        <v>1019</v>
      </c>
      <c r="H30" s="42" t="s">
        <v>1019</v>
      </c>
      <c r="I30" s="42" t="s">
        <v>1019</v>
      </c>
      <c r="J30" s="42" t="s">
        <v>1020</v>
      </c>
      <c r="K30" s="42" t="s">
        <v>1021</v>
      </c>
      <c r="L30" s="42" t="s">
        <v>1022</v>
      </c>
      <c r="M30" s="42" t="s">
        <v>1023</v>
      </c>
      <c r="N30" s="42" t="s">
        <v>1024</v>
      </c>
      <c r="O30" s="42" t="s">
        <v>1025</v>
      </c>
      <c r="P30" s="42" t="s">
        <v>1026</v>
      </c>
      <c r="Q30" s="42" t="s">
        <v>1027</v>
      </c>
      <c r="R30" s="42" t="s">
        <v>1028</v>
      </c>
      <c r="S30" s="42" t="s">
        <v>1029</v>
      </c>
      <c r="T30" s="42" t="s">
        <v>1030</v>
      </c>
      <c r="U30" s="42" t="s">
        <v>1031</v>
      </c>
      <c r="V30" s="42" t="str">
        <f>VLOOKUP(D30,[1]ALL!$A$15:$Z$983,3,FALSE)</f>
        <v>BHE-EGW</v>
      </c>
      <c r="W30" s="43">
        <v>61879.318932228132</v>
      </c>
      <c r="X30" s="43">
        <v>54309.389261797973</v>
      </c>
      <c r="Y30" s="43">
        <v>61223.653840558596</v>
      </c>
      <c r="Z30" s="43">
        <v>66936.528117671114</v>
      </c>
      <c r="AA30" s="43">
        <v>68119.75</v>
      </c>
      <c r="AB30" s="43">
        <v>68584.39</v>
      </c>
      <c r="AC30" s="43">
        <v>67891.62</v>
      </c>
      <c r="AD30" s="43">
        <v>66447.460000000006</v>
      </c>
      <c r="AE30" s="43">
        <v>71810.42</v>
      </c>
      <c r="AF30" s="43">
        <v>73529.850000000006</v>
      </c>
      <c r="AG30" s="43">
        <v>81493.56</v>
      </c>
      <c r="AH30" s="43">
        <v>89207.16</v>
      </c>
      <c r="AI30" s="43">
        <v>83699.34</v>
      </c>
      <c r="AJ30" s="43">
        <v>64472.21</v>
      </c>
      <c r="AK30" s="43">
        <v>56822.12</v>
      </c>
      <c r="AL30" s="44"/>
      <c r="AM30" s="45">
        <f>VLOOKUP($B30,'[2]E.U.'!$R$9:$AZ$205,11,FALSE)</f>
        <v>5518.6</v>
      </c>
      <c r="AN30" s="45">
        <f>VLOOKUP($B30,'[3]E.U.'!$R9:$AZ$225,11,FALSE)</f>
        <v>7157.63</v>
      </c>
      <c r="AO30" s="45">
        <f>VLOOKUP($B30,'[4]E.U.'!$R$9:$BZ$225,11,FALSE)</f>
        <v>6864.9823238626186</v>
      </c>
      <c r="AP30" s="45">
        <f>VLOOKUP($B30,'[5]E.U.'!$R$9:$BZ$225,11,FALSE)</f>
        <v>6693.8138418425615</v>
      </c>
      <c r="AQ30" s="45">
        <f>VLOOKUP($B30,'[6]E.U.'!$R$9:$CA$225,11,FALSE)</f>
        <v>7529.6741894820834</v>
      </c>
      <c r="AR30" s="45">
        <f>VLOOKUP($B30,'[7]E.U.'!$R$9:$AZ$225,11,FALSE)</f>
        <v>6135.8449936796105</v>
      </c>
      <c r="AS30" s="45">
        <f>VLOOKUP($B30,'[8]E.U.'!$R$9:$AZ$225,11,FALSE)</f>
        <v>6241.5145958827834</v>
      </c>
      <c r="AT30" s="45">
        <f>VLOOKUP($B30,'[9]E.U.'!$R$9:$AZ$221,11,FALSE)</f>
        <v>5043.7485113389603</v>
      </c>
      <c r="AU30" s="45"/>
      <c r="AV30" s="45">
        <f>VLOOKUP($B30,'[10]E.U.'!$R$9:$AZ$221,11,FALSE)</f>
        <v>5276.8235149656757</v>
      </c>
      <c r="AW30" s="45">
        <f>VLOOKUP($B30,'[11]E.U.'!$R$9:$AZ$220,11,FALSE)</f>
        <v>5274.8958329885763</v>
      </c>
      <c r="AX30" s="252"/>
      <c r="AY30" s="45">
        <f>VLOOKUP($B30,'[12]E.U.'!$R$9:$AZ$220,11,FALSE)</f>
        <v>5651.976501114551</v>
      </c>
      <c r="AZ30" s="45"/>
      <c r="BA30" s="45">
        <f>VLOOKUP($B30,'[13]E.U.'!$R$9:$AZ$221,11,FALSE)</f>
        <v>5224.5703721141972</v>
      </c>
      <c r="BB30" s="46">
        <f t="shared" si="6"/>
        <v>72614.074677271623</v>
      </c>
      <c r="BC30" s="47" t="e">
        <f>SUM(#REF!)</f>
        <v>#REF!</v>
      </c>
      <c r="BD30" s="43" t="e">
        <f>VLOOKUP(V30,[14]ELECTRIC!$C$1:$H$4000,6,FALSE)</f>
        <v>#N/A</v>
      </c>
      <c r="BE30" s="43" t="e">
        <f t="shared" si="1"/>
        <v>#N/A</v>
      </c>
      <c r="BF30" s="48">
        <f t="shared" si="3"/>
        <v>72614.074677271623</v>
      </c>
      <c r="BG30" s="49">
        <f t="shared" si="2"/>
        <v>126504.09152704678</v>
      </c>
      <c r="BH30" s="43" t="e">
        <f t="shared" si="7"/>
        <v>#REF!</v>
      </c>
      <c r="BI30" s="50" t="e">
        <f t="shared" ref="BI30:BI59" si="8">IF(OR(BB30=0,BC30=0),0,ABS(BB30/BC30)-1)</f>
        <v>#REF!</v>
      </c>
      <c r="BJ30" s="51">
        <f t="shared" si="5"/>
        <v>0.27791913918860511</v>
      </c>
      <c r="BK30" s="52"/>
      <c r="BL30" s="52"/>
      <c r="BM30" s="52"/>
      <c r="BN30" s="52"/>
      <c r="BO30" s="72"/>
      <c r="BP30" s="52"/>
      <c r="BQ30" s="52"/>
      <c r="BR30" s="50"/>
      <c r="BS30" s="53"/>
      <c r="BT30" s="53"/>
      <c r="BU30" s="65"/>
      <c r="BV30" s="55"/>
      <c r="BW30" s="55"/>
      <c r="BX30" s="56"/>
      <c r="BY30" s="57" t="s">
        <v>710</v>
      </c>
      <c r="BZ30" s="58"/>
    </row>
    <row r="31" spans="1:78" ht="15.6" x14ac:dyDescent="0.3">
      <c r="A31" s="59" t="s">
        <v>694</v>
      </c>
      <c r="B31" s="38" t="s">
        <v>73</v>
      </c>
      <c r="C31" s="1" t="s">
        <v>74</v>
      </c>
      <c r="D31" t="s">
        <v>1032</v>
      </c>
      <c r="E31" s="40" t="s">
        <v>75</v>
      </c>
      <c r="F31" s="41">
        <v>0</v>
      </c>
      <c r="G31" s="42" t="s">
        <v>1033</v>
      </c>
      <c r="H31" s="42" t="s">
        <v>1033</v>
      </c>
      <c r="I31" s="42" t="s">
        <v>1033</v>
      </c>
      <c r="J31" s="42" t="s">
        <v>1034</v>
      </c>
      <c r="K31" s="42" t="s">
        <v>1035</v>
      </c>
      <c r="L31" s="42" t="s">
        <v>1036</v>
      </c>
      <c r="M31" s="42" t="s">
        <v>1037</v>
      </c>
      <c r="N31" s="42" t="s">
        <v>1038</v>
      </c>
      <c r="O31" s="42" t="s">
        <v>1039</v>
      </c>
      <c r="P31" s="42" t="s">
        <v>1040</v>
      </c>
      <c r="Q31" s="42" t="s">
        <v>1041</v>
      </c>
      <c r="R31" s="42" t="s">
        <v>1042</v>
      </c>
      <c r="S31" s="42" t="s">
        <v>1043</v>
      </c>
      <c r="T31" s="42" t="s">
        <v>1044</v>
      </c>
      <c r="U31" s="42" t="s">
        <v>1045</v>
      </c>
      <c r="V31" s="42" t="str">
        <f>VLOOKUP(D31,[1]ALL!$A$15:$Z$983,3,FALSE)</f>
        <v>VHE-EGW</v>
      </c>
      <c r="W31" s="43">
        <v>261718.96392095229</v>
      </c>
      <c r="X31" s="43">
        <v>255051.33869909219</v>
      </c>
      <c r="Y31" s="43">
        <v>257178.00247072452</v>
      </c>
      <c r="Z31" s="43">
        <v>262018.40362751804</v>
      </c>
      <c r="AA31" s="43">
        <v>266847.51</v>
      </c>
      <c r="AB31" s="43">
        <v>270892.90000000002</v>
      </c>
      <c r="AC31" s="43">
        <v>293239.84000000003</v>
      </c>
      <c r="AD31" s="43">
        <v>266676.5</v>
      </c>
      <c r="AE31" s="43">
        <v>294085.88</v>
      </c>
      <c r="AF31" s="43">
        <v>328327.15000000002</v>
      </c>
      <c r="AG31" s="43">
        <v>329807.40000000002</v>
      </c>
      <c r="AH31" s="43">
        <v>349339.69</v>
      </c>
      <c r="AI31" s="43">
        <v>419688.99</v>
      </c>
      <c r="AJ31" s="43">
        <v>470304.34</v>
      </c>
      <c r="AK31" s="43">
        <v>491785.66</v>
      </c>
      <c r="AL31" s="44"/>
      <c r="AM31" s="45">
        <f>VLOOKUP($B31,'[2]E.U.'!$R$9:$AZ$205,11,FALSE)</f>
        <v>34568.699999999997</v>
      </c>
      <c r="AN31" s="45">
        <f>VLOOKUP($B31,'[3]E.U.'!$R9:$AZ$225,11,FALSE)</f>
        <v>35753.24</v>
      </c>
      <c r="AO31" s="45">
        <f>VLOOKUP($B31,'[4]E.U.'!$R$9:$BZ$225,11,FALSE)</f>
        <v>41910.231816481566</v>
      </c>
      <c r="AP31" s="45">
        <f>VLOOKUP($B31,'[5]E.U.'!$R$9:$BZ$225,11,FALSE)</f>
        <v>45341.605729097566</v>
      </c>
      <c r="AQ31" s="45">
        <f>VLOOKUP($B31,'[6]E.U.'!$R$9:$CA$225,11,FALSE)</f>
        <v>55651.417062136134</v>
      </c>
      <c r="AR31" s="45">
        <f>VLOOKUP($B31,'[7]E.U.'!$R$9:$AZ$225,11,FALSE)</f>
        <v>48633.604450550367</v>
      </c>
      <c r="AS31" s="45">
        <f>VLOOKUP($B31,'[8]E.U.'!$R$9:$AZ$225,11,FALSE)</f>
        <v>42320.481740609772</v>
      </c>
      <c r="AT31" s="45">
        <f>VLOOKUP($B31,'[9]E.U.'!$R$9:$AZ$221,11,FALSE)</f>
        <v>35854.216137083982</v>
      </c>
      <c r="AU31" s="45"/>
      <c r="AV31" s="45">
        <f>VLOOKUP($B31,'[10]E.U.'!$R$9:$AZ$221,11,FALSE)</f>
        <v>36470.576148682252</v>
      </c>
      <c r="AW31" s="45">
        <f>VLOOKUP($B31,'[11]E.U.'!$R$9:$AZ$220,11,FALSE)</f>
        <v>34860.59830857809</v>
      </c>
      <c r="AX31" s="252"/>
      <c r="AY31" s="45">
        <f>VLOOKUP($B31,'[12]E.U.'!$R$9:$AZ$220,11,FALSE)</f>
        <v>35479.847385043067</v>
      </c>
      <c r="AZ31" s="45"/>
      <c r="BA31" s="45">
        <f>VLOOKUP($B31,'[13]E.U.'!$R$9:$AZ$221,11,FALSE)</f>
        <v>36073.876357723246</v>
      </c>
      <c r="BB31" s="46">
        <f t="shared" si="6"/>
        <v>482918.39513598604</v>
      </c>
      <c r="BC31" s="47" t="e">
        <f>SUM(#REF!)</f>
        <v>#REF!</v>
      </c>
      <c r="BD31" s="43" t="e">
        <f>VLOOKUP(V31,[14]ELECTRIC!$C$1:$H$4000,6,FALSE)</f>
        <v>#N/A</v>
      </c>
      <c r="BE31" s="43" t="e">
        <f t="shared" si="1"/>
        <v>#N/A</v>
      </c>
      <c r="BF31" s="48">
        <f t="shared" si="3"/>
        <v>482918.39513598604</v>
      </c>
      <c r="BG31" s="49">
        <f t="shared" si="2"/>
        <v>841312.83266904997</v>
      </c>
      <c r="BH31" s="43" t="e">
        <f t="shared" si="7"/>
        <v>#REF!</v>
      </c>
      <c r="BI31" s="50" t="e">
        <f t="shared" si="8"/>
        <v>#REF!</v>
      </c>
      <c r="BJ31" s="51">
        <f t="shared" si="5"/>
        <v>-1.8030751169145431E-2</v>
      </c>
      <c r="BK31" s="52"/>
      <c r="BL31" s="52"/>
      <c r="BM31" s="52"/>
      <c r="BN31" s="52"/>
      <c r="BO31" s="72" t="s">
        <v>1046</v>
      </c>
      <c r="BP31" s="52"/>
      <c r="BQ31" s="52"/>
      <c r="BR31" s="50"/>
      <c r="BS31" s="53"/>
      <c r="BT31" s="53"/>
      <c r="BU31" s="65"/>
      <c r="BV31" s="55"/>
      <c r="BW31" s="55"/>
      <c r="BX31" s="56"/>
      <c r="BY31" s="57"/>
      <c r="BZ31" s="58"/>
    </row>
    <row r="32" spans="1:78" ht="15.6" x14ac:dyDescent="0.3">
      <c r="A32" s="59" t="s">
        <v>694</v>
      </c>
      <c r="B32" s="62" t="s">
        <v>76</v>
      </c>
      <c r="C32" s="1" t="s">
        <v>77</v>
      </c>
      <c r="D32" t="s">
        <v>1047</v>
      </c>
      <c r="E32" s="40" t="s">
        <v>78</v>
      </c>
      <c r="F32" s="41"/>
      <c r="G32" s="42"/>
      <c r="H32" s="42"/>
      <c r="I32" s="42"/>
      <c r="J32" s="42"/>
      <c r="K32" s="42"/>
      <c r="L32" s="42"/>
      <c r="M32" s="42"/>
      <c r="N32" s="42"/>
      <c r="O32" s="42" t="s">
        <v>1048</v>
      </c>
      <c r="P32" s="42" t="s">
        <v>1049</v>
      </c>
      <c r="Q32" s="42" t="s">
        <v>1050</v>
      </c>
      <c r="R32" s="42" t="s">
        <v>1051</v>
      </c>
      <c r="S32" s="42" t="s">
        <v>1052</v>
      </c>
      <c r="T32" s="42" t="s">
        <v>1053</v>
      </c>
      <c r="U32" s="42" t="s">
        <v>1054</v>
      </c>
      <c r="V32" s="42" t="str">
        <f>VLOOKUP(D32,[1]ALL!$A$15:$Z$983,3,FALSE)</f>
        <v>VHE2-EGW</v>
      </c>
      <c r="W32" s="43"/>
      <c r="X32" s="43"/>
      <c r="Y32" s="43"/>
      <c r="Z32" s="43"/>
      <c r="AA32" s="43"/>
      <c r="AB32" s="43"/>
      <c r="AC32" s="43"/>
      <c r="AD32" s="43"/>
      <c r="AE32" s="43">
        <v>9076.09</v>
      </c>
      <c r="AF32" s="43">
        <v>105143.14</v>
      </c>
      <c r="AG32" s="43">
        <v>96816.01</v>
      </c>
      <c r="AH32" s="43">
        <v>93315.58</v>
      </c>
      <c r="AI32" s="43">
        <v>72835.03</v>
      </c>
      <c r="AJ32" s="43">
        <v>88426.16</v>
      </c>
      <c r="AK32" s="43">
        <v>76696.56</v>
      </c>
      <c r="AL32" s="44"/>
      <c r="AM32" s="45">
        <f>VLOOKUP($B32,'[2]E.U.'!$R$9:$AZ$205,11,FALSE)</f>
        <v>22.9</v>
      </c>
      <c r="AN32" s="45">
        <f>VLOOKUP($B32,'[3]E.U.'!$R9:$AZ$225,11,FALSE)</f>
        <v>3288.09</v>
      </c>
      <c r="AO32" s="45">
        <f>VLOOKUP($B32,'[4]E.U.'!$R$9:$BZ$225,11,FALSE)</f>
        <v>0</v>
      </c>
      <c r="AP32" s="45">
        <f>VLOOKUP($B32,'[5]E.U.'!$R$9:$BZ$225,11,FALSE)</f>
        <v>3454.4842282626296</v>
      </c>
      <c r="AQ32" s="45">
        <f>VLOOKUP($B32,'[6]E.U.'!$R$9:$CA$225,11,FALSE)</f>
        <v>3944.4248630746124</v>
      </c>
      <c r="AR32" s="45">
        <f>VLOOKUP($B32,'[7]E.U.'!$R$9:$AZ$225,11,FALSE)</f>
        <v>0</v>
      </c>
      <c r="AS32" s="45">
        <f>VLOOKUP($B32,'[8]E.U.'!$R$9:$AZ$225,11,FALSE)</f>
        <v>0</v>
      </c>
      <c r="AT32" s="45">
        <f>VLOOKUP($B32,'[9]E.U.'!$R$9:$AZ$221,11,FALSE)</f>
        <v>0</v>
      </c>
      <c r="AU32" s="45"/>
      <c r="AV32" s="45">
        <f>VLOOKUP($B32,'[10]E.U.'!$R$9:$AZ$221,11,FALSE)</f>
        <v>0</v>
      </c>
      <c r="AW32" s="45">
        <f>VLOOKUP($B32,'[11]E.U.'!$R$9:$AZ$220,11,FALSE)</f>
        <v>0</v>
      </c>
      <c r="AX32" s="252"/>
      <c r="AY32" s="45">
        <f>VLOOKUP($B32,'[12]E.U.'!$R$9:$AZ$220,11,FALSE)</f>
        <v>0</v>
      </c>
      <c r="AZ32" s="45"/>
      <c r="BA32" s="45">
        <f>VLOOKUP($B32,'[13]E.U.'!$R$9:$AZ$221,11,FALSE)</f>
        <v>0</v>
      </c>
      <c r="BB32" s="46">
        <f t="shared" si="6"/>
        <v>10709.899091337244</v>
      </c>
      <c r="BC32" s="47" t="e">
        <f>SUM(#REF!)</f>
        <v>#REF!</v>
      </c>
      <c r="BD32" s="43" t="e">
        <f>VLOOKUP(V32,[14]ELECTRIC!$C$1:$H$4000,6,FALSE)</f>
        <v>#N/A</v>
      </c>
      <c r="BE32" s="43" t="e">
        <f t="shared" si="1"/>
        <v>#N/A</v>
      </c>
      <c r="BF32" s="48">
        <f t="shared" si="3"/>
        <v>10709.899091337244</v>
      </c>
      <c r="BG32" s="49"/>
      <c r="BH32" s="43" t="e">
        <f t="shared" si="7"/>
        <v>#REF!</v>
      </c>
      <c r="BI32" s="50" t="e">
        <f t="shared" si="8"/>
        <v>#REF!</v>
      </c>
      <c r="BJ32" s="51">
        <f t="shared" si="5"/>
        <v>-0.86036011143997537</v>
      </c>
      <c r="BK32" s="52"/>
      <c r="BL32" s="52"/>
      <c r="BM32" s="52"/>
      <c r="BN32" s="52"/>
      <c r="BO32" s="72"/>
      <c r="BP32" s="52"/>
      <c r="BQ32" s="52"/>
      <c r="BR32" s="50"/>
      <c r="BS32" s="53"/>
      <c r="BT32" s="53"/>
      <c r="BU32" s="65"/>
      <c r="BV32" s="55"/>
      <c r="BW32" s="55"/>
      <c r="BX32" s="56"/>
      <c r="BY32" s="56"/>
      <c r="BZ32" s="58"/>
    </row>
    <row r="33" spans="1:78" ht="15.6" x14ac:dyDescent="0.3">
      <c r="A33" s="59" t="s">
        <v>694</v>
      </c>
      <c r="B33" s="38" t="s">
        <v>79</v>
      </c>
      <c r="C33" s="1" t="s">
        <v>1055</v>
      </c>
      <c r="D33" t="s">
        <v>1056</v>
      </c>
      <c r="E33" s="40" t="s">
        <v>81</v>
      </c>
      <c r="F33" s="41"/>
      <c r="G33" s="42" t="s">
        <v>1057</v>
      </c>
      <c r="H33" s="42" t="s">
        <v>1057</v>
      </c>
      <c r="I33" s="42" t="s">
        <v>1057</v>
      </c>
      <c r="J33" s="42" t="s">
        <v>1058</v>
      </c>
      <c r="K33" s="42" t="s">
        <v>1059</v>
      </c>
      <c r="L33" s="42" t="s">
        <v>1060</v>
      </c>
      <c r="M33" s="42" t="s">
        <v>1061</v>
      </c>
      <c r="N33" s="42" t="s">
        <v>1062</v>
      </c>
      <c r="O33" s="42" t="s">
        <v>1063</v>
      </c>
      <c r="P33" s="42" t="s">
        <v>1064</v>
      </c>
      <c r="Q33" s="42" t="s">
        <v>1065</v>
      </c>
      <c r="R33" s="42" t="s">
        <v>1066</v>
      </c>
      <c r="S33" s="42" t="s">
        <v>1067</v>
      </c>
      <c r="T33" s="42" t="s">
        <v>1068</v>
      </c>
      <c r="U33" s="42" t="s">
        <v>1069</v>
      </c>
      <c r="V33" s="42" t="str">
        <f>VLOOKUP(D33,[1]ALL!$A$15:$Z$983,3,FALSE)</f>
        <v>MCC-EGW</v>
      </c>
      <c r="W33" s="43">
        <v>276405.19053836609</v>
      </c>
      <c r="X33" s="43">
        <v>270494.58380452974</v>
      </c>
      <c r="Y33" s="43">
        <v>317497.88089350163</v>
      </c>
      <c r="Z33" s="43">
        <v>395810.48505579296</v>
      </c>
      <c r="AA33" s="43">
        <v>504277.16</v>
      </c>
      <c r="AB33" s="43">
        <v>698891.28</v>
      </c>
      <c r="AC33" s="43">
        <v>644588.65</v>
      </c>
      <c r="AD33" s="43">
        <v>127774.44</v>
      </c>
      <c r="AE33" s="43">
        <v>50478.36</v>
      </c>
      <c r="AF33" s="43">
        <v>54203.98</v>
      </c>
      <c r="AG33" s="43">
        <v>57448.09</v>
      </c>
      <c r="AH33" s="43">
        <v>72389.09</v>
      </c>
      <c r="AI33" s="43">
        <v>69743.94</v>
      </c>
      <c r="AJ33" s="43">
        <v>81102.77</v>
      </c>
      <c r="AK33" s="43">
        <v>89600.55</v>
      </c>
      <c r="AL33" s="44"/>
      <c r="AM33" s="45">
        <f>VLOOKUP($B33,'[2]E.U.'!$R$9:$AZ$205,11,FALSE)</f>
        <v>6519.28</v>
      </c>
      <c r="AN33" s="45">
        <f>VLOOKUP($B33,'[3]E.U.'!$R9:$AZ$225,11,FALSE)</f>
        <v>7530.93</v>
      </c>
      <c r="AO33" s="45">
        <f>VLOOKUP($B33,'[4]E.U.'!$R$9:$BZ$225,11,FALSE)</f>
        <v>7005.7175804095987</v>
      </c>
      <c r="AP33" s="45">
        <f>VLOOKUP($B33,'[5]E.U.'!$R$9:$BZ$225,11,FALSE)</f>
        <v>6962.0688140911243</v>
      </c>
      <c r="AQ33" s="45">
        <f>VLOOKUP($B33,'[6]E.U.'!$R$9:$CA$225,11,FALSE)</f>
        <v>7306.9878924727727</v>
      </c>
      <c r="AR33" s="45">
        <f>VLOOKUP($B33,'[7]E.U.'!$R$9:$AZ$225,11,FALSE)</f>
        <v>7113.9947388485889</v>
      </c>
      <c r="AS33" s="45">
        <f>VLOOKUP($B33,'[8]E.U.'!$R$9:$AZ$225,11,FALSE)</f>
        <v>7827.6790881949128</v>
      </c>
      <c r="AT33" s="45">
        <f>VLOOKUP($B33,'[9]E.U.'!$R$9:$AZ$221,11,FALSE)</f>
        <v>6887.305652757741</v>
      </c>
      <c r="AU33" s="45"/>
      <c r="AV33" s="45">
        <f>VLOOKUP($B33,'[10]E.U.'!$R$9:$AZ$221,11,FALSE)</f>
        <v>6669.3690497133348</v>
      </c>
      <c r="AW33" s="45">
        <f>VLOOKUP($B33,'[11]E.U.'!$R$9:$AZ$220,11,FALSE)</f>
        <v>6386.5245264617015</v>
      </c>
      <c r="AX33" s="252"/>
      <c r="AY33" s="45">
        <f>VLOOKUP($B33,'[12]E.U.'!$R$9:$AZ$220,11,FALSE)</f>
        <v>6146.2632215524345</v>
      </c>
      <c r="AZ33" s="45"/>
      <c r="BA33" s="45">
        <f>VLOOKUP($B33,'[13]E.U.'!$R$9:$AZ$221,11,FALSE)</f>
        <v>5863.2690912591725</v>
      </c>
      <c r="BB33" s="46">
        <f t="shared" si="6"/>
        <v>82219.389655761392</v>
      </c>
      <c r="BC33" s="47" t="e">
        <f>SUM(#REF!)</f>
        <v>#REF!</v>
      </c>
      <c r="BD33" s="43" t="e">
        <f>VLOOKUP(V33,[14]ELECTRIC!$C$1:$H$4000,6,FALSE)</f>
        <v>#N/A</v>
      </c>
      <c r="BE33" s="43" t="e">
        <f t="shared" si="1"/>
        <v>#N/A</v>
      </c>
      <c r="BF33" s="48">
        <f t="shared" si="3"/>
        <v>82219.389655761392</v>
      </c>
      <c r="BG33" s="49">
        <f t="shared" ref="BG33:BG97" si="9">(BB33*9/7)+((BB33*3/7)*1.065)</f>
        <v>143237.92240743001</v>
      </c>
      <c r="BH33" s="43" t="e">
        <f t="shared" si="7"/>
        <v>#REF!</v>
      </c>
      <c r="BI33" s="50" t="e">
        <f t="shared" si="8"/>
        <v>#REF!</v>
      </c>
      <c r="BJ33" s="51">
        <f t="shared" si="5"/>
        <v>-8.2378516027397319E-2</v>
      </c>
      <c r="BK33" s="52"/>
      <c r="BL33" s="52"/>
      <c r="BM33" s="52"/>
      <c r="BN33" s="52"/>
      <c r="BO33" s="72"/>
      <c r="BP33" s="72" t="s">
        <v>1070</v>
      </c>
      <c r="BQ33" s="52"/>
      <c r="BR33" s="50" t="s">
        <v>1071</v>
      </c>
      <c r="BS33" s="53"/>
      <c r="BT33" s="53"/>
      <c r="BU33" s="65" t="s">
        <v>1072</v>
      </c>
      <c r="BV33" s="55"/>
      <c r="BW33" s="55"/>
      <c r="BX33" s="56"/>
      <c r="BY33" s="67"/>
      <c r="BZ33" s="58"/>
    </row>
    <row r="34" spans="1:78" ht="15.6" x14ac:dyDescent="0.3">
      <c r="A34" s="59" t="s">
        <v>694</v>
      </c>
      <c r="B34" s="38" t="s">
        <v>82</v>
      </c>
      <c r="C34" s="1" t="s">
        <v>83</v>
      </c>
      <c r="D34" t="s">
        <v>1073</v>
      </c>
      <c r="E34" s="40" t="s">
        <v>84</v>
      </c>
      <c r="F34" s="41" t="s">
        <v>758</v>
      </c>
      <c r="G34" s="42" t="s">
        <v>1074</v>
      </c>
      <c r="H34" s="42" t="s">
        <v>1074</v>
      </c>
      <c r="I34" s="42" t="s">
        <v>1074</v>
      </c>
      <c r="J34" s="42" t="s">
        <v>1075</v>
      </c>
      <c r="K34" s="42" t="s">
        <v>1076</v>
      </c>
      <c r="L34" s="42" t="s">
        <v>1077</v>
      </c>
      <c r="M34" s="42" t="s">
        <v>1078</v>
      </c>
      <c r="N34" s="42" t="s">
        <v>1079</v>
      </c>
      <c r="O34" s="42" t="s">
        <v>1080</v>
      </c>
      <c r="P34" s="42" t="s">
        <v>1081</v>
      </c>
      <c r="Q34" s="42" t="s">
        <v>1082</v>
      </c>
      <c r="R34" s="42" t="s">
        <v>1083</v>
      </c>
      <c r="S34" s="42" t="s">
        <v>1084</v>
      </c>
      <c r="T34" s="42" t="s">
        <v>1085</v>
      </c>
      <c r="U34" s="42" t="s">
        <v>1086</v>
      </c>
      <c r="V34" s="42" t="str">
        <f>VLOOKUP(D34,[1]ALL!$A$15:$Z$983,3,FALSE)</f>
        <v>PHE-EGW</v>
      </c>
      <c r="W34" s="43">
        <v>112590.71304987579</v>
      </c>
      <c r="X34" s="43">
        <v>91215.173927734446</v>
      </c>
      <c r="Y34" s="43">
        <v>96826.627375087293</v>
      </c>
      <c r="Z34" s="43">
        <v>92434.431939173068</v>
      </c>
      <c r="AA34" s="43">
        <v>97075.88</v>
      </c>
      <c r="AB34" s="43">
        <v>94819.73</v>
      </c>
      <c r="AC34" s="43">
        <v>100645.9</v>
      </c>
      <c r="AD34" s="43">
        <v>98299.02</v>
      </c>
      <c r="AE34" s="43">
        <v>99438.01</v>
      </c>
      <c r="AF34" s="43">
        <v>116698.44</v>
      </c>
      <c r="AG34" s="43">
        <v>127683.21</v>
      </c>
      <c r="AH34" s="43">
        <v>130426.06</v>
      </c>
      <c r="AI34" s="43">
        <v>131109.22</v>
      </c>
      <c r="AJ34" s="43">
        <v>132239.96</v>
      </c>
      <c r="AK34" s="43">
        <v>166127.04000000001</v>
      </c>
      <c r="AL34" s="44"/>
      <c r="AM34" s="45">
        <f>VLOOKUP($B34,'[2]E.U.'!$R$9:$AZ$205,11,FALSE)</f>
        <v>13869.6</v>
      </c>
      <c r="AN34" s="45">
        <f>VLOOKUP($B34,'[3]E.U.'!$R9:$AZ$225,11,FALSE)</f>
        <v>15749.15</v>
      </c>
      <c r="AO34" s="45">
        <f>VLOOKUP($B34,'[4]E.U.'!$R$9:$BZ$225,11,FALSE)</f>
        <v>15707.127572611173</v>
      </c>
      <c r="AP34" s="45">
        <f>VLOOKUP($B34,'[5]E.U.'!$R$9:$BZ$225,11,FALSE)</f>
        <v>10902.793510070813</v>
      </c>
      <c r="AQ34" s="45">
        <f>VLOOKUP($B34,'[6]E.U.'!$R$9:$CA$225,11,FALSE)</f>
        <v>11371.165773304787</v>
      </c>
      <c r="AR34" s="45">
        <f>VLOOKUP($B34,'[7]E.U.'!$R$9:$AZ$225,11,FALSE)</f>
        <v>11659.700514814387</v>
      </c>
      <c r="AS34" s="45">
        <f>VLOOKUP($B34,'[8]E.U.'!$R$9:$AZ$225,11,FALSE)</f>
        <v>13591.979994943578</v>
      </c>
      <c r="AT34" s="45">
        <f>VLOOKUP($B34,'[9]E.U.'!$R$9:$AZ$221,11,FALSE)</f>
        <v>13122.207806491646</v>
      </c>
      <c r="AU34" s="45"/>
      <c r="AV34" s="45">
        <f>VLOOKUP($B34,'[10]E.U.'!$R$9:$AZ$221,11,FALSE)</f>
        <v>12667.462730291923</v>
      </c>
      <c r="AW34" s="45">
        <f>VLOOKUP($B34,'[11]E.U.'!$R$9:$AZ$220,11,FALSE)</f>
        <v>11932.517679222234</v>
      </c>
      <c r="AX34" s="252"/>
      <c r="AY34" s="45">
        <f>VLOOKUP($B34,'[12]E.U.'!$R$9:$AZ$220,11,FALSE)</f>
        <v>11683.010173230372</v>
      </c>
      <c r="AZ34" s="45"/>
      <c r="BA34" s="45">
        <f>VLOOKUP($B34,'[13]E.U.'!$R$9:$AZ$221,11,FALSE)</f>
        <v>10755.494009528042</v>
      </c>
      <c r="BB34" s="46">
        <f t="shared" si="6"/>
        <v>153012.20976450894</v>
      </c>
      <c r="BC34" s="47" t="e">
        <f>SUM(#REF!)</f>
        <v>#REF!</v>
      </c>
      <c r="BD34" s="43" t="e">
        <f>VLOOKUP(V34,[14]ELECTRIC!$C$1:$H$4000,6,FALSE)</f>
        <v>#N/A</v>
      </c>
      <c r="BE34" s="43" t="e">
        <f t="shared" si="1"/>
        <v>#N/A</v>
      </c>
      <c r="BF34" s="48">
        <f t="shared" si="3"/>
        <v>153012.20976450894</v>
      </c>
      <c r="BG34" s="49">
        <f t="shared" si="9"/>
        <v>266569.12829688378</v>
      </c>
      <c r="BH34" s="43" t="e">
        <f t="shared" si="7"/>
        <v>#REF!</v>
      </c>
      <c r="BI34" s="50" t="e">
        <f t="shared" si="8"/>
        <v>#REF!</v>
      </c>
      <c r="BJ34" s="51">
        <f t="shared" si="5"/>
        <v>-7.8944585032581505E-2</v>
      </c>
      <c r="BK34" s="52"/>
      <c r="BL34" s="52"/>
      <c r="BM34" s="52"/>
      <c r="BN34" s="52"/>
      <c r="BO34" s="72"/>
      <c r="BP34" s="52"/>
      <c r="BQ34" s="52"/>
      <c r="BR34" s="50"/>
      <c r="BS34" s="53"/>
      <c r="BT34" s="53"/>
      <c r="BU34" s="65"/>
      <c r="BV34" s="55"/>
      <c r="BW34" s="55"/>
      <c r="BX34" s="56"/>
      <c r="BY34" s="67"/>
      <c r="BZ34" s="58"/>
    </row>
    <row r="35" spans="1:78" ht="15.6" x14ac:dyDescent="0.3">
      <c r="A35" s="59" t="s">
        <v>694</v>
      </c>
      <c r="B35" s="38" t="s">
        <v>85</v>
      </c>
      <c r="C35" s="1" t="s">
        <v>86</v>
      </c>
      <c r="D35" t="s">
        <v>1087</v>
      </c>
      <c r="E35" s="40" t="s">
        <v>87</v>
      </c>
      <c r="F35" s="41">
        <v>0</v>
      </c>
      <c r="G35" s="42" t="s">
        <v>1088</v>
      </c>
      <c r="H35" s="42" t="s">
        <v>1088</v>
      </c>
      <c r="I35" s="42" t="s">
        <v>1088</v>
      </c>
      <c r="J35" s="42" t="s">
        <v>1089</v>
      </c>
      <c r="K35" s="42" t="s">
        <v>1090</v>
      </c>
      <c r="L35" s="42" t="s">
        <v>1091</v>
      </c>
      <c r="M35" s="42" t="s">
        <v>1092</v>
      </c>
      <c r="N35" s="42" t="s">
        <v>1093</v>
      </c>
      <c r="O35" s="42" t="s">
        <v>1094</v>
      </c>
      <c r="P35" s="42" t="s">
        <v>1095</v>
      </c>
      <c r="Q35" s="42" t="s">
        <v>1096</v>
      </c>
      <c r="R35" s="42" t="s">
        <v>1097</v>
      </c>
      <c r="S35" s="42" t="s">
        <v>1098</v>
      </c>
      <c r="T35" s="42" t="s">
        <v>1099</v>
      </c>
      <c r="U35" s="42" t="s">
        <v>1100</v>
      </c>
      <c r="V35" s="42" t="str">
        <f>VLOOKUP(D35,[1]ALL!$A$15:$Z$983,3,FALSE)</f>
        <v>WAH-EGW</v>
      </c>
      <c r="W35" s="43">
        <v>158241.53634803853</v>
      </c>
      <c r="X35" s="43">
        <v>123864.86441705267</v>
      </c>
      <c r="Y35" s="43">
        <v>122715.26194153201</v>
      </c>
      <c r="Z35" s="43">
        <v>122052.04753820824</v>
      </c>
      <c r="AA35" s="43">
        <v>120925.28</v>
      </c>
      <c r="AB35" s="43">
        <v>110385.41</v>
      </c>
      <c r="AC35" s="43">
        <v>117476.25</v>
      </c>
      <c r="AD35" s="43">
        <v>132163.62</v>
      </c>
      <c r="AE35" s="43">
        <v>141717.73000000001</v>
      </c>
      <c r="AF35" s="43">
        <v>150869.39000000001</v>
      </c>
      <c r="AG35" s="43">
        <v>162696.20000000001</v>
      </c>
      <c r="AH35" s="43">
        <v>174070.39</v>
      </c>
      <c r="AI35" s="43">
        <v>194103.45</v>
      </c>
      <c r="AJ35" s="43">
        <v>175079.28</v>
      </c>
      <c r="AK35" s="43">
        <v>215610.67</v>
      </c>
      <c r="AL35" s="44"/>
      <c r="AM35" s="45">
        <f>VLOOKUP($B35,'[2]E.U.'!$R$9:$AZ$205,11,FALSE)</f>
        <v>17362.919999999998</v>
      </c>
      <c r="AN35" s="45">
        <f>VLOOKUP($B35,'[3]E.U.'!$R9:$AZ$225,11,FALSE)</f>
        <v>16384.14</v>
      </c>
      <c r="AO35" s="45">
        <f>VLOOKUP($B35,'[4]E.U.'!$R$9:$BZ$225,11,FALSE)</f>
        <v>15241.046014320791</v>
      </c>
      <c r="AP35" s="45">
        <f>VLOOKUP($B35,'[5]E.U.'!$R$9:$BZ$225,11,FALSE)</f>
        <v>15096.792389850014</v>
      </c>
      <c r="AQ35" s="45">
        <f>VLOOKUP($B35,'[6]E.U.'!$R$9:$CA$225,11,FALSE)</f>
        <v>22241.083310063928</v>
      </c>
      <c r="AR35" s="45">
        <f>VLOOKUP($B35,'[7]E.U.'!$R$9:$AZ$225,11,FALSE)</f>
        <v>20885.564298422752</v>
      </c>
      <c r="AS35" s="45">
        <f>VLOOKUP($B35,'[8]E.U.'!$R$9:$AZ$225,11,FALSE)</f>
        <v>23328.924234568811</v>
      </c>
      <c r="AT35" s="45">
        <f>VLOOKUP($B35,'[9]E.U.'!$R$9:$AZ$221,11,FALSE)</f>
        <v>19166.396214079745</v>
      </c>
      <c r="AU35" s="45"/>
      <c r="AV35" s="45">
        <f>VLOOKUP($B35,'[10]E.U.'!$R$9:$AZ$221,11,FALSE)</f>
        <v>19258.223227610015</v>
      </c>
      <c r="AW35" s="45">
        <f>VLOOKUP($B35,'[11]E.U.'!$R$9:$AZ$220,11,FALSE)</f>
        <v>19191.485340953343</v>
      </c>
      <c r="AX35" s="252"/>
      <c r="AY35" s="45">
        <f>VLOOKUP($B35,'[12]E.U.'!$R$9:$AZ$220,11,FALSE)</f>
        <v>17835.579124721775</v>
      </c>
      <c r="AZ35" s="45"/>
      <c r="BA35" s="45">
        <f>VLOOKUP($B35,'[13]E.U.'!$R$9:$AZ$221,11,FALSE)</f>
        <v>17944.848232895489</v>
      </c>
      <c r="BB35" s="46">
        <f t="shared" si="6"/>
        <v>223937.00238748669</v>
      </c>
      <c r="BC35" s="47" t="e">
        <f>SUM(#REF!)</f>
        <v>#REF!</v>
      </c>
      <c r="BD35" s="43" t="e">
        <f>VLOOKUP(V35,[14]ELECTRIC!$C$1:$H$4000,6,FALSE)</f>
        <v>#N/A</v>
      </c>
      <c r="BE35" s="43" t="e">
        <f t="shared" si="1"/>
        <v>#N/A</v>
      </c>
      <c r="BF35" s="48">
        <f t="shared" si="3"/>
        <v>223937.00238748669</v>
      </c>
      <c r="BG35" s="49">
        <f t="shared" si="9"/>
        <v>390130.2491593429</v>
      </c>
      <c r="BH35" s="43" t="e">
        <f t="shared" si="7"/>
        <v>#REF!</v>
      </c>
      <c r="BI35" s="50" t="e">
        <f t="shared" si="8"/>
        <v>#REF!</v>
      </c>
      <c r="BJ35" s="51">
        <f t="shared" si="5"/>
        <v>3.8617441277311038E-2</v>
      </c>
      <c r="BK35" s="52"/>
      <c r="BL35" s="52"/>
      <c r="BM35" s="52"/>
      <c r="BN35" s="52"/>
      <c r="BO35" s="72"/>
      <c r="BP35" s="52"/>
      <c r="BQ35" s="52"/>
      <c r="BR35" s="50" t="s">
        <v>1101</v>
      </c>
      <c r="BS35" s="53"/>
      <c r="BT35" s="53"/>
      <c r="BU35" s="65"/>
      <c r="BV35" s="55"/>
      <c r="BW35" s="55"/>
      <c r="BX35" s="56"/>
      <c r="BY35" s="67"/>
      <c r="BZ35" s="58"/>
    </row>
    <row r="36" spans="1:78" ht="15.6" x14ac:dyDescent="0.3">
      <c r="A36" s="59" t="s">
        <v>694</v>
      </c>
      <c r="B36" s="38" t="s">
        <v>88</v>
      </c>
      <c r="C36" s="1" t="s">
        <v>89</v>
      </c>
      <c r="D36" t="s">
        <v>1102</v>
      </c>
      <c r="E36" s="40" t="s">
        <v>90</v>
      </c>
      <c r="F36" s="41">
        <v>0</v>
      </c>
      <c r="G36" s="42" t="s">
        <v>1103</v>
      </c>
      <c r="H36" s="42" t="s">
        <v>1103</v>
      </c>
      <c r="I36" s="42" t="s">
        <v>1103</v>
      </c>
      <c r="J36" s="42" t="s">
        <v>1104</v>
      </c>
      <c r="K36" s="42" t="s">
        <v>1105</v>
      </c>
      <c r="L36" s="42" t="s">
        <v>1106</v>
      </c>
      <c r="M36" s="42" t="s">
        <v>1107</v>
      </c>
      <c r="N36" s="42" t="s">
        <v>1108</v>
      </c>
      <c r="O36" s="42" t="s">
        <v>1109</v>
      </c>
      <c r="P36" s="42" t="s">
        <v>1110</v>
      </c>
      <c r="Q36" s="42" t="s">
        <v>1111</v>
      </c>
      <c r="R36" s="42" t="s">
        <v>1112</v>
      </c>
      <c r="S36" s="42" t="s">
        <v>1113</v>
      </c>
      <c r="T36" s="42" t="s">
        <v>1114</v>
      </c>
      <c r="U36" s="42" t="s">
        <v>1115</v>
      </c>
      <c r="V36" s="42" t="str">
        <f>VLOOKUP(D36,[1]ALL!$A$15:$Z$983,3,FALSE)</f>
        <v>SHC-EGW</v>
      </c>
      <c r="W36" s="43">
        <v>39976.947213864587</v>
      </c>
      <c r="X36" s="43">
        <v>36854.368245098158</v>
      </c>
      <c r="Y36" s="43">
        <v>36420.906500724166</v>
      </c>
      <c r="Z36" s="43">
        <v>35889.621602078769</v>
      </c>
      <c r="AA36" s="43">
        <v>39468.160000000003</v>
      </c>
      <c r="AB36" s="43">
        <v>40042.53</v>
      </c>
      <c r="AC36" s="43">
        <v>39169.39</v>
      </c>
      <c r="AD36" s="43">
        <v>40359.449999999997</v>
      </c>
      <c r="AE36" s="43">
        <v>50228.160000000003</v>
      </c>
      <c r="AF36" s="43">
        <v>51188.24</v>
      </c>
      <c r="AG36" s="43">
        <v>50290.12</v>
      </c>
      <c r="AH36" s="43">
        <v>50340.36</v>
      </c>
      <c r="AI36" s="43">
        <v>40705.360000000001</v>
      </c>
      <c r="AJ36" s="43">
        <v>1141.54</v>
      </c>
      <c r="AK36" s="43">
        <v>12.3</v>
      </c>
      <c r="AL36" s="44"/>
      <c r="AM36" s="45">
        <f>VLOOKUP($B36,'[2]E.U.'!$R$9:$AZ$205,11,FALSE)</f>
        <v>0</v>
      </c>
      <c r="AN36" s="45">
        <f>VLOOKUP($B36,'[3]E.U.'!$R9:$AZ$225,11,FALSE)</f>
        <v>0</v>
      </c>
      <c r="AO36" s="45">
        <f>VLOOKUP($B36,'[4]E.U.'!$R$9:$BZ$225,11,FALSE)</f>
        <v>0</v>
      </c>
      <c r="AP36" s="45">
        <f>VLOOKUP($B36,'[5]E.U.'!$R$9:$BZ$225,11,FALSE)</f>
        <v>0</v>
      </c>
      <c r="AQ36" s="45">
        <f>VLOOKUP($B36,'[6]E.U.'!$R$9:$CA$225,11,FALSE)</f>
        <v>0</v>
      </c>
      <c r="AR36" s="45">
        <f>VLOOKUP($B36,'[7]E.U.'!$R$9:$AZ$225,11,FALSE)</f>
        <v>0</v>
      </c>
      <c r="AS36" s="45">
        <f>VLOOKUP($B36,'[8]E.U.'!$R$9:$AZ$225,11,FALSE)</f>
        <v>0</v>
      </c>
      <c r="AT36" s="45">
        <f>VLOOKUP($B36,'[9]E.U.'!$R$9:$AZ$221,11,FALSE)</f>
        <v>0</v>
      </c>
      <c r="AU36" s="45"/>
      <c r="AV36" s="45">
        <f>VLOOKUP($B36,'[10]E.U.'!$R$9:$AZ$221,11,FALSE)</f>
        <v>0</v>
      </c>
      <c r="AW36" s="45" t="e">
        <f>VLOOKUP($B36,'[11]E.U.'!$R$9:$AZ$220,11,FALSE)</f>
        <v>#REF!</v>
      </c>
      <c r="AX36" s="252"/>
      <c r="AY36" s="45" t="e">
        <f>VLOOKUP($B36,'[12]E.U.'!$R$9:$AZ$220,11,FALSE)</f>
        <v>#REF!</v>
      </c>
      <c r="AZ36" s="45"/>
      <c r="BA36" s="45">
        <f>VLOOKUP($B36,'[13]E.U.'!$R$9:$AZ$221,11,FALSE)</f>
        <v>0</v>
      </c>
      <c r="BB36" s="46" t="e">
        <f t="shared" si="6"/>
        <v>#REF!</v>
      </c>
      <c r="BC36" s="47" t="e">
        <f>SUM(#REF!)</f>
        <v>#REF!</v>
      </c>
      <c r="BD36" s="43" t="e">
        <f>VLOOKUP(V36,[14]ELECTRIC!$C$1:$H$4000,6,FALSE)</f>
        <v>#N/A</v>
      </c>
      <c r="BE36" s="43" t="e">
        <f t="shared" si="1"/>
        <v>#REF!</v>
      </c>
      <c r="BF36" s="48" t="e">
        <f t="shared" si="3"/>
        <v>#REF!</v>
      </c>
      <c r="BG36" s="49" t="e">
        <f t="shared" si="9"/>
        <v>#REF!</v>
      </c>
      <c r="BH36" s="43" t="e">
        <f t="shared" si="7"/>
        <v>#REF!</v>
      </c>
      <c r="BI36" s="50" t="e">
        <f t="shared" si="8"/>
        <v>#REF!</v>
      </c>
      <c r="BJ36" s="51" t="e">
        <f t="shared" si="5"/>
        <v>#REF!</v>
      </c>
      <c r="BK36" s="52"/>
      <c r="BL36" s="52"/>
      <c r="BM36" s="52"/>
      <c r="BN36" s="52"/>
      <c r="BO36" s="72"/>
      <c r="BP36" s="52"/>
      <c r="BQ36" s="52"/>
      <c r="BR36" s="50"/>
      <c r="BS36" s="53"/>
      <c r="BT36" s="53"/>
      <c r="BU36" s="65"/>
      <c r="BV36" s="55"/>
      <c r="BW36" s="55"/>
      <c r="BX36" s="56"/>
      <c r="BY36" s="67"/>
      <c r="BZ36" s="58"/>
    </row>
    <row r="37" spans="1:78" ht="15.6" x14ac:dyDescent="0.3">
      <c r="A37" s="59" t="s">
        <v>694</v>
      </c>
      <c r="B37" s="38" t="s">
        <v>91</v>
      </c>
      <c r="C37" s="1" t="s">
        <v>92</v>
      </c>
      <c r="D37" t="s">
        <v>1116</v>
      </c>
      <c r="E37" s="40" t="s">
        <v>93</v>
      </c>
      <c r="F37" s="41" t="s">
        <v>758</v>
      </c>
      <c r="G37" s="42" t="s">
        <v>1117</v>
      </c>
      <c r="H37" s="42" t="s">
        <v>1117</v>
      </c>
      <c r="I37" s="42" t="s">
        <v>1117</v>
      </c>
      <c r="J37" s="42" t="s">
        <v>1118</v>
      </c>
      <c r="K37" s="42" t="s">
        <v>1119</v>
      </c>
      <c r="L37" s="42" t="s">
        <v>1120</v>
      </c>
      <c r="M37" s="42" t="s">
        <v>1121</v>
      </c>
      <c r="N37" s="42" t="s">
        <v>1122</v>
      </c>
      <c r="O37" s="42" t="s">
        <v>1123</v>
      </c>
      <c r="P37" s="42" t="s">
        <v>1124</v>
      </c>
      <c r="Q37" s="42" t="s">
        <v>1125</v>
      </c>
      <c r="R37" s="42" t="s">
        <v>1126</v>
      </c>
      <c r="S37" s="42" t="s">
        <v>1127</v>
      </c>
      <c r="T37" s="42" t="s">
        <v>1128</v>
      </c>
      <c r="U37" s="42" t="s">
        <v>1129</v>
      </c>
      <c r="V37" s="42" t="str">
        <f>VLOOKUP(D37,[1]ALL!$A$15:$Z$983,3,FALSE)</f>
        <v>ASC-EGW</v>
      </c>
      <c r="W37" s="43">
        <v>204362.30225388813</v>
      </c>
      <c r="X37" s="43">
        <v>155695.22963737007</v>
      </c>
      <c r="Y37" s="43">
        <v>145147.01873616449</v>
      </c>
      <c r="Z37" s="43">
        <v>157382.78831956687</v>
      </c>
      <c r="AA37" s="43">
        <v>151150.82999999999</v>
      </c>
      <c r="AB37" s="43">
        <v>153689.04999999999</v>
      </c>
      <c r="AC37" s="43">
        <v>166059.95000000001</v>
      </c>
      <c r="AD37" s="43">
        <v>169317.96</v>
      </c>
      <c r="AE37" s="43">
        <v>192037.96</v>
      </c>
      <c r="AF37" s="43">
        <v>210808.94</v>
      </c>
      <c r="AG37" s="43">
        <v>209600.39</v>
      </c>
      <c r="AH37" s="43">
        <v>215678.67</v>
      </c>
      <c r="AI37" s="43">
        <v>214600.23</v>
      </c>
      <c r="AJ37" s="43">
        <v>204306.8</v>
      </c>
      <c r="AK37" s="43">
        <v>231870.62</v>
      </c>
      <c r="AL37" s="44"/>
      <c r="AM37" s="45">
        <f>VLOOKUP($B37,'[2]E.U.'!$R$9:$AZ$205,11,FALSE)</f>
        <v>15686.35</v>
      </c>
      <c r="AN37" s="45">
        <f>VLOOKUP($B37,'[3]E.U.'!$R9:$AZ$225,11,FALSE)</f>
        <v>18579.59</v>
      </c>
      <c r="AO37" s="45">
        <f>VLOOKUP($B37,'[4]E.U.'!$R$9:$BZ$225,11,FALSE)</f>
        <v>15224.570395599676</v>
      </c>
      <c r="AP37" s="45">
        <f>VLOOKUP($B37,'[5]E.U.'!$R$9:$BZ$225,11,FALSE)</f>
        <v>15526.722211447972</v>
      </c>
      <c r="AQ37" s="45">
        <f>VLOOKUP($B37,'[6]E.U.'!$R$9:$CA$225,11,FALSE)</f>
        <v>16191.203371756719</v>
      </c>
      <c r="AR37" s="45">
        <f>VLOOKUP($B37,'[7]E.U.'!$R$9:$AZ$225,11,FALSE)</f>
        <v>15623.508312749469</v>
      </c>
      <c r="AS37" s="45">
        <f>VLOOKUP($B37,'[8]E.U.'!$R$9:$AZ$225,11,FALSE)</f>
        <v>17070.809636300753</v>
      </c>
      <c r="AT37" s="45">
        <f>VLOOKUP($B37,'[9]E.U.'!$R$9:$AZ$221,11,FALSE)</f>
        <v>14831.400031537576</v>
      </c>
      <c r="AU37" s="45"/>
      <c r="AV37" s="45">
        <f>VLOOKUP($B37,'[10]E.U.'!$R$9:$AZ$221,11,FALSE)</f>
        <v>13912.490792258333</v>
      </c>
      <c r="AW37" s="45">
        <f>VLOOKUP($B37,'[11]E.U.'!$R$9:$AZ$220,11,FALSE)</f>
        <v>13920.10880298468</v>
      </c>
      <c r="AX37" s="252"/>
      <c r="AY37" s="45">
        <f>VLOOKUP($B37,'[12]E.U.'!$R$9:$AZ$220,11,FALSE)</f>
        <v>14128.2592167204</v>
      </c>
      <c r="AZ37" s="45"/>
      <c r="BA37" s="45">
        <f>VLOOKUP($B37,'[13]E.U.'!$R$9:$AZ$221,11,FALSE)</f>
        <v>13112.877451390405</v>
      </c>
      <c r="BB37" s="46">
        <f t="shared" si="6"/>
        <v>183807.89022274598</v>
      </c>
      <c r="BC37" s="47" t="e">
        <f>SUM(#REF!)</f>
        <v>#REF!</v>
      </c>
      <c r="BD37" s="43" t="e">
        <f>VLOOKUP(V37,[14]ELECTRIC!$C$1:$H$4000,6,FALSE)</f>
        <v>#N/A</v>
      </c>
      <c r="BE37" s="43" t="e">
        <f t="shared" si="1"/>
        <v>#N/A</v>
      </c>
      <c r="BF37" s="48">
        <f t="shared" si="3"/>
        <v>183807.89022274598</v>
      </c>
      <c r="BG37" s="49">
        <f t="shared" si="9"/>
        <v>320219.6030380553</v>
      </c>
      <c r="BH37" s="43" t="e">
        <f t="shared" si="7"/>
        <v>#REF!</v>
      </c>
      <c r="BI37" s="50" t="e">
        <f t="shared" si="8"/>
        <v>#REF!</v>
      </c>
      <c r="BJ37" s="51">
        <f t="shared" si="5"/>
        <v>-0.20728253444638234</v>
      </c>
      <c r="BK37" s="52"/>
      <c r="BL37" s="52"/>
      <c r="BM37" s="52"/>
      <c r="BN37" s="52"/>
      <c r="BO37" s="72"/>
      <c r="BP37" s="52"/>
      <c r="BQ37" s="52"/>
      <c r="BR37" s="50"/>
      <c r="BS37" s="53"/>
      <c r="BT37" s="53"/>
      <c r="BU37" s="65"/>
      <c r="BV37" s="55"/>
      <c r="BW37" s="55"/>
      <c r="BX37" s="56"/>
      <c r="BY37" s="57"/>
      <c r="BZ37" s="58"/>
    </row>
    <row r="38" spans="1:78" ht="15.6" x14ac:dyDescent="0.3">
      <c r="A38" s="59" t="s">
        <v>694</v>
      </c>
      <c r="B38" s="38" t="s">
        <v>94</v>
      </c>
      <c r="C38" s="1" t="s">
        <v>95</v>
      </c>
      <c r="D38" t="s">
        <v>1130</v>
      </c>
      <c r="E38" s="40" t="s">
        <v>96</v>
      </c>
      <c r="F38" s="41" t="s">
        <v>758</v>
      </c>
      <c r="G38" s="42" t="s">
        <v>1131</v>
      </c>
      <c r="H38" s="42" t="s">
        <v>1131</v>
      </c>
      <c r="I38" s="42" t="s">
        <v>1131</v>
      </c>
      <c r="J38" s="42" t="s">
        <v>1132</v>
      </c>
      <c r="K38" s="42" t="s">
        <v>1133</v>
      </c>
      <c r="L38" s="42" t="s">
        <v>1134</v>
      </c>
      <c r="M38" s="42" t="s">
        <v>1135</v>
      </c>
      <c r="N38" s="42" t="s">
        <v>1136</v>
      </c>
      <c r="O38" s="42" t="s">
        <v>1137</v>
      </c>
      <c r="P38" s="42" t="s">
        <v>1138</v>
      </c>
      <c r="Q38" s="42" t="s">
        <v>1139</v>
      </c>
      <c r="R38" s="42" t="s">
        <v>1140</v>
      </c>
      <c r="S38" s="42" t="s">
        <v>1141</v>
      </c>
      <c r="T38" s="42" t="s">
        <v>1142</v>
      </c>
      <c r="U38" s="42" t="s">
        <v>1143</v>
      </c>
      <c r="V38" s="42" t="str">
        <f>VLOOKUP(D38,[1]ALL!$A$15:$Z$983,3,FALSE)</f>
        <v>THH-EGW</v>
      </c>
      <c r="W38" s="43">
        <v>181053.98098339111</v>
      </c>
      <c r="X38" s="43">
        <v>140585.18850073862</v>
      </c>
      <c r="Y38" s="43">
        <v>139997.84147416879</v>
      </c>
      <c r="Z38" s="43">
        <v>145128.64410909754</v>
      </c>
      <c r="AA38" s="43">
        <v>160468.67000000001</v>
      </c>
      <c r="AB38" s="43">
        <v>162100.38</v>
      </c>
      <c r="AC38" s="43">
        <v>173113.89</v>
      </c>
      <c r="AD38" s="43">
        <v>194982.42</v>
      </c>
      <c r="AE38" s="43">
        <v>242427.78</v>
      </c>
      <c r="AF38" s="43">
        <v>242685.57</v>
      </c>
      <c r="AG38" s="43">
        <v>222570.22</v>
      </c>
      <c r="AH38" s="43">
        <v>219479.57</v>
      </c>
      <c r="AI38" s="43">
        <v>216097.5</v>
      </c>
      <c r="AJ38" s="43">
        <v>227119.03</v>
      </c>
      <c r="AK38" s="43">
        <v>229799.76</v>
      </c>
      <c r="AL38" s="44"/>
      <c r="AM38" s="45">
        <f>VLOOKUP($B38,'[2]E.U.'!$R$9:$AZ$205,11,FALSE)</f>
        <v>14958.06</v>
      </c>
      <c r="AN38" s="45">
        <f>VLOOKUP($B38,'[3]E.U.'!$R9:$AZ$225,11,FALSE)</f>
        <v>20323</v>
      </c>
      <c r="AO38" s="45">
        <f>VLOOKUP($B38,'[4]E.U.'!$R$9:$BZ$225,11,FALSE)</f>
        <v>18944.201405483414</v>
      </c>
      <c r="AP38" s="45">
        <f>VLOOKUP($B38,'[5]E.U.'!$R$9:$BZ$225,11,FALSE)</f>
        <v>19539.955608274409</v>
      </c>
      <c r="AQ38" s="45">
        <f>VLOOKUP($B38,'[6]E.U.'!$R$9:$CA$225,11,FALSE)</f>
        <v>22500.048473553608</v>
      </c>
      <c r="AR38" s="45">
        <f>VLOOKUP($B38,'[7]E.U.'!$R$9:$AZ$225,11,FALSE)</f>
        <v>19608.564152602419</v>
      </c>
      <c r="AS38" s="45">
        <f>VLOOKUP($B38,'[8]E.U.'!$R$9:$AZ$225,11,FALSE)</f>
        <v>17345.512480022899</v>
      </c>
      <c r="AT38" s="45">
        <f>VLOOKUP($B38,'[9]E.U.'!$R$9:$AZ$221,11,FALSE)</f>
        <v>13689.873237307078</v>
      </c>
      <c r="AU38" s="45"/>
      <c r="AV38" s="45">
        <f>VLOOKUP($B38,'[10]E.U.'!$R$9:$AZ$221,11,FALSE)</f>
        <v>13170.914265051373</v>
      </c>
      <c r="AW38" s="45">
        <f>VLOOKUP($B38,'[11]E.U.'!$R$9:$AZ$220,11,FALSE)</f>
        <v>14301.066166467275</v>
      </c>
      <c r="AX38" s="252"/>
      <c r="AY38" s="45">
        <f>VLOOKUP($B38,'[12]E.U.'!$R$9:$AZ$220,11,FALSE)</f>
        <v>15513.547394473988</v>
      </c>
      <c r="AZ38" s="45"/>
      <c r="BA38" s="45">
        <f>VLOOKUP($B38,'[13]E.U.'!$R$9:$AZ$221,11,FALSE)</f>
        <v>15926.983087628312</v>
      </c>
      <c r="BB38" s="46">
        <f t="shared" si="6"/>
        <v>205821.72627086478</v>
      </c>
      <c r="BC38" s="47" t="e">
        <f>SUM(#REF!)</f>
        <v>#REF!</v>
      </c>
      <c r="BD38" s="43" t="e">
        <f>VLOOKUP(V38,[14]ELECTRIC!$C$1:$H$4000,6,FALSE)</f>
        <v>#N/A</v>
      </c>
      <c r="BE38" s="43" t="e">
        <f t="shared" si="1"/>
        <v>#N/A</v>
      </c>
      <c r="BF38" s="48">
        <f t="shared" si="3"/>
        <v>205821.72627086478</v>
      </c>
      <c r="BG38" s="43">
        <f t="shared" si="9"/>
        <v>358570.8502675994</v>
      </c>
      <c r="BH38" s="43" t="e">
        <f t="shared" si="7"/>
        <v>#REF!</v>
      </c>
      <c r="BI38" s="52" t="e">
        <f t="shared" si="8"/>
        <v>#REF!</v>
      </c>
      <c r="BJ38" s="51">
        <f t="shared" si="5"/>
        <v>-0.10434316262617171</v>
      </c>
      <c r="BK38" s="52"/>
      <c r="BL38" s="52"/>
      <c r="BM38" s="52"/>
      <c r="BN38" s="52"/>
      <c r="BO38" s="72"/>
      <c r="BP38" s="52"/>
      <c r="BQ38" s="52"/>
      <c r="BR38" s="50"/>
      <c r="BS38" s="53"/>
      <c r="BT38" s="53"/>
      <c r="BU38" s="65"/>
      <c r="BV38" s="55"/>
      <c r="BW38" s="55"/>
      <c r="BX38" s="56"/>
      <c r="BY38" s="67"/>
      <c r="BZ38" s="58"/>
    </row>
    <row r="39" spans="1:78" ht="15.6" x14ac:dyDescent="0.3">
      <c r="A39" s="59" t="s">
        <v>694</v>
      </c>
      <c r="B39" s="38" t="s">
        <v>97</v>
      </c>
      <c r="C39" s="1" t="s">
        <v>98</v>
      </c>
      <c r="D39" t="s">
        <v>1144</v>
      </c>
      <c r="E39" s="40" t="s">
        <v>99</v>
      </c>
      <c r="F39" s="41">
        <v>0</v>
      </c>
      <c r="G39" s="42" t="s">
        <v>1145</v>
      </c>
      <c r="H39" s="42" t="s">
        <v>1145</v>
      </c>
      <c r="I39" s="42" t="s">
        <v>1145</v>
      </c>
      <c r="J39" s="42" t="s">
        <v>1146</v>
      </c>
      <c r="K39" s="42" t="s">
        <v>1147</v>
      </c>
      <c r="L39" s="42" t="s">
        <v>1148</v>
      </c>
      <c r="M39" s="42" t="s">
        <v>1149</v>
      </c>
      <c r="N39" s="42" t="s">
        <v>1150</v>
      </c>
      <c r="O39" s="42" t="s">
        <v>1151</v>
      </c>
      <c r="P39" s="42" t="s">
        <v>1152</v>
      </c>
      <c r="Q39" s="42" t="s">
        <v>1153</v>
      </c>
      <c r="R39" s="42" t="s">
        <v>1154</v>
      </c>
      <c r="S39" s="42" t="s">
        <v>1155</v>
      </c>
      <c r="T39" s="42" t="s">
        <v>1156</v>
      </c>
      <c r="U39" s="42" t="s">
        <v>1157</v>
      </c>
      <c r="V39" s="42" t="str">
        <f>VLOOKUP(D39,[1]ALL!$A$15:$Z$983,3,FALSE)</f>
        <v>AHF-EGW</v>
      </c>
      <c r="W39" s="43">
        <v>121393.2316158171</v>
      </c>
      <c r="X39" s="43">
        <v>124042.0214139118</v>
      </c>
      <c r="Y39" s="43">
        <v>128290.8785723841</v>
      </c>
      <c r="Z39" s="43">
        <v>134635.37765076861</v>
      </c>
      <c r="AA39" s="43">
        <v>145056.31</v>
      </c>
      <c r="AB39" s="43">
        <v>125943.9</v>
      </c>
      <c r="AC39" s="43">
        <v>150659.82999999999</v>
      </c>
      <c r="AD39" s="43">
        <v>155368.63</v>
      </c>
      <c r="AE39" s="43">
        <v>212119.78</v>
      </c>
      <c r="AF39" s="43">
        <v>229149.28</v>
      </c>
      <c r="AG39" s="43">
        <v>238600.92</v>
      </c>
      <c r="AH39" s="43">
        <v>270940.28000000003</v>
      </c>
      <c r="AI39" s="43">
        <v>296241.84999999998</v>
      </c>
      <c r="AJ39" s="43">
        <v>362331.07</v>
      </c>
      <c r="AK39" s="43">
        <v>385482.88</v>
      </c>
      <c r="AL39" s="44"/>
      <c r="AM39" s="45">
        <f>VLOOKUP($B39,'[2]E.U.'!$R$9:$AZ$205,11,FALSE)</f>
        <v>28283.64</v>
      </c>
      <c r="AN39" s="45">
        <f>VLOOKUP($B39,'[3]E.U.'!$R9:$AZ$225,11,FALSE)</f>
        <v>38501.589999999997</v>
      </c>
      <c r="AO39" s="45">
        <f>VLOOKUP($B39,'[4]E.U.'!$R$9:$BZ$225,11,FALSE)</f>
        <v>29585.187673432232</v>
      </c>
      <c r="AP39" s="45">
        <f>VLOOKUP($B39,'[5]E.U.'!$R$9:$BZ$225,11,FALSE)</f>
        <v>26143.87221795947</v>
      </c>
      <c r="AQ39" s="45">
        <f>VLOOKUP($B39,'[6]E.U.'!$R$9:$CA$225,11,FALSE)</f>
        <v>27490.373251333782</v>
      </c>
      <c r="AR39" s="45">
        <f>VLOOKUP($B39,'[7]E.U.'!$R$9:$AZ$225,11,FALSE)</f>
        <v>25863.188501838122</v>
      </c>
      <c r="AS39" s="45">
        <f>VLOOKUP($B39,'[8]E.U.'!$R$9:$AZ$225,11,FALSE)</f>
        <v>25476.261864311447</v>
      </c>
      <c r="AT39" s="45">
        <f>VLOOKUP($B39,'[9]E.U.'!$R$9:$AZ$221,11,FALSE)</f>
        <v>21912.617629865879</v>
      </c>
      <c r="AU39" s="45"/>
      <c r="AV39" s="45">
        <f>VLOOKUP($B39,'[10]E.U.'!$R$9:$AZ$221,11,FALSE)</f>
        <v>21574.334284086155</v>
      </c>
      <c r="AW39" s="45">
        <f>VLOOKUP($B39,'[11]E.U.'!$R$9:$AZ$220,11,FALSE)</f>
        <v>20668.143722292189</v>
      </c>
      <c r="AX39" s="252"/>
      <c r="AY39" s="45">
        <f>VLOOKUP($B39,'[12]E.U.'!$R$9:$AZ$220,11,FALSE)</f>
        <v>19813.985565712446</v>
      </c>
      <c r="AZ39" s="45"/>
      <c r="BA39" s="45">
        <f>VLOOKUP($B39,'[13]E.U.'!$R$9:$AZ$221,11,FALSE)</f>
        <v>21663.944563485864</v>
      </c>
      <c r="BB39" s="46">
        <f t="shared" si="6"/>
        <v>306977.1392743176</v>
      </c>
      <c r="BC39" s="47" t="e">
        <f>SUM(#REF!)</f>
        <v>#REF!</v>
      </c>
      <c r="BD39" s="43" t="e">
        <f>VLOOKUP(V39,[14]ELECTRIC!$C$1:$H$4000,6,FALSE)</f>
        <v>#N/A</v>
      </c>
      <c r="BE39" s="43" t="e">
        <f t="shared" si="1"/>
        <v>#N/A</v>
      </c>
      <c r="BF39" s="48">
        <f t="shared" si="3"/>
        <v>306977.1392743176</v>
      </c>
      <c r="BG39" s="43">
        <f t="shared" si="9"/>
        <v>534798.03049290041</v>
      </c>
      <c r="BH39" s="43" t="e">
        <f t="shared" si="7"/>
        <v>#REF!</v>
      </c>
      <c r="BI39" s="52" t="e">
        <f t="shared" si="8"/>
        <v>#REF!</v>
      </c>
      <c r="BJ39" s="51">
        <f t="shared" si="5"/>
        <v>-0.20365558316281751</v>
      </c>
      <c r="BK39" s="52"/>
      <c r="BL39" s="52"/>
      <c r="BM39" s="52"/>
      <c r="BN39" s="52"/>
      <c r="BO39" s="72"/>
      <c r="BP39" s="72" t="s">
        <v>1158</v>
      </c>
      <c r="BQ39" s="52"/>
      <c r="BR39" s="50" t="s">
        <v>1159</v>
      </c>
      <c r="BS39" s="53"/>
      <c r="BT39" s="53"/>
      <c r="BU39" s="65"/>
      <c r="BV39" s="55"/>
      <c r="BW39" s="55"/>
      <c r="BX39" s="56"/>
      <c r="BY39" s="57" t="s">
        <v>1160</v>
      </c>
      <c r="BZ39" s="58"/>
    </row>
    <row r="40" spans="1:78" ht="15.6" x14ac:dyDescent="0.3">
      <c r="A40" s="59" t="s">
        <v>694</v>
      </c>
      <c r="B40" s="38" t="s">
        <v>100</v>
      </c>
      <c r="C40" s="1" t="s">
        <v>101</v>
      </c>
      <c r="D40" t="s">
        <v>1161</v>
      </c>
      <c r="E40" s="40" t="s">
        <v>102</v>
      </c>
      <c r="F40" s="41">
        <v>0</v>
      </c>
      <c r="G40" s="42" t="s">
        <v>1162</v>
      </c>
      <c r="H40" s="42" t="s">
        <v>1162</v>
      </c>
      <c r="I40" s="42" t="s">
        <v>1162</v>
      </c>
      <c r="J40" s="42" t="s">
        <v>1163</v>
      </c>
      <c r="K40" s="42" t="s">
        <v>1164</v>
      </c>
      <c r="L40" s="42" t="s">
        <v>1165</v>
      </c>
      <c r="M40" s="42" t="s">
        <v>1166</v>
      </c>
      <c r="N40" s="42" t="s">
        <v>1167</v>
      </c>
      <c r="O40" s="42" t="s">
        <v>1168</v>
      </c>
      <c r="P40" s="42" t="s">
        <v>1169</v>
      </c>
      <c r="Q40" s="42" t="s">
        <v>1170</v>
      </c>
      <c r="R40" s="42" t="s">
        <v>1171</v>
      </c>
      <c r="S40" s="42" t="s">
        <v>1172</v>
      </c>
      <c r="T40" s="42" t="s">
        <v>1173</v>
      </c>
      <c r="U40" s="42" t="s">
        <v>1174</v>
      </c>
      <c r="V40" s="42" t="str">
        <f>VLOOKUP(D40,[1]ALL!$A$15:$Z$983,3,FALSE)</f>
        <v>HAR-EGW</v>
      </c>
      <c r="W40" s="43">
        <v>61042.811230226769</v>
      </c>
      <c r="X40" s="43">
        <v>54684.812101081508</v>
      </c>
      <c r="Y40" s="43">
        <v>49567.689489924531</v>
      </c>
      <c r="Z40" s="43">
        <v>59448.913819246576</v>
      </c>
      <c r="AA40" s="43">
        <v>63588.31</v>
      </c>
      <c r="AB40" s="43">
        <v>58809.16</v>
      </c>
      <c r="AC40" s="43">
        <v>44358.17</v>
      </c>
      <c r="AD40" s="43">
        <v>44089.84</v>
      </c>
      <c r="AE40" s="43">
        <v>63609.86</v>
      </c>
      <c r="AF40" s="43">
        <v>77598.33</v>
      </c>
      <c r="AG40" s="43">
        <v>77217.539999999994</v>
      </c>
      <c r="AH40" s="43">
        <v>77191.31</v>
      </c>
      <c r="AI40" s="43">
        <v>77560.33</v>
      </c>
      <c r="AJ40" s="43">
        <v>92195.23</v>
      </c>
      <c r="AK40" s="43">
        <v>95819.53</v>
      </c>
      <c r="AL40" s="44"/>
      <c r="AM40" s="45">
        <f>VLOOKUP($B40,'[2]E.U.'!$R$9:$AZ$205,11,FALSE)</f>
        <v>7635.05</v>
      </c>
      <c r="AN40" s="45">
        <f>VLOOKUP($B40,'[3]E.U.'!$R9:$AZ$225,11,FALSE)</f>
        <v>6057.68</v>
      </c>
      <c r="AO40" s="45">
        <f>VLOOKUP($B40,'[4]E.U.'!$R$9:$BZ$225,11,FALSE)</f>
        <v>6604.3415325830538</v>
      </c>
      <c r="AP40" s="45">
        <f>VLOOKUP($B40,'[5]E.U.'!$R$9:$BZ$225,11,FALSE)</f>
        <v>7114.2733891883763</v>
      </c>
      <c r="AQ40" s="45">
        <f>VLOOKUP($B40,'[6]E.U.'!$R$9:$CA$225,11,FALSE)</f>
        <v>8634.6615792593711</v>
      </c>
      <c r="AR40" s="45">
        <f>VLOOKUP($B40,'[7]E.U.'!$R$9:$AZ$225,11,FALSE)</f>
        <v>7845.0069801298314</v>
      </c>
      <c r="AS40" s="45">
        <f>VLOOKUP($B40,'[8]E.U.'!$R$9:$AZ$225,11,FALSE)</f>
        <v>7777.10563596674</v>
      </c>
      <c r="AT40" s="45">
        <f>VLOOKUP($B40,'[9]E.U.'!$R$9:$AZ$221,11,FALSE)</f>
        <v>6526.7551425675701</v>
      </c>
      <c r="AU40" s="45"/>
      <c r="AV40" s="45">
        <f>VLOOKUP($B40,'[10]E.U.'!$R$9:$AZ$221,11,FALSE)</f>
        <v>6555.4359595058559</v>
      </c>
      <c r="AW40" s="45">
        <f>VLOOKUP($B40,'[11]E.U.'!$R$9:$AZ$220,11,FALSE)</f>
        <v>6950.3554634224529</v>
      </c>
      <c r="AX40" s="252"/>
      <c r="AY40" s="45">
        <f>VLOOKUP($B40,'[12]E.U.'!$R$9:$AZ$220,11,FALSE)</f>
        <v>6678.4559596795334</v>
      </c>
      <c r="AZ40" s="45"/>
      <c r="BA40" s="45">
        <f>VLOOKUP($B40,'[13]E.U.'!$R$9:$AZ$221,11,FALSE)</f>
        <v>6440.1485918754479</v>
      </c>
      <c r="BB40" s="46">
        <f t="shared" si="6"/>
        <v>84819.270234178228</v>
      </c>
      <c r="BC40" s="47" t="e">
        <f>SUM(#REF!)</f>
        <v>#REF!</v>
      </c>
      <c r="BD40" s="43" t="e">
        <f>VLOOKUP(V40,[14]ELECTRIC!$C$1:$H$4000,6,FALSE)</f>
        <v>#N/A</v>
      </c>
      <c r="BE40" s="43" t="e">
        <f>BB40-BD40</f>
        <v>#N/A</v>
      </c>
      <c r="BF40" s="48">
        <f t="shared" si="3"/>
        <v>84819.270234178228</v>
      </c>
      <c r="BG40" s="49">
        <f t="shared" si="9"/>
        <v>147767.28578654336</v>
      </c>
      <c r="BH40" s="43" t="e">
        <f t="shared" si="7"/>
        <v>#REF!</v>
      </c>
      <c r="BI40" s="50" t="e">
        <f t="shared" si="8"/>
        <v>#REF!</v>
      </c>
      <c r="BJ40" s="51">
        <f t="shared" si="5"/>
        <v>-0.11480185475572435</v>
      </c>
      <c r="BK40" s="52"/>
      <c r="BL40" s="52"/>
      <c r="BM40" s="52"/>
      <c r="BN40" s="52"/>
      <c r="BO40" s="72" t="s">
        <v>1175</v>
      </c>
      <c r="BP40" s="52"/>
      <c r="BQ40" s="52"/>
      <c r="BR40" s="50"/>
      <c r="BS40" s="53"/>
      <c r="BT40" s="53"/>
      <c r="BU40" s="65" t="s">
        <v>1176</v>
      </c>
      <c r="BV40" s="55"/>
      <c r="BW40" s="55"/>
      <c r="BX40" s="56"/>
      <c r="BY40" s="57" t="s">
        <v>710</v>
      </c>
      <c r="BZ40" s="58"/>
    </row>
    <row r="41" spans="1:78" ht="15" customHeight="1" x14ac:dyDescent="0.3">
      <c r="A41" s="59" t="s">
        <v>694</v>
      </c>
      <c r="B41" s="38" t="s">
        <v>103</v>
      </c>
      <c r="C41" s="1" t="s">
        <v>104</v>
      </c>
      <c r="D41" t="s">
        <v>1177</v>
      </c>
      <c r="E41" s="40" t="s">
        <v>105</v>
      </c>
      <c r="F41" s="41" t="s">
        <v>758</v>
      </c>
      <c r="G41" s="42" t="s">
        <v>1178</v>
      </c>
      <c r="H41" s="42" t="s">
        <v>1178</v>
      </c>
      <c r="I41" s="42" t="s">
        <v>1178</v>
      </c>
      <c r="J41" s="42" t="s">
        <v>1179</v>
      </c>
      <c r="K41" s="42" t="s">
        <v>1180</v>
      </c>
      <c r="L41" s="42" t="s">
        <v>1181</v>
      </c>
      <c r="M41" s="42" t="s">
        <v>1182</v>
      </c>
      <c r="N41" s="42" t="s">
        <v>1183</v>
      </c>
      <c r="O41" s="42" t="s">
        <v>1184</v>
      </c>
      <c r="P41" s="42" t="s">
        <v>1185</v>
      </c>
      <c r="Q41" s="42" t="s">
        <v>1186</v>
      </c>
      <c r="R41" s="42" t="s">
        <v>1187</v>
      </c>
      <c r="S41" s="42" t="s">
        <v>1188</v>
      </c>
      <c r="T41" s="42" t="s">
        <v>1189</v>
      </c>
      <c r="U41" s="42" t="s">
        <v>1190</v>
      </c>
      <c r="V41" s="42" t="str">
        <f>VLOOKUP(D41,[1]ALL!$A$15:$Z$983,3,FALSE)</f>
        <v>OCW-EGW</v>
      </c>
      <c r="W41" s="43">
        <v>14047.90918114389</v>
      </c>
      <c r="X41" s="43">
        <v>14631.359671077947</v>
      </c>
      <c r="Y41" s="43">
        <v>14824.143158220275</v>
      </c>
      <c r="Z41" s="43">
        <v>14823.042810258432</v>
      </c>
      <c r="AA41" s="43">
        <v>15533.82</v>
      </c>
      <c r="AB41" s="43">
        <v>15173.15</v>
      </c>
      <c r="AC41" s="43">
        <v>14986.48</v>
      </c>
      <c r="AD41" s="43">
        <v>15102.67</v>
      </c>
      <c r="AE41" s="43">
        <v>18388.8</v>
      </c>
      <c r="AF41" s="43">
        <v>18278.71</v>
      </c>
      <c r="AG41" s="43">
        <v>17252.900000000001</v>
      </c>
      <c r="AH41" s="43">
        <v>20764.21</v>
      </c>
      <c r="AI41" s="43">
        <v>20655.23</v>
      </c>
      <c r="AJ41" s="43">
        <v>31328.63</v>
      </c>
      <c r="AK41" s="43">
        <v>35900.71</v>
      </c>
      <c r="AL41" s="44"/>
      <c r="AM41" s="45">
        <f>VLOOKUP($B41,'[2]E.U.'!$R$9:$AZ$205,11,FALSE)</f>
        <v>2822</v>
      </c>
      <c r="AN41" s="45">
        <f>VLOOKUP($B41,'[3]E.U.'!$R9:$AZ$225,11,FALSE)</f>
        <v>2715.81</v>
      </c>
      <c r="AO41" s="45">
        <f>VLOOKUP($B41,'[4]E.U.'!$R$9:$BZ$225,11,FALSE)</f>
        <v>2817.0858011679538</v>
      </c>
      <c r="AP41" s="45">
        <f>VLOOKUP($B41,'[5]E.U.'!$R$9:$BZ$225,11,FALSE)</f>
        <v>2763.538032835414</v>
      </c>
      <c r="AQ41" s="45">
        <f>VLOOKUP($B41,'[6]E.U.'!$R$9:$CA$225,11,FALSE)</f>
        <v>2879.8936199658779</v>
      </c>
      <c r="AR41" s="45">
        <f>VLOOKUP($B41,'[7]E.U.'!$R$9:$AZ$225,11,FALSE)</f>
        <v>2679.9216498958817</v>
      </c>
      <c r="AS41" s="45">
        <f>VLOOKUP($B41,'[8]E.U.'!$R$9:$AZ$225,11,FALSE)</f>
        <v>2968.2936436418768</v>
      </c>
      <c r="AT41" s="45">
        <f>VLOOKUP($B41,'[9]E.U.'!$R$9:$AZ$221,11,FALSE)</f>
        <v>2794.9338449613097</v>
      </c>
      <c r="AU41" s="45"/>
      <c r="AV41" s="45">
        <f>VLOOKUP($B41,'[10]E.U.'!$R$9:$AZ$221,11,FALSE)</f>
        <v>2767.1509085680746</v>
      </c>
      <c r="AW41" s="45">
        <f>VLOOKUP($B41,'[11]E.U.'!$R$9:$AZ$220,11,FALSE)</f>
        <v>2553.9575806129897</v>
      </c>
      <c r="AX41" s="252"/>
      <c r="AY41" s="45">
        <f>VLOOKUP($B41,'[12]E.U.'!$R$9:$AZ$220,11,FALSE)</f>
        <v>2541.4212195582077</v>
      </c>
      <c r="AZ41" s="45"/>
      <c r="BA41" s="45">
        <f>VLOOKUP($B41,'[13]E.U.'!$R$9:$AZ$221,11,FALSE)</f>
        <v>2348.3151907026681</v>
      </c>
      <c r="BB41" s="46">
        <f t="shared" si="6"/>
        <v>32652.321491910254</v>
      </c>
      <c r="BC41" s="47" t="e">
        <f>SUM(#REF!)</f>
        <v>#REF!</v>
      </c>
      <c r="BD41" s="43" t="e">
        <f>VLOOKUP(V41,[14]ELECTRIC!$C$1:$H$4000,6,FALSE)</f>
        <v>#N/A</v>
      </c>
      <c r="BE41" s="43" t="e">
        <f t="shared" ref="BE41:BE105" si="10">BB41-BD41</f>
        <v>#N/A</v>
      </c>
      <c r="BF41" s="48">
        <f t="shared" si="3"/>
        <v>32652.321491910254</v>
      </c>
      <c r="BG41" s="49">
        <f t="shared" si="9"/>
        <v>56885.008656263642</v>
      </c>
      <c r="BH41" s="43" t="e">
        <f t="shared" si="7"/>
        <v>#REF!</v>
      </c>
      <c r="BI41" s="50" t="e">
        <f t="shared" si="8"/>
        <v>#REF!</v>
      </c>
      <c r="BJ41" s="51">
        <f t="shared" si="5"/>
        <v>-9.0482570068662893E-2</v>
      </c>
      <c r="BK41" s="52"/>
      <c r="BL41" s="52"/>
      <c r="BM41" s="52"/>
      <c r="BN41" s="52"/>
      <c r="BO41" s="72"/>
      <c r="BP41" s="52"/>
      <c r="BQ41" s="52"/>
      <c r="BR41" s="50"/>
      <c r="BS41" s="53"/>
      <c r="BT41" s="53"/>
      <c r="BU41" s="65"/>
      <c r="BV41" s="55"/>
      <c r="BW41" s="55"/>
      <c r="BX41" s="56"/>
      <c r="BY41" s="77" t="s">
        <v>1191</v>
      </c>
      <c r="BZ41" s="58"/>
    </row>
    <row r="42" spans="1:78" ht="15.6" x14ac:dyDescent="0.3">
      <c r="A42" s="59" t="s">
        <v>694</v>
      </c>
      <c r="B42" s="38" t="s">
        <v>106</v>
      </c>
      <c r="C42" s="1" t="s">
        <v>107</v>
      </c>
      <c r="D42" t="s">
        <v>1192</v>
      </c>
      <c r="E42" s="40" t="s">
        <v>108</v>
      </c>
      <c r="F42" s="41" t="s">
        <v>758</v>
      </c>
      <c r="G42" s="42" t="s">
        <v>1193</v>
      </c>
      <c r="H42" s="42" t="s">
        <v>1193</v>
      </c>
      <c r="I42" s="42" t="s">
        <v>1193</v>
      </c>
      <c r="J42" s="42" t="s">
        <v>1194</v>
      </c>
      <c r="K42" s="42" t="s">
        <v>1195</v>
      </c>
      <c r="L42" s="42" t="s">
        <v>1196</v>
      </c>
      <c r="M42" s="42" t="s">
        <v>1197</v>
      </c>
      <c r="N42" s="42" t="s">
        <v>1198</v>
      </c>
      <c r="O42" s="42" t="s">
        <v>1199</v>
      </c>
      <c r="P42" s="42" t="s">
        <v>1200</v>
      </c>
      <c r="Q42" s="42" t="s">
        <v>1201</v>
      </c>
      <c r="R42" s="42" t="s">
        <v>1202</v>
      </c>
      <c r="S42" s="42" t="s">
        <v>1203</v>
      </c>
      <c r="T42" s="42" t="s">
        <v>1204</v>
      </c>
      <c r="U42" s="42" t="s">
        <v>1205</v>
      </c>
      <c r="V42" s="42" t="str">
        <f>VLOOKUP(D42,[1]ALL!$A$15:$Z$983,3,FALSE)</f>
        <v>LJS-EGW</v>
      </c>
      <c r="W42" s="43">
        <v>30601.571957209249</v>
      </c>
      <c r="X42" s="43">
        <v>31663.145389698435</v>
      </c>
      <c r="Y42" s="43">
        <v>31109.863927856462</v>
      </c>
      <c r="Z42" s="43">
        <v>35577.263057361321</v>
      </c>
      <c r="AA42" s="43">
        <v>36718.74</v>
      </c>
      <c r="AB42" s="43">
        <v>37931.99</v>
      </c>
      <c r="AC42" s="43">
        <v>36453.040000000001</v>
      </c>
      <c r="AD42" s="43">
        <v>36821.379999999997</v>
      </c>
      <c r="AE42" s="43">
        <v>43806.91</v>
      </c>
      <c r="AF42" s="43">
        <v>50981.45</v>
      </c>
      <c r="AG42" s="43">
        <v>56461.98</v>
      </c>
      <c r="AH42" s="43">
        <v>48971.26</v>
      </c>
      <c r="AI42" s="43">
        <v>59909.03</v>
      </c>
      <c r="AJ42" s="43">
        <v>69990.64</v>
      </c>
      <c r="AK42" s="43">
        <v>89231.71</v>
      </c>
      <c r="AL42" s="44"/>
      <c r="AM42" s="45">
        <f>VLOOKUP($B42,'[2]E.U.'!$R$9:$AZ$205,11,FALSE)</f>
        <v>6074.39</v>
      </c>
      <c r="AN42" s="45">
        <f>VLOOKUP($B42,'[3]E.U.'!$R9:$AZ$225,11,FALSE)</f>
        <v>6905.66</v>
      </c>
      <c r="AO42" s="45">
        <f>VLOOKUP($B42,'[4]E.U.'!$R$9:$BZ$225,11,FALSE)</f>
        <v>7303.5514105528709</v>
      </c>
      <c r="AP42" s="45">
        <f>VLOOKUP($B42,'[5]E.U.'!$R$9:$BZ$225,11,FALSE)</f>
        <v>7164.7187288759478</v>
      </c>
      <c r="AQ42" s="45">
        <f>VLOOKUP($B42,'[6]E.U.'!$R$9:$CA$225,11,FALSE)</f>
        <v>7466.391962251776</v>
      </c>
      <c r="AR42" s="45">
        <f>VLOOKUP($B42,'[7]E.U.'!$R$9:$AZ$225,11,FALSE)</f>
        <v>6947.9505726054595</v>
      </c>
      <c r="AS42" s="45">
        <f>VLOOKUP($B42,'[8]E.U.'!$R$9:$AZ$225,11,FALSE)</f>
        <v>7695.5692440613284</v>
      </c>
      <c r="AT42" s="45">
        <f>VLOOKUP($B42,'[9]E.U.'!$R$9:$AZ$221,11,FALSE)</f>
        <v>7246.1229385923743</v>
      </c>
      <c r="AU42" s="45"/>
      <c r="AV42" s="45">
        <f>VLOOKUP($B42,'[10]E.U.'!$R$9:$AZ$221,11,FALSE)</f>
        <v>7174.0993043790422</v>
      </c>
      <c r="AW42" s="45">
        <f>VLOOKUP($B42,'[11]E.U.'!$R$9:$AZ$220,11,FALSE)</f>
        <v>6621.377028920745</v>
      </c>
      <c r="AX42" s="252"/>
      <c r="AY42" s="45">
        <f>VLOOKUP($B42,'[12]E.U.'!$R$9:$AZ$220,11,FALSE)</f>
        <v>6588.8587781541373</v>
      </c>
      <c r="AZ42" s="45"/>
      <c r="BA42" s="45">
        <f>VLOOKUP($B42,'[13]E.U.'!$R$9:$AZ$221,11,FALSE)</f>
        <v>6088.2372843441362</v>
      </c>
      <c r="BB42" s="46">
        <f t="shared" si="6"/>
        <v>83276.92725273782</v>
      </c>
      <c r="BC42" s="47" t="e">
        <f>SUM(#REF!)</f>
        <v>#REF!</v>
      </c>
      <c r="BD42" s="43" t="e">
        <f>VLOOKUP(V42,[14]ELECTRIC!$C$1:$H$4000,6,FALSE)</f>
        <v>#N/A</v>
      </c>
      <c r="BE42" s="43" t="e">
        <f t="shared" si="10"/>
        <v>#N/A</v>
      </c>
      <c r="BF42" s="48">
        <f t="shared" si="3"/>
        <v>83276.92725273782</v>
      </c>
      <c r="BG42" s="49">
        <f t="shared" si="9"/>
        <v>145080.30397816253</v>
      </c>
      <c r="BH42" s="43" t="e">
        <f t="shared" si="7"/>
        <v>#REF!</v>
      </c>
      <c r="BI42" s="50" t="e">
        <f t="shared" si="8"/>
        <v>#REF!</v>
      </c>
      <c r="BJ42" s="51">
        <f t="shared" si="5"/>
        <v>-6.6733930653824602E-2</v>
      </c>
      <c r="BK42" s="52"/>
      <c r="BL42" s="52"/>
      <c r="BM42" s="52"/>
      <c r="BN42" s="52"/>
      <c r="BO42" s="72" t="s">
        <v>1206</v>
      </c>
      <c r="BP42" s="52"/>
      <c r="BQ42" s="52"/>
      <c r="BR42" s="50"/>
      <c r="BS42" s="53"/>
      <c r="BT42" s="53"/>
      <c r="BU42" s="65"/>
      <c r="BV42" s="55"/>
      <c r="BW42" s="55"/>
      <c r="BX42" s="56"/>
      <c r="BY42" s="67"/>
      <c r="BZ42" s="58"/>
    </row>
    <row r="43" spans="1:78" ht="15.6" x14ac:dyDescent="0.3">
      <c r="A43" s="59" t="s">
        <v>694</v>
      </c>
      <c r="B43" s="38" t="s">
        <v>109</v>
      </c>
      <c r="C43" s="1" t="s">
        <v>110</v>
      </c>
      <c r="D43" s="39" t="s">
        <v>1207</v>
      </c>
      <c r="E43" s="40" t="s">
        <v>111</v>
      </c>
      <c r="F43" s="41" t="s">
        <v>758</v>
      </c>
      <c r="G43" s="42" t="s">
        <v>1208</v>
      </c>
      <c r="H43" s="42" t="s">
        <v>1208</v>
      </c>
      <c r="I43" s="42" t="s">
        <v>1208</v>
      </c>
      <c r="J43" s="42" t="s">
        <v>1209</v>
      </c>
      <c r="K43" s="42" t="s">
        <v>1210</v>
      </c>
      <c r="L43" s="42" t="s">
        <v>1211</v>
      </c>
      <c r="M43" s="42" t="s">
        <v>1212</v>
      </c>
      <c r="N43" s="42" t="s">
        <v>1213</v>
      </c>
      <c r="O43" s="42" t="s">
        <v>1214</v>
      </c>
      <c r="P43" s="42" t="s">
        <v>1215</v>
      </c>
      <c r="Q43" s="42" t="s">
        <v>1216</v>
      </c>
      <c r="R43" s="42" t="s">
        <v>1217</v>
      </c>
      <c r="S43" s="42" t="s">
        <v>1218</v>
      </c>
      <c r="T43" s="42" t="s">
        <v>1219</v>
      </c>
      <c r="U43" s="42" t="s">
        <v>1220</v>
      </c>
      <c r="V43" s="42" t="str">
        <f>VLOOKUP(D43,[1]ALL!$A$15:$Z$983,3,FALSE)</f>
        <v>MRF-EGW</v>
      </c>
      <c r="W43" s="43">
        <v>56444.398072934353</v>
      </c>
      <c r="X43" s="43">
        <v>45486.123752284613</v>
      </c>
      <c r="Y43" s="43">
        <v>54122.453922904599</v>
      </c>
      <c r="Z43" s="43">
        <v>57046.031868201477</v>
      </c>
      <c r="AA43" s="43">
        <v>49295.15</v>
      </c>
      <c r="AB43" s="43">
        <v>48617.26</v>
      </c>
      <c r="AC43" s="43">
        <v>52338.13</v>
      </c>
      <c r="AD43" s="43">
        <v>51829.37</v>
      </c>
      <c r="AE43" s="43">
        <v>61015.61</v>
      </c>
      <c r="AF43" s="43">
        <v>61464.52</v>
      </c>
      <c r="AG43" s="43">
        <v>71751.61</v>
      </c>
      <c r="AH43" s="43">
        <v>66263.7</v>
      </c>
      <c r="AI43" s="43">
        <v>56944.639999999999</v>
      </c>
      <c r="AJ43" s="43">
        <v>70130.86</v>
      </c>
      <c r="AK43" s="43">
        <v>73915.100000000006</v>
      </c>
      <c r="AL43" s="44"/>
      <c r="AM43" s="45">
        <f>VLOOKUP($B43,'[2]E.U.'!$R$9:$AZ$205,11,FALSE)</f>
        <v>5596.65</v>
      </c>
      <c r="AN43" s="45">
        <f>VLOOKUP($B43,'[3]E.U.'!$R9:$AZ$225,11,FALSE)</f>
        <v>6694.27</v>
      </c>
      <c r="AO43" s="45">
        <f>VLOOKUP($B43,'[4]E.U.'!$R$9:$BZ$225,11,FALSE)</f>
        <v>5899.2206539286708</v>
      </c>
      <c r="AP43" s="45">
        <f>VLOOKUP($B43,'[5]E.U.'!$R$9:$BZ$225,11,FALSE)</f>
        <v>6354.5206467979524</v>
      </c>
      <c r="AQ43" s="45">
        <f>VLOOKUP($B43,'[6]E.U.'!$R$9:$CA$225,11,FALSE)</f>
        <v>7255.7698519169926</v>
      </c>
      <c r="AR43" s="45">
        <f>VLOOKUP($B43,'[7]E.U.'!$R$9:$AZ$225,11,FALSE)</f>
        <v>6341.9716416816436</v>
      </c>
      <c r="AS43" s="45">
        <f>VLOOKUP($B43,'[8]E.U.'!$R$9:$AZ$225,11,FALSE)</f>
        <v>5301.7634318134915</v>
      </c>
      <c r="AT43" s="45">
        <f>VLOOKUP($B43,'[9]E.U.'!$R$9:$AZ$221,11,FALSE)</f>
        <v>3948.7638790870619</v>
      </c>
      <c r="AU43" s="45"/>
      <c r="AV43" s="45">
        <f>VLOOKUP($B43,'[10]E.U.'!$R$9:$AZ$221,11,FALSE)</f>
        <v>3866.2053209254591</v>
      </c>
      <c r="AW43" s="45">
        <f>VLOOKUP($B43,'[11]E.U.'!$R$9:$AZ$220,11,FALSE)</f>
        <v>4224.1895337675396</v>
      </c>
      <c r="AX43" s="252"/>
      <c r="AY43" s="45">
        <f>VLOOKUP($B43,'[12]E.U.'!$R$9:$AZ$220,11,FALSE)</f>
        <v>3916.4862958961021</v>
      </c>
      <c r="AZ43" s="45"/>
      <c r="BA43" s="45">
        <f>VLOOKUP($B43,'[13]E.U.'!$R$9:$AZ$221,11,FALSE)</f>
        <v>3930.7201016968525</v>
      </c>
      <c r="BB43" s="46">
        <f t="shared" si="6"/>
        <v>63330.531357511769</v>
      </c>
      <c r="BC43" s="47" t="e">
        <f>SUM(#REF!)</f>
        <v>#REF!</v>
      </c>
      <c r="BD43" s="43" t="e">
        <f>VLOOKUP(V43,[14]ELECTRIC!$C$1:$H$4000,6,FALSE)</f>
        <v>#N/A</v>
      </c>
      <c r="BE43" s="43" t="e">
        <f t="shared" si="10"/>
        <v>#N/A</v>
      </c>
      <c r="BF43" s="48">
        <f t="shared" si="3"/>
        <v>63330.531357511769</v>
      </c>
      <c r="BG43" s="49">
        <f t="shared" si="9"/>
        <v>110330.83284355087</v>
      </c>
      <c r="BH43" s="43" t="e">
        <f t="shared" si="7"/>
        <v>#REF!</v>
      </c>
      <c r="BI43" s="50" t="e">
        <f t="shared" si="8"/>
        <v>#REF!</v>
      </c>
      <c r="BJ43" s="51">
        <f t="shared" si="5"/>
        <v>-0.14319900321433965</v>
      </c>
      <c r="BK43" s="52"/>
      <c r="BL43" s="52"/>
      <c r="BM43" s="52"/>
      <c r="BN43" s="52"/>
      <c r="BO43" s="72"/>
      <c r="BP43" s="52"/>
      <c r="BQ43" s="52"/>
      <c r="BR43" s="50"/>
      <c r="BS43" s="53"/>
      <c r="BT43" s="53"/>
      <c r="BU43" s="65"/>
      <c r="BV43" s="78" t="s">
        <v>1221</v>
      </c>
      <c r="BW43" s="55"/>
      <c r="BX43" s="56"/>
      <c r="BY43" s="67"/>
      <c r="BZ43" s="58"/>
    </row>
    <row r="44" spans="1:78" ht="15" customHeight="1" x14ac:dyDescent="0.3">
      <c r="A44" s="59" t="s">
        <v>1222</v>
      </c>
      <c r="B44" s="38" t="s">
        <v>112</v>
      </c>
      <c r="C44" s="1" t="s">
        <v>113</v>
      </c>
      <c r="D44" s="39" t="s">
        <v>1223</v>
      </c>
      <c r="E44" s="40" t="s">
        <v>114</v>
      </c>
      <c r="F44" s="41" t="s">
        <v>758</v>
      </c>
      <c r="G44" s="42" t="s">
        <v>1224</v>
      </c>
      <c r="H44" s="42" t="s">
        <v>1224</v>
      </c>
      <c r="I44" s="42" t="s">
        <v>1224</v>
      </c>
      <c r="J44" s="42" t="s">
        <v>1225</v>
      </c>
      <c r="K44" s="42" t="s">
        <v>1226</v>
      </c>
      <c r="L44" s="42" t="s">
        <v>1227</v>
      </c>
      <c r="M44" s="42" t="s">
        <v>1228</v>
      </c>
      <c r="N44" s="42" t="s">
        <v>1229</v>
      </c>
      <c r="O44" s="42" t="s">
        <v>1230</v>
      </c>
      <c r="P44" s="42" t="s">
        <v>1231</v>
      </c>
      <c r="Q44" s="42" t="s">
        <v>1232</v>
      </c>
      <c r="R44" s="42" t="s">
        <v>1233</v>
      </c>
      <c r="S44" s="42" t="s">
        <v>1234</v>
      </c>
      <c r="T44" s="42" t="s">
        <v>1235</v>
      </c>
      <c r="U44" s="42" t="s">
        <v>1236</v>
      </c>
      <c r="V44" s="42" t="str">
        <f>VLOOKUP(D44,[1]ALL!$A$15:$Z$983,3,FALSE)</f>
        <v>KER-EGW</v>
      </c>
      <c r="W44" s="43">
        <v>30901.20307</v>
      </c>
      <c r="X44" s="43">
        <v>31663.821665931991</v>
      </c>
      <c r="Y44" s="43">
        <v>31058.996569999999</v>
      </c>
      <c r="Z44" s="43">
        <v>32984.864869999998</v>
      </c>
      <c r="AA44" s="43">
        <v>38794.31</v>
      </c>
      <c r="AB44" s="43">
        <v>31689.59</v>
      </c>
      <c r="AC44" s="43">
        <v>36335.683320000004</v>
      </c>
      <c r="AD44" s="43">
        <v>34663.252619999999</v>
      </c>
      <c r="AE44" s="43">
        <v>35663.609090000005</v>
      </c>
      <c r="AF44" s="43">
        <v>38471.14645</v>
      </c>
      <c r="AG44" s="43">
        <v>44033.048500000004</v>
      </c>
      <c r="AH44" s="43">
        <v>45937.54</v>
      </c>
      <c r="AI44" s="43">
        <v>45745.03</v>
      </c>
      <c r="AJ44" s="43">
        <v>46847.6</v>
      </c>
      <c r="AK44" s="43">
        <v>34702.65</v>
      </c>
      <c r="AL44" s="44"/>
      <c r="AM44" s="45">
        <f>VLOOKUP($B44,'[2]E.U.'!$R$9:$AZ$205,11,FALSE)</f>
        <v>2198.9711400000001</v>
      </c>
      <c r="AN44" s="45">
        <f>VLOOKUP($B44,'[3]E.U.'!$R9:$AZ$225,11,FALSE)</f>
        <v>2708.8956800000001</v>
      </c>
      <c r="AO44" s="230">
        <f>VLOOKUP($B44,'[4]E.U.'!$R$9:$BZ$225,11,FALSE)</f>
        <v>2578.3380000000002</v>
      </c>
      <c r="AP44" s="45">
        <f>VLOOKUP($B44,'[5]E.U.'!$R$9:$BZ$225,11,FALSE)</f>
        <v>3048.8330999999998</v>
      </c>
      <c r="AQ44" s="45">
        <f>VLOOKUP($B44,'[6]E.U.'!$R$9:$CA$225,11,FALSE)</f>
        <v>3590.9016799999999</v>
      </c>
      <c r="AR44" s="45">
        <f>VLOOKUP($B44,'[7]E.U.'!$R$9:$AZ$225,11,FALSE)</f>
        <v>2653.9158600000001</v>
      </c>
      <c r="AS44" s="45">
        <f>VLOOKUP($B44,'[8]E.U.'!$R$9:$AZ$225,11,FALSE)</f>
        <v>2526.7924400000002</v>
      </c>
      <c r="AT44" s="45">
        <f>VLOOKUP($B44,'[9]E.U.'!$R$9:$AZ$221,11,FALSE)</f>
        <v>2464.9247999999998</v>
      </c>
      <c r="AU44" s="45"/>
      <c r="AV44" s="45">
        <f>VLOOKUP($B44,'[10]E.U.'!$R$9:$AZ$221,11,FALSE)</f>
        <v>2510.2989600000001</v>
      </c>
      <c r="AW44" s="45">
        <f>VLOOKUP($B44,'[11]E.U.'!$R$9:$AZ$220,11,FALSE)</f>
        <v>2385.5328000000004</v>
      </c>
      <c r="AX44" s="45"/>
      <c r="AY44" s="45">
        <f>VLOOKUP($B44,'[12]E.U.'!$R$9:$AZ$220,11,FALSE)</f>
        <v>2374.578</v>
      </c>
      <c r="AZ44" s="45"/>
      <c r="BA44" s="45">
        <f>VLOOKUP($B44,'[13]E.U.'!$R$9:$AZ$221,11,FALSE)</f>
        <v>2379.6030000000001</v>
      </c>
      <c r="BB44" s="46">
        <f t="shared" si="6"/>
        <v>31421.585460000006</v>
      </c>
      <c r="BC44" s="47" t="e">
        <f>SUM(#REF!)</f>
        <v>#REF!</v>
      </c>
      <c r="BD44" s="43" t="e">
        <f>VLOOKUP(V44,[14]ELECTRIC!$C$1:$H$4000,6,FALSE)</f>
        <v>#N/A</v>
      </c>
      <c r="BE44" s="43" t="e">
        <f t="shared" si="10"/>
        <v>#N/A</v>
      </c>
      <c r="BF44" s="48">
        <f t="shared" si="3"/>
        <v>31421.585460000006</v>
      </c>
      <c r="BG44" s="49">
        <f t="shared" si="9"/>
        <v>54740.890669242872</v>
      </c>
      <c r="BH44" s="43" t="e">
        <f t="shared" si="7"/>
        <v>#REF!</v>
      </c>
      <c r="BI44" s="50" t="e">
        <f t="shared" si="8"/>
        <v>#REF!</v>
      </c>
      <c r="BJ44" s="51">
        <f t="shared" si="5"/>
        <v>-9.4547953542452712E-2</v>
      </c>
      <c r="BK44" s="52"/>
      <c r="BL44" s="52"/>
      <c r="BM44" s="52"/>
      <c r="BN44" s="52"/>
      <c r="BO44" s="72" t="s">
        <v>1237</v>
      </c>
      <c r="BP44" s="52"/>
      <c r="BQ44" s="52"/>
      <c r="BR44" s="50" t="s">
        <v>1238</v>
      </c>
      <c r="BS44" s="53"/>
      <c r="BT44" s="53"/>
      <c r="BU44" s="65"/>
      <c r="BV44" s="55"/>
      <c r="BW44" s="79"/>
      <c r="BX44" s="74" t="s">
        <v>1239</v>
      </c>
      <c r="BY44" s="67"/>
      <c r="BZ44" s="58"/>
    </row>
    <row r="45" spans="1:78" ht="15.6" x14ac:dyDescent="0.3">
      <c r="A45" s="59" t="s">
        <v>694</v>
      </c>
      <c r="B45" s="38" t="s">
        <v>115</v>
      </c>
      <c r="C45" s="1" t="s">
        <v>116</v>
      </c>
      <c r="D45" s="39" t="s">
        <v>1240</v>
      </c>
      <c r="E45" s="40" t="s">
        <v>117</v>
      </c>
      <c r="F45" s="41">
        <v>0</v>
      </c>
      <c r="G45" s="42" t="s">
        <v>1241</v>
      </c>
      <c r="H45" s="42" t="s">
        <v>1241</v>
      </c>
      <c r="I45" s="42" t="s">
        <v>1241</v>
      </c>
      <c r="J45" s="42" t="s">
        <v>1242</v>
      </c>
      <c r="K45" s="42" t="s">
        <v>1243</v>
      </c>
      <c r="L45" s="42" t="s">
        <v>1244</v>
      </c>
      <c r="M45" s="42" t="s">
        <v>1245</v>
      </c>
      <c r="N45" s="42" t="s">
        <v>1246</v>
      </c>
      <c r="O45" s="42" t="s">
        <v>1247</v>
      </c>
      <c r="P45" s="42" t="s">
        <v>1248</v>
      </c>
      <c r="Q45" s="42" t="s">
        <v>1249</v>
      </c>
      <c r="R45" s="42" t="s">
        <v>1250</v>
      </c>
      <c r="S45" s="42" t="s">
        <v>1251</v>
      </c>
      <c r="T45" s="42" t="s">
        <v>1252</v>
      </c>
      <c r="U45" s="42" t="s">
        <v>1253</v>
      </c>
      <c r="V45" s="42" t="str">
        <f>VLOOKUP(D45,[1]ALL!$A$15:$Z$983,3,FALSE)</f>
        <v>ACC-EGW</v>
      </c>
      <c r="W45" s="43">
        <v>50275.730453028489</v>
      </c>
      <c r="X45" s="43">
        <v>48454.650224734512</v>
      </c>
      <c r="Y45" s="43">
        <v>49818.982991037039</v>
      </c>
      <c r="Z45" s="43">
        <v>49845.037767252157</v>
      </c>
      <c r="AA45" s="43">
        <v>50306.51</v>
      </c>
      <c r="AB45" s="43">
        <v>54267.1</v>
      </c>
      <c r="AC45" s="43">
        <v>57401.98</v>
      </c>
      <c r="AD45" s="43">
        <v>56763</v>
      </c>
      <c r="AE45" s="43">
        <v>64325.91</v>
      </c>
      <c r="AF45" s="43">
        <v>70870.47</v>
      </c>
      <c r="AG45" s="43">
        <v>70141.350000000006</v>
      </c>
      <c r="AH45" s="43">
        <v>67214.55</v>
      </c>
      <c r="AI45" s="43">
        <v>67322.990000000005</v>
      </c>
      <c r="AJ45" s="43">
        <v>71641.62</v>
      </c>
      <c r="AK45" s="43">
        <v>84613.09</v>
      </c>
      <c r="AL45" s="44"/>
      <c r="AM45" s="45">
        <f>VLOOKUP($B45,'[2]E.U.'!$R$9:$AZ$205,11,FALSE)</f>
        <v>5691.07</v>
      </c>
      <c r="AN45" s="45">
        <f>VLOOKUP($B45,'[3]E.U.'!$R9:$AZ$225,11,FALSE)</f>
        <v>6174.62</v>
      </c>
      <c r="AO45" s="45">
        <f>VLOOKUP($B45,'[4]E.U.'!$R$9:$BZ$225,11,FALSE)</f>
        <v>5843.5601824363857</v>
      </c>
      <c r="AP45" s="45">
        <f>VLOOKUP($B45,'[5]E.U.'!$R$9:$BZ$225,11,FALSE)</f>
        <v>5838.5984976988893</v>
      </c>
      <c r="AQ45" s="45">
        <f>VLOOKUP($B45,'[6]E.U.'!$R$9:$CA$225,11,FALSE)</f>
        <v>7188.2964936092685</v>
      </c>
      <c r="AR45" s="45">
        <f>VLOOKUP($B45,'[7]E.U.'!$R$9:$AZ$225,11,FALSE)</f>
        <v>6527.1654993228512</v>
      </c>
      <c r="AS45" s="45">
        <f>VLOOKUP($B45,'[8]E.U.'!$R$9:$AZ$225,11,FALSE)</f>
        <v>6802.5102585020059</v>
      </c>
      <c r="AT45" s="45">
        <f>VLOOKUP($B45,'[9]E.U.'!$R$9:$AZ$221,11,FALSE)</f>
        <v>5674.9777129090007</v>
      </c>
      <c r="AU45" s="45"/>
      <c r="AV45" s="45">
        <f>VLOOKUP($B45,'[10]E.U.'!$R$9:$AZ$221,11,FALSE)</f>
        <v>5978.1733420243891</v>
      </c>
      <c r="AW45" s="45">
        <f>VLOOKUP($B45,'[11]E.U.'!$R$9:$AZ$220,11,FALSE)</f>
        <v>5998.0987449492077</v>
      </c>
      <c r="AX45" s="252"/>
      <c r="AY45" s="45">
        <f>VLOOKUP($B45,'[12]E.U.'!$R$9:$AZ$220,11,FALSE)</f>
        <v>5943.3041892860092</v>
      </c>
      <c r="AZ45" s="45"/>
      <c r="BA45" s="45">
        <f>VLOOKUP($B45,'[13]E.U.'!$R$9:$AZ$221,11,FALSE)</f>
        <v>5493.1102040084597</v>
      </c>
      <c r="BB45" s="46">
        <f t="shared" si="6"/>
        <v>73153.485124746483</v>
      </c>
      <c r="BC45" s="47" t="e">
        <f>SUM(#REF!)</f>
        <v>#REF!</v>
      </c>
      <c r="BD45" s="43" t="e">
        <f>VLOOKUP(V45,[14]ELECTRIC!$C$1:$H$4000,6,FALSE)</f>
        <v>#N/A</v>
      </c>
      <c r="BE45" s="43" t="e">
        <f t="shared" si="10"/>
        <v>#N/A</v>
      </c>
      <c r="BF45" s="48">
        <f t="shared" si="3"/>
        <v>73153.485124746483</v>
      </c>
      <c r="BG45" s="49">
        <f t="shared" si="9"/>
        <v>127443.82158518332</v>
      </c>
      <c r="BH45" s="43" t="e">
        <f t="shared" si="7"/>
        <v>#REF!</v>
      </c>
      <c r="BI45" s="50" t="e">
        <f t="shared" si="8"/>
        <v>#REF!</v>
      </c>
      <c r="BJ45" s="51">
        <f t="shared" si="5"/>
        <v>-0.13543536674116874</v>
      </c>
      <c r="BK45" s="52"/>
      <c r="BL45" s="52"/>
      <c r="BM45" s="52"/>
      <c r="BN45" s="52"/>
      <c r="BO45" s="72"/>
      <c r="BP45" s="52"/>
      <c r="BQ45" s="52"/>
      <c r="BR45" s="50"/>
      <c r="BS45" s="53"/>
      <c r="BT45" s="53"/>
      <c r="BU45" s="65"/>
      <c r="BV45" s="55"/>
      <c r="BW45" s="55"/>
      <c r="BX45" s="56"/>
      <c r="BY45" s="67" t="s">
        <v>847</v>
      </c>
      <c r="BZ45" s="58"/>
    </row>
    <row r="46" spans="1:78" ht="15.6" x14ac:dyDescent="0.3">
      <c r="A46" s="59" t="s">
        <v>694</v>
      </c>
      <c r="B46" s="38" t="s">
        <v>118</v>
      </c>
      <c r="C46" s="1" t="s">
        <v>119</v>
      </c>
      <c r="D46" s="39" t="s">
        <v>1254</v>
      </c>
      <c r="E46" s="40" t="s">
        <v>120</v>
      </c>
      <c r="F46" s="41">
        <v>0</v>
      </c>
      <c r="G46" s="42" t="s">
        <v>1255</v>
      </c>
      <c r="H46" s="42" t="s">
        <v>1255</v>
      </c>
      <c r="I46" s="42" t="s">
        <v>1255</v>
      </c>
      <c r="J46" s="42" t="s">
        <v>1256</v>
      </c>
      <c r="K46" s="42" t="s">
        <v>1257</v>
      </c>
      <c r="L46" s="42" t="s">
        <v>1258</v>
      </c>
      <c r="M46" s="42" t="s">
        <v>1259</v>
      </c>
      <c r="N46" s="42" t="s">
        <v>1260</v>
      </c>
      <c r="O46" s="42" t="s">
        <v>1261</v>
      </c>
      <c r="P46" s="42" t="s">
        <v>1262</v>
      </c>
      <c r="Q46" s="42" t="s">
        <v>1263</v>
      </c>
      <c r="R46" s="42" t="s">
        <v>1264</v>
      </c>
      <c r="S46" s="42" t="s">
        <v>1265</v>
      </c>
      <c r="T46" s="42" t="s">
        <v>1266</v>
      </c>
      <c r="U46" s="42" t="s">
        <v>1267</v>
      </c>
      <c r="V46" s="42" t="str">
        <f>VLOOKUP(D46,[1]ALL!$A$15:$Z$983,3,FALSE)</f>
        <v>MHP-EGW</v>
      </c>
      <c r="W46" s="43">
        <v>13471.021597941155</v>
      </c>
      <c r="X46" s="43">
        <v>12800.252214949543</v>
      </c>
      <c r="Y46" s="43">
        <v>12876.752114349089</v>
      </c>
      <c r="Z46" s="43">
        <v>13577.301608311784</v>
      </c>
      <c r="AA46" s="43">
        <v>13901.71</v>
      </c>
      <c r="AB46" s="43">
        <v>16279.25</v>
      </c>
      <c r="AC46" s="43">
        <v>15231.53</v>
      </c>
      <c r="AD46" s="43">
        <v>27500.49</v>
      </c>
      <c r="AE46" s="43">
        <v>17468.91</v>
      </c>
      <c r="AF46" s="43">
        <v>18296.93</v>
      </c>
      <c r="AG46" s="43">
        <v>19517.330000000002</v>
      </c>
      <c r="AH46" s="43">
        <v>18543.73</v>
      </c>
      <c r="AI46" s="43">
        <v>18464.63</v>
      </c>
      <c r="AJ46" s="43">
        <v>18655.75</v>
      </c>
      <c r="AK46" s="43">
        <v>21226.91</v>
      </c>
      <c r="AL46" s="44"/>
      <c r="AM46" s="45">
        <f>VLOOKUP($B46,'[2]E.U.'!$R$9:$AZ$205,11,FALSE)</f>
        <v>1582.33</v>
      </c>
      <c r="AN46" s="45">
        <f>VLOOKUP($B46,'[3]E.U.'!$R9:$AZ$225,11,FALSE)</f>
        <v>1721.12</v>
      </c>
      <c r="AO46" s="45">
        <f>VLOOKUP($B46,'[4]E.U.'!$R$9:$BZ$225,11,FALSE)</f>
        <v>1369.8154303781653</v>
      </c>
      <c r="AP46" s="45">
        <f>VLOOKUP($B46,'[5]E.U.'!$R$9:$BZ$225,11,FALSE)</f>
        <v>1379.0765253942666</v>
      </c>
      <c r="AQ46" s="45">
        <f>VLOOKUP($B46,'[6]E.U.'!$R$9:$CA$225,11,FALSE)</f>
        <v>2095.2557850738845</v>
      </c>
      <c r="AR46" s="45">
        <f>VLOOKUP($B46,'[7]E.U.'!$R$9:$AZ$225,11,FALSE)</f>
        <v>2116.4862749573663</v>
      </c>
      <c r="AS46" s="45">
        <f>VLOOKUP($B46,'[8]E.U.'!$R$9:$AZ$225,11,FALSE)</f>
        <v>1858.6014617216724</v>
      </c>
      <c r="AT46" s="45">
        <f>VLOOKUP($B46,'[9]E.U.'!$R$9:$AZ$221,11,FALSE)</f>
        <v>1406.8795070009382</v>
      </c>
      <c r="AU46" s="45"/>
      <c r="AV46" s="45">
        <f>VLOOKUP($B46,'[10]E.U.'!$R$9:$AZ$221,11,FALSE)</f>
        <v>1542.7561156032748</v>
      </c>
      <c r="AW46" s="45">
        <f>VLOOKUP($B46,'[11]E.U.'!$R$9:$AZ$220,11,FALSE)</f>
        <v>1781.5940772593158</v>
      </c>
      <c r="AX46" s="252"/>
      <c r="AY46" s="45">
        <f>VLOOKUP($B46,'[12]E.U.'!$R$9:$AZ$220,11,FALSE)</f>
        <v>1734.2782222212509</v>
      </c>
      <c r="AZ46" s="45"/>
      <c r="BA46" s="45">
        <f>VLOOKUP($B46,'[13]E.U.'!$R$9:$AZ$221,11,FALSE)</f>
        <v>1724.2281085695045</v>
      </c>
      <c r="BB46" s="46">
        <f t="shared" si="6"/>
        <v>20312.421508179639</v>
      </c>
      <c r="BC46" s="47" t="e">
        <f>SUM(#REF!)</f>
        <v>#REF!</v>
      </c>
      <c r="BD46" s="43" t="e">
        <f>VLOOKUP(V46,[14]ELECTRIC!$C$1:$H$4000,6,FALSE)</f>
        <v>#N/A</v>
      </c>
      <c r="BE46" s="43" t="e">
        <f t="shared" si="10"/>
        <v>#N/A</v>
      </c>
      <c r="BF46" s="48">
        <f t="shared" si="3"/>
        <v>20312.421508179639</v>
      </c>
      <c r="BG46" s="49">
        <f t="shared" si="9"/>
        <v>35387.140041750099</v>
      </c>
      <c r="BH46" s="43" t="e">
        <f t="shared" si="7"/>
        <v>#REF!</v>
      </c>
      <c r="BI46" s="50" t="e">
        <f t="shared" si="8"/>
        <v>#REF!</v>
      </c>
      <c r="BJ46" s="51">
        <f t="shared" si="5"/>
        <v>-4.3081564477371437E-2</v>
      </c>
      <c r="BK46" s="52"/>
      <c r="BL46" s="52"/>
      <c r="BM46" s="52"/>
      <c r="BN46" s="52"/>
      <c r="BO46" s="72"/>
      <c r="BP46" s="52"/>
      <c r="BQ46" s="52"/>
      <c r="BR46" s="50"/>
      <c r="BS46" s="53"/>
      <c r="BT46" s="53"/>
      <c r="BU46" s="65"/>
      <c r="BV46" s="55"/>
      <c r="BW46" s="55"/>
      <c r="BX46" s="56"/>
      <c r="BY46" s="67"/>
      <c r="BZ46" s="58"/>
    </row>
    <row r="47" spans="1:78" ht="15.6" x14ac:dyDescent="0.3">
      <c r="A47" s="59" t="s">
        <v>694</v>
      </c>
      <c r="B47" s="38" t="s">
        <v>121</v>
      </c>
      <c r="C47" s="1" t="s">
        <v>122</v>
      </c>
      <c r="D47" s="39" t="s">
        <v>1268</v>
      </c>
      <c r="E47" s="40" t="s">
        <v>123</v>
      </c>
      <c r="F47" s="41">
        <v>0</v>
      </c>
      <c r="G47" s="42" t="s">
        <v>1269</v>
      </c>
      <c r="H47" s="42" t="s">
        <v>1269</v>
      </c>
      <c r="I47" s="42" t="s">
        <v>1269</v>
      </c>
      <c r="J47" s="42" t="s">
        <v>1270</v>
      </c>
      <c r="K47" s="42" t="s">
        <v>1271</v>
      </c>
      <c r="L47" s="42" t="s">
        <v>1272</v>
      </c>
      <c r="M47" s="42" t="s">
        <v>1273</v>
      </c>
      <c r="N47" s="42" t="s">
        <v>1274</v>
      </c>
      <c r="O47" s="42" t="s">
        <v>1275</v>
      </c>
      <c r="P47" s="42" t="s">
        <v>1276</v>
      </c>
      <c r="Q47" s="42" t="s">
        <v>1277</v>
      </c>
      <c r="R47" s="42" t="s">
        <v>1278</v>
      </c>
      <c r="S47" s="42" t="s">
        <v>1279</v>
      </c>
      <c r="T47" s="42" t="s">
        <v>1280</v>
      </c>
      <c r="U47" s="42" t="s">
        <v>1281</v>
      </c>
      <c r="V47" s="42" t="str">
        <f>VLOOKUP(D47,[1]ALL!$A$15:$Z$983,3,FALSE)</f>
        <v>ALM-EGW</v>
      </c>
      <c r="W47" s="43">
        <v>13628.913830501919</v>
      </c>
      <c r="X47" s="43">
        <v>13989.205301790147</v>
      </c>
      <c r="Y47" s="43">
        <v>14127.958939190661</v>
      </c>
      <c r="Z47" s="43">
        <v>10793.946453551294</v>
      </c>
      <c r="AA47" s="43">
        <v>10178.6</v>
      </c>
      <c r="AB47" s="43">
        <v>9608.36</v>
      </c>
      <c r="AC47" s="43">
        <v>9209.06</v>
      </c>
      <c r="AD47" s="43">
        <v>10647.48</v>
      </c>
      <c r="AE47" s="43">
        <v>12815.62</v>
      </c>
      <c r="AF47" s="43">
        <v>13110.71</v>
      </c>
      <c r="AG47" s="43">
        <v>13152.37</v>
      </c>
      <c r="AH47" s="43">
        <v>10730.89</v>
      </c>
      <c r="AI47" s="43">
        <v>10722.51</v>
      </c>
      <c r="AJ47" s="43">
        <v>12210.27</v>
      </c>
      <c r="AK47" s="43">
        <v>12633.24</v>
      </c>
      <c r="AL47" s="44"/>
      <c r="AM47" s="45">
        <f>VLOOKUP($B47,'[2]E.U.'!$R$9:$AZ$205,11,FALSE)</f>
        <v>976.07</v>
      </c>
      <c r="AN47" s="45">
        <f>VLOOKUP($B47,'[3]E.U.'!$R9:$AZ$225,11,FALSE)</f>
        <v>1255.53</v>
      </c>
      <c r="AO47" s="45">
        <f>VLOOKUP($B47,'[4]E.U.'!$R$9:$BZ$225,11,FALSE)</f>
        <v>1097.690511342325</v>
      </c>
      <c r="AP47" s="45">
        <f>VLOOKUP($B47,'[5]E.U.'!$R$9:$BZ$225,11,FALSE)</f>
        <v>1022.1372712937346</v>
      </c>
      <c r="AQ47" s="45">
        <f>VLOOKUP($B47,'[6]E.U.'!$R$9:$CA$225,11,FALSE)</f>
        <v>1240.2552659445339</v>
      </c>
      <c r="AR47" s="45">
        <f>VLOOKUP($B47,'[7]E.U.'!$R$9:$AZ$225,11,FALSE)</f>
        <v>1227.1792771256062</v>
      </c>
      <c r="AS47" s="45">
        <f>VLOOKUP($B47,'[8]E.U.'!$R$9:$AZ$225,11,FALSE)</f>
        <v>1508.6314869028213</v>
      </c>
      <c r="AT47" s="45">
        <f>VLOOKUP($B47,'[9]E.U.'!$R$9:$AZ$221,11,FALSE)</f>
        <v>1092.4036468549978</v>
      </c>
      <c r="AU47" s="45"/>
      <c r="AV47" s="45">
        <f>VLOOKUP($B47,'[10]E.U.'!$R$9:$AZ$221,11,FALSE)</f>
        <v>1083.6297829718976</v>
      </c>
      <c r="AW47" s="45">
        <f>VLOOKUP($B47,'[11]E.U.'!$R$9:$AZ$220,11,FALSE)</f>
        <v>1004.9486141979871</v>
      </c>
      <c r="AX47" s="252"/>
      <c r="AY47" s="45">
        <f>VLOOKUP($B47,'[12]E.U.'!$R$9:$AZ$220,11,FALSE)</f>
        <v>936.37376598814956</v>
      </c>
      <c r="AZ47" s="45"/>
      <c r="BA47" s="45">
        <f>VLOOKUP($B47,'[13]E.U.'!$R$9:$AZ$221,11,FALSE)</f>
        <v>852.30398961362027</v>
      </c>
      <c r="BB47" s="46">
        <f t="shared" si="6"/>
        <v>13297.153612235672</v>
      </c>
      <c r="BC47" s="47" t="e">
        <f>SUM(#REF!)</f>
        <v>#REF!</v>
      </c>
      <c r="BD47" s="43" t="e">
        <f>VLOOKUP(V47,[14]ELECTRIC!$C$1:$H$4000,6,FALSE)</f>
        <v>#N/A</v>
      </c>
      <c r="BE47" s="43" t="e">
        <f t="shared" si="10"/>
        <v>#N/A</v>
      </c>
      <c r="BF47" s="48">
        <f t="shared" si="3"/>
        <v>13297.153612235672</v>
      </c>
      <c r="BG47" s="49">
        <f t="shared" si="9"/>
        <v>23165.541185887716</v>
      </c>
      <c r="BH47" s="43" t="e">
        <f t="shared" si="7"/>
        <v>#REF!</v>
      </c>
      <c r="BI47" s="50" t="e">
        <f t="shared" si="8"/>
        <v>#REF!</v>
      </c>
      <c r="BJ47" s="51">
        <f t="shared" si="5"/>
        <v>5.2552916926748239E-2</v>
      </c>
      <c r="BK47" s="52"/>
      <c r="BL47" s="52"/>
      <c r="BM47" s="52"/>
      <c r="BN47" s="52"/>
      <c r="BO47" s="72"/>
      <c r="BP47" s="52"/>
      <c r="BQ47" s="52"/>
      <c r="BR47" s="50"/>
      <c r="BS47" s="53"/>
      <c r="BT47" s="53"/>
      <c r="BU47" s="65"/>
      <c r="BV47" s="55"/>
      <c r="BW47" s="55"/>
      <c r="BX47" s="56"/>
      <c r="BY47" s="80"/>
      <c r="BZ47" s="58"/>
    </row>
    <row r="48" spans="1:78" ht="15.6" x14ac:dyDescent="0.3">
      <c r="A48" s="59" t="s">
        <v>694</v>
      </c>
      <c r="B48" s="38" t="s">
        <v>124</v>
      </c>
      <c r="C48" s="1" t="s">
        <v>125</v>
      </c>
      <c r="D48" s="39" t="s">
        <v>1282</v>
      </c>
      <c r="E48" s="40" t="s">
        <v>126</v>
      </c>
      <c r="F48" s="41">
        <v>0</v>
      </c>
      <c r="G48" s="42" t="s">
        <v>1283</v>
      </c>
      <c r="H48" s="42" t="s">
        <v>1283</v>
      </c>
      <c r="I48" s="42" t="s">
        <v>1283</v>
      </c>
      <c r="J48" s="42" t="s">
        <v>1284</v>
      </c>
      <c r="K48" s="42" t="s">
        <v>1285</v>
      </c>
      <c r="L48" s="42" t="s">
        <v>1286</v>
      </c>
      <c r="M48" s="42" t="s">
        <v>1287</v>
      </c>
      <c r="N48" s="42" t="s">
        <v>1288</v>
      </c>
      <c r="O48" s="42" t="s">
        <v>1289</v>
      </c>
      <c r="P48" s="42" t="s">
        <v>1290</v>
      </c>
      <c r="Q48" s="42" t="s">
        <v>1291</v>
      </c>
      <c r="R48" s="42" t="s">
        <v>1292</v>
      </c>
      <c r="S48" s="42" t="s">
        <v>1293</v>
      </c>
      <c r="T48" s="42" t="s">
        <v>1294</v>
      </c>
      <c r="U48" s="42" t="s">
        <v>1295</v>
      </c>
      <c r="V48" s="42" t="str">
        <f>VLOOKUP(D48,[1]ALL!$A$15:$Z$983,3,FALSE)</f>
        <v>JEP-EGW</v>
      </c>
      <c r="W48" s="43">
        <v>2912.9632289942979</v>
      </c>
      <c r="X48" s="43">
        <v>1911.7192553336799</v>
      </c>
      <c r="Y48" s="43">
        <v>2085.9870899625944</v>
      </c>
      <c r="Z48" s="43">
        <v>2349.7541483717878</v>
      </c>
      <c r="AA48" s="43">
        <v>1970.62</v>
      </c>
      <c r="AB48" s="43">
        <v>3028.38</v>
      </c>
      <c r="AC48" s="43">
        <v>3075.5</v>
      </c>
      <c r="AD48" s="43">
        <v>3419.93</v>
      </c>
      <c r="AE48" s="43">
        <v>3470.96</v>
      </c>
      <c r="AF48" s="43">
        <v>2966.98</v>
      </c>
      <c r="AG48" s="43">
        <v>1513.3</v>
      </c>
      <c r="AH48" s="43">
        <v>1844.11</v>
      </c>
      <c r="AI48" s="43">
        <v>8127.26</v>
      </c>
      <c r="AJ48" s="43">
        <v>10045.09</v>
      </c>
      <c r="AK48" s="43">
        <v>10627.29</v>
      </c>
      <c r="AL48" s="44"/>
      <c r="AM48" s="45">
        <f>VLOOKUP($B48,'[2]E.U.'!$R$9:$AZ$205,11,FALSE)</f>
        <v>768.5</v>
      </c>
      <c r="AN48" s="45">
        <f>VLOOKUP($B48,'[3]E.U.'!$R9:$AZ$225,11,FALSE)</f>
        <v>846.88</v>
      </c>
      <c r="AO48" s="45">
        <f>VLOOKUP($B48,'[4]E.U.'!$R$9:$BZ$225,11,FALSE)</f>
        <v>696.49202371134049</v>
      </c>
      <c r="AP48" s="45">
        <f>VLOOKUP($B48,'[5]E.U.'!$R$9:$BZ$225,11,FALSE)</f>
        <v>656.55136146713699</v>
      </c>
      <c r="AQ48" s="45">
        <f>VLOOKUP($B48,'[6]E.U.'!$R$9:$CA$225,11,FALSE)</f>
        <v>706.67668177863573</v>
      </c>
      <c r="AR48" s="45">
        <f>VLOOKUP($B48,'[7]E.U.'!$R$9:$AZ$225,11,FALSE)</f>
        <v>0</v>
      </c>
      <c r="AS48" s="45">
        <f>VLOOKUP($B48,'[8]E.U.'!$R$9:$AZ$225,11,FALSE)</f>
        <v>459.5219916877416</v>
      </c>
      <c r="AT48" s="45">
        <f>VLOOKUP($B48,'[9]E.U.'!$R$9:$AZ$221,11,FALSE)</f>
        <v>488.15573739482028</v>
      </c>
      <c r="AU48" s="45"/>
      <c r="AV48" s="45">
        <f>VLOOKUP($B48,'[10]E.U.'!$R$9:$AZ$221,11,FALSE)</f>
        <v>504.17469037632839</v>
      </c>
      <c r="AW48" s="45">
        <f>VLOOKUP($B48,'[11]E.U.'!$R$9:$AZ$220,11,FALSE)</f>
        <v>408.51329589134582</v>
      </c>
      <c r="AX48" s="252"/>
      <c r="AY48" s="45">
        <f>VLOOKUP($B48,'[12]E.U.'!$R$9:$AZ$220,11,FALSE)</f>
        <v>363.92196596203564</v>
      </c>
      <c r="AZ48" s="45"/>
      <c r="BA48" s="45">
        <f>VLOOKUP($B48,'[13]E.U.'!$R$9:$AZ$221,11,FALSE)</f>
        <v>358.99899113366871</v>
      </c>
      <c r="BB48" s="46">
        <f t="shared" si="6"/>
        <v>6258.3867394030531</v>
      </c>
      <c r="BC48" s="47" t="e">
        <f>SUM(#REF!)</f>
        <v>#REF!</v>
      </c>
      <c r="BD48" s="43" t="e">
        <f>VLOOKUP(V48,[14]ELECTRIC!$C$1:$H$4000,6,FALSE)</f>
        <v>#N/A</v>
      </c>
      <c r="BE48" s="43" t="e">
        <f t="shared" si="10"/>
        <v>#N/A</v>
      </c>
      <c r="BF48" s="48">
        <f t="shared" si="3"/>
        <v>6258.3867394030531</v>
      </c>
      <c r="BG48" s="49">
        <f t="shared" si="9"/>
        <v>10903.003755288604</v>
      </c>
      <c r="BH48" s="43" t="e">
        <f t="shared" si="7"/>
        <v>#REF!</v>
      </c>
      <c r="BI48" s="50" t="e">
        <f t="shared" si="8"/>
        <v>#REF!</v>
      </c>
      <c r="BJ48" s="51">
        <f t="shared" si="5"/>
        <v>-0.41110229048016456</v>
      </c>
      <c r="BK48" s="52"/>
      <c r="BL48" s="52"/>
      <c r="BM48" s="52"/>
      <c r="BN48" s="52"/>
      <c r="BO48" s="72"/>
      <c r="BP48" s="52"/>
      <c r="BQ48" s="52"/>
      <c r="BR48" s="50"/>
      <c r="BS48" s="53"/>
      <c r="BT48" s="53"/>
      <c r="BU48" s="65"/>
      <c r="BV48" s="55"/>
      <c r="BW48" s="55"/>
      <c r="BX48" s="56"/>
      <c r="BY48" s="57" t="s">
        <v>1296</v>
      </c>
      <c r="BZ48" s="58"/>
    </row>
    <row r="49" spans="1:78" ht="15.6" x14ac:dyDescent="0.3">
      <c r="A49" s="59" t="s">
        <v>694</v>
      </c>
      <c r="B49" s="38" t="s">
        <v>127</v>
      </c>
      <c r="C49" s="1" t="s">
        <v>128</v>
      </c>
      <c r="D49" s="39" t="s">
        <v>1297</v>
      </c>
      <c r="E49" s="40" t="s">
        <v>129</v>
      </c>
      <c r="F49" s="41" t="s">
        <v>758</v>
      </c>
      <c r="G49" s="42" t="s">
        <v>1298</v>
      </c>
      <c r="H49" s="42" t="s">
        <v>1298</v>
      </c>
      <c r="I49" s="42" t="s">
        <v>1298</v>
      </c>
      <c r="J49" s="42" t="s">
        <v>1299</v>
      </c>
      <c r="K49" s="42" t="s">
        <v>1300</v>
      </c>
      <c r="L49" s="42" t="s">
        <v>1301</v>
      </c>
      <c r="M49" s="42" t="s">
        <v>1302</v>
      </c>
      <c r="N49" s="42" t="s">
        <v>1303</v>
      </c>
      <c r="O49" s="42" t="s">
        <v>1304</v>
      </c>
      <c r="P49" s="42" t="s">
        <v>1305</v>
      </c>
      <c r="Q49" s="42" t="s">
        <v>1306</v>
      </c>
      <c r="R49" s="42" t="s">
        <v>1307</v>
      </c>
      <c r="S49" s="42" t="s">
        <v>1308</v>
      </c>
      <c r="T49" s="42" t="s">
        <v>1309</v>
      </c>
      <c r="U49" s="42" t="s">
        <v>1310</v>
      </c>
      <c r="V49" s="42" t="str">
        <f>VLOOKUP(D49,[1]ALL!$A$15:$Z$983,3,FALSE)</f>
        <v>SSC-EGW</v>
      </c>
      <c r="W49" s="43">
        <v>337911.56653294741</v>
      </c>
      <c r="X49" s="43">
        <v>334731.38229135808</v>
      </c>
      <c r="Y49" s="43">
        <v>351515.13816455158</v>
      </c>
      <c r="Z49" s="43">
        <v>357799.98041268089</v>
      </c>
      <c r="AA49" s="43">
        <v>251443.24</v>
      </c>
      <c r="AB49" s="43">
        <v>196694.82</v>
      </c>
      <c r="AC49" s="43">
        <v>81759.42</v>
      </c>
      <c r="AD49" s="43">
        <v>109365.45</v>
      </c>
      <c r="AE49" s="43">
        <v>121831.66</v>
      </c>
      <c r="AF49" s="43">
        <v>357898.89</v>
      </c>
      <c r="AG49" s="43">
        <v>387100.44</v>
      </c>
      <c r="AH49" s="43">
        <v>352401.16</v>
      </c>
      <c r="AI49" s="43">
        <v>273412.47999999998</v>
      </c>
      <c r="AJ49" s="43">
        <v>348978.71</v>
      </c>
      <c r="AK49" s="43">
        <v>457629.85</v>
      </c>
      <c r="AL49" s="44"/>
      <c r="AM49" s="45">
        <f>VLOOKUP($B49,'[2]E.U.'!$R$9:$AZ$205,11,FALSE)</f>
        <v>29691.54</v>
      </c>
      <c r="AN49" s="45">
        <f>VLOOKUP($B49,'[3]E.U.'!$R9:$AZ$225,11,FALSE)</f>
        <v>34665.5</v>
      </c>
      <c r="AO49" s="45">
        <f>VLOOKUP($B49,'[4]E.U.'!$R$9:$BZ$225,11,FALSE)</f>
        <v>30215.693897560359</v>
      </c>
      <c r="AP49" s="45">
        <f>VLOOKUP($B49,'[5]E.U.'!$R$9:$BZ$225,11,FALSE)</f>
        <v>37461.601495917566</v>
      </c>
      <c r="AQ49" s="45">
        <f>VLOOKUP($B49,'[6]E.U.'!$R$9:$CA$225,11,FALSE)</f>
        <v>47157.246035437318</v>
      </c>
      <c r="AR49" s="45">
        <f>VLOOKUP($B49,'[7]E.U.'!$R$9:$AZ$225,11,FALSE)</f>
        <v>39668.419214506961</v>
      </c>
      <c r="AS49" s="45">
        <f>VLOOKUP($B49,'[8]E.U.'!$R$9:$AZ$225,11,FALSE)</f>
        <v>27914.778829169376</v>
      </c>
      <c r="AT49" s="45">
        <f>VLOOKUP($B49,'[9]E.U.'!$R$9:$AZ$221,11,FALSE)</f>
        <v>23849.754834728101</v>
      </c>
      <c r="AU49" s="45"/>
      <c r="AV49" s="45">
        <f>VLOOKUP($B49,'[10]E.U.'!$R$9:$AZ$221,11,FALSE)</f>
        <v>20765.736715018153</v>
      </c>
      <c r="AW49" s="45">
        <f>VLOOKUP($B49,'[11]E.U.'!$R$9:$AZ$220,11,FALSE)</f>
        <v>21630.849080050193</v>
      </c>
      <c r="AX49" s="252"/>
      <c r="AY49" s="45">
        <f>VLOOKUP($B49,'[12]E.U.'!$R$9:$AZ$220,11,FALSE)</f>
        <v>20212.075917815739</v>
      </c>
      <c r="AZ49" s="45"/>
      <c r="BA49" s="45">
        <f>VLOOKUP($B49,'[13]E.U.'!$R$9:$AZ$221,11,FALSE)</f>
        <v>21208.868065116734</v>
      </c>
      <c r="BB49" s="46">
        <f t="shared" si="6"/>
        <v>354442.06408532051</v>
      </c>
      <c r="BC49" s="47" t="e">
        <f>SUM(#REF!)</f>
        <v>#REF!</v>
      </c>
      <c r="BD49" s="43" t="e">
        <f>VLOOKUP(V49,[14]ELECTRIC!$C$1:$H$4000,6,FALSE)</f>
        <v>#N/A</v>
      </c>
      <c r="BE49" s="43" t="e">
        <f t="shared" si="10"/>
        <v>#N/A</v>
      </c>
      <c r="BF49" s="48">
        <f t="shared" si="3"/>
        <v>354442.06408532051</v>
      </c>
      <c r="BG49" s="49">
        <f t="shared" si="9"/>
        <v>617488.71021721186</v>
      </c>
      <c r="BH49" s="43" t="e">
        <f t="shared" si="7"/>
        <v>#REF!</v>
      </c>
      <c r="BI49" s="50" t="e">
        <f t="shared" si="8"/>
        <v>#REF!</v>
      </c>
      <c r="BJ49" s="51">
        <f t="shared" si="5"/>
        <v>-0.22548307527290767</v>
      </c>
      <c r="BK49" s="52"/>
      <c r="BL49" s="52"/>
      <c r="BM49" s="52"/>
      <c r="BN49" s="52"/>
      <c r="BO49" s="72" t="s">
        <v>1311</v>
      </c>
      <c r="BP49" s="52"/>
      <c r="BQ49" s="52"/>
      <c r="BR49" s="50" t="s">
        <v>1312</v>
      </c>
      <c r="BS49" s="53"/>
      <c r="BT49" s="53"/>
      <c r="BU49" s="65"/>
      <c r="BV49" s="55"/>
      <c r="BW49" s="55"/>
      <c r="BX49" s="56"/>
      <c r="BY49" s="67"/>
      <c r="BZ49" s="58"/>
    </row>
    <row r="50" spans="1:78" ht="15.6" x14ac:dyDescent="0.3">
      <c r="A50" s="81" t="s">
        <v>694</v>
      </c>
      <c r="B50" s="62" t="s">
        <v>130</v>
      </c>
      <c r="C50" s="112" t="s">
        <v>131</v>
      </c>
      <c r="D50" s="39" t="s">
        <v>1313</v>
      </c>
      <c r="E50" s="40" t="s">
        <v>132</v>
      </c>
      <c r="F50" s="41" t="s">
        <v>758</v>
      </c>
      <c r="G50" s="42"/>
      <c r="H50" s="42"/>
      <c r="I50" s="42"/>
      <c r="J50" s="100" t="s">
        <v>1314</v>
      </c>
      <c r="K50" s="42" t="s">
        <v>1315</v>
      </c>
      <c r="L50" s="42" t="s">
        <v>1316</v>
      </c>
      <c r="M50" s="42" t="s">
        <v>1317</v>
      </c>
      <c r="N50" s="42" t="s">
        <v>1318</v>
      </c>
      <c r="O50" s="42" t="s">
        <v>1319</v>
      </c>
      <c r="P50" s="42" t="s">
        <v>1320</v>
      </c>
      <c r="Q50" s="42" t="s">
        <v>1321</v>
      </c>
      <c r="R50" s="42" t="s">
        <v>1322</v>
      </c>
      <c r="S50" s="42" t="s">
        <v>1323</v>
      </c>
      <c r="T50" s="42" t="s">
        <v>1324</v>
      </c>
      <c r="U50" s="42" t="s">
        <v>1325</v>
      </c>
      <c r="V50" s="42" t="str">
        <f>VLOOKUP(D50,[1]ALL!$A$15:$Z$983,3,FALSE)</f>
        <v>SSC1-EG</v>
      </c>
      <c r="W50" s="43"/>
      <c r="X50" s="43" t="s">
        <v>725</v>
      </c>
      <c r="Y50" s="43"/>
      <c r="Z50" s="43">
        <v>26825.11</v>
      </c>
      <c r="AA50" s="43">
        <v>121265.61</v>
      </c>
      <c r="AB50" s="43">
        <v>45052.51</v>
      </c>
      <c r="AC50" s="43">
        <v>99558.46</v>
      </c>
      <c r="AD50" s="43">
        <v>83286.59</v>
      </c>
      <c r="AE50" s="43">
        <v>117701.09</v>
      </c>
      <c r="AF50" s="43">
        <v>126183.99</v>
      </c>
      <c r="AG50" s="43">
        <v>109082.34</v>
      </c>
      <c r="AH50" s="43">
        <v>85082.74</v>
      </c>
      <c r="AI50" s="43">
        <v>65743.08</v>
      </c>
      <c r="AJ50" s="43">
        <v>77042.06</v>
      </c>
      <c r="AK50" s="43">
        <v>38912.68</v>
      </c>
      <c r="AL50" s="44"/>
      <c r="AM50" s="45">
        <f>VLOOKUP($B50,'[2]E.U.'!$R$9:$AZ$205,11,FALSE)</f>
        <v>6696.87</v>
      </c>
      <c r="AN50" s="45">
        <f>VLOOKUP($B50,'[3]E.U.'!$R9:$AZ$225,11,FALSE)</f>
        <v>6936.37</v>
      </c>
      <c r="AO50" s="45">
        <f>VLOOKUP($B50,'[4]E.U.'!$R$9:$BZ$225,11,FALSE)</f>
        <v>9854.1905381630222</v>
      </c>
      <c r="AP50" s="45">
        <f>VLOOKUP($B50,'[5]E.U.'!$R$9:$BZ$225,11,FALSE)</f>
        <v>7524.6463755961004</v>
      </c>
      <c r="AQ50" s="45">
        <f>VLOOKUP($B50,'[6]E.U.'!$R$9:$CA$225,11,FALSE)</f>
        <v>3442.6644373050485</v>
      </c>
      <c r="AR50" s="45">
        <f>VLOOKUP($B50,'[7]E.U.'!$R$9:$AZ$225,11,FALSE)</f>
        <v>1791.9932724642345</v>
      </c>
      <c r="AS50" s="45">
        <f>VLOOKUP($B50,'[8]E.U.'!$R$9:$AZ$225,11,FALSE)</f>
        <v>931.67993077981816</v>
      </c>
      <c r="AT50" s="45">
        <f>VLOOKUP($B50,'[9]E.U.'!$R$9:$AZ$221,11,FALSE)</f>
        <v>480.17287390090718</v>
      </c>
      <c r="AU50" s="45"/>
      <c r="AV50" s="45">
        <f>VLOOKUP($B50,'[10]E.U.'!$R$9:$AZ$221,11,FALSE)</f>
        <v>3.9010125518390391</v>
      </c>
      <c r="AW50" s="45">
        <f>VLOOKUP($B50,'[11]E.U.'!$R$9:$AZ$220,11,FALSE)</f>
        <v>2408.7568716712904</v>
      </c>
      <c r="AX50" s="252"/>
      <c r="AY50" s="45">
        <f>VLOOKUP($B50,'[12]E.U.'!$R$9:$AZ$220,11,FALSE)</f>
        <v>58.189933300599016</v>
      </c>
      <c r="AZ50" s="45"/>
      <c r="BA50" s="45">
        <f>VLOOKUP($B50,'[13]E.U.'!$R$9:$AZ$221,11,FALSE)</f>
        <v>1441.2325281597311</v>
      </c>
      <c r="BB50" s="46">
        <f t="shared" si="6"/>
        <v>41570.667773892594</v>
      </c>
      <c r="BC50" s="47" t="e">
        <f>SUM(#REF!)</f>
        <v>#REF!</v>
      </c>
      <c r="BD50" s="43" t="e">
        <f>VLOOKUP(V50,[14]ELECTRIC!$C$1:$H$4000,6,FALSE)</f>
        <v>#N/A</v>
      </c>
      <c r="BE50" s="43" t="e">
        <f t="shared" si="10"/>
        <v>#N/A</v>
      </c>
      <c r="BF50" s="48">
        <f t="shared" si="3"/>
        <v>41570.667773892594</v>
      </c>
      <c r="BG50" s="43">
        <f t="shared" si="9"/>
        <v>72422.041928945735</v>
      </c>
      <c r="BH50" s="43" t="e">
        <f t="shared" si="7"/>
        <v>#REF!</v>
      </c>
      <c r="BI50" s="52" t="e">
        <f t="shared" si="8"/>
        <v>#REF!</v>
      </c>
      <c r="BJ50" s="51">
        <f t="shared" si="5"/>
        <v>6.8306469096772293E-2</v>
      </c>
      <c r="BK50" s="52"/>
      <c r="BL50" s="52"/>
      <c r="BM50" s="52"/>
      <c r="BN50" s="52"/>
      <c r="BO50" s="72" t="s">
        <v>1326</v>
      </c>
      <c r="BP50" s="72" t="s">
        <v>844</v>
      </c>
      <c r="BQ50" s="52"/>
      <c r="BR50" s="50" t="s">
        <v>1327</v>
      </c>
      <c r="BS50" s="75" t="s">
        <v>1328</v>
      </c>
      <c r="BT50" s="75" t="s">
        <v>1328</v>
      </c>
      <c r="BU50" s="82"/>
      <c r="BV50" s="83"/>
      <c r="BW50" s="83"/>
      <c r="BX50" s="66"/>
      <c r="BY50" s="84"/>
      <c r="BZ50" s="68"/>
    </row>
    <row r="51" spans="1:78" ht="15" customHeight="1" x14ac:dyDescent="0.3">
      <c r="A51" s="59" t="s">
        <v>694</v>
      </c>
      <c r="B51" s="38" t="s">
        <v>133</v>
      </c>
      <c r="C51" s="1" t="s">
        <v>134</v>
      </c>
      <c r="D51" s="39" t="s">
        <v>1329</v>
      </c>
      <c r="E51" s="40" t="s">
        <v>135</v>
      </c>
      <c r="F51" s="41">
        <v>0</v>
      </c>
      <c r="G51" s="42" t="s">
        <v>1330</v>
      </c>
      <c r="H51" s="42" t="s">
        <v>1330</v>
      </c>
      <c r="I51" s="42" t="s">
        <v>1330</v>
      </c>
      <c r="J51" s="42" t="s">
        <v>1331</v>
      </c>
      <c r="K51" s="42" t="s">
        <v>1332</v>
      </c>
      <c r="L51" s="42" t="s">
        <v>1333</v>
      </c>
      <c r="M51" s="42" t="s">
        <v>1334</v>
      </c>
      <c r="N51" s="42" t="s">
        <v>1335</v>
      </c>
      <c r="O51" s="42" t="s">
        <v>1336</v>
      </c>
      <c r="P51" s="42" t="s">
        <v>1337</v>
      </c>
      <c r="Q51" s="42" t="s">
        <v>1338</v>
      </c>
      <c r="R51" s="42" t="s">
        <v>1339</v>
      </c>
      <c r="S51" s="42" t="s">
        <v>1340</v>
      </c>
      <c r="T51" s="42" t="s">
        <v>1341</v>
      </c>
      <c r="U51" s="42" t="s">
        <v>1342</v>
      </c>
      <c r="V51" s="42" t="str">
        <f>VLOOKUP(D51,[1]ALL!$A$15:$Z$983,3,FALSE)</f>
        <v>SSL-EGW</v>
      </c>
      <c r="W51" s="43">
        <v>9587.2280770480247</v>
      </c>
      <c r="X51" s="43">
        <v>8225.4168545985813</v>
      </c>
      <c r="Y51" s="43">
        <v>6633.0303732157736</v>
      </c>
      <c r="Z51" s="43">
        <v>6071.2048013181893</v>
      </c>
      <c r="AA51" s="43">
        <v>8489.3799999999992</v>
      </c>
      <c r="AB51" s="43">
        <v>11645.74</v>
      </c>
      <c r="AC51" s="43">
        <v>12350.9</v>
      </c>
      <c r="AD51" s="43">
        <v>13235.75</v>
      </c>
      <c r="AE51" s="43">
        <v>13192.2</v>
      </c>
      <c r="AF51" s="43">
        <v>14956.37</v>
      </c>
      <c r="AG51" s="43">
        <v>15766.02</v>
      </c>
      <c r="AH51" s="43">
        <v>23999.41</v>
      </c>
      <c r="AI51" s="43">
        <v>46215.81</v>
      </c>
      <c r="AJ51" s="43">
        <v>50065.86</v>
      </c>
      <c r="AK51" s="43">
        <v>53873.1</v>
      </c>
      <c r="AL51" s="44"/>
      <c r="AM51" s="45">
        <f>VLOOKUP($B51,'[2]E.U.'!$R$9:$AZ$205,11,FALSE)</f>
        <v>4570.75</v>
      </c>
      <c r="AN51" s="45">
        <f>VLOOKUP($B51,'[3]E.U.'!$R9:$AZ$225,11,FALSE)</f>
        <v>3495.39</v>
      </c>
      <c r="AO51" s="45">
        <f>VLOOKUP($B51,'[4]E.U.'!$R$9:$BZ$225,11,FALSE)</f>
        <v>6799.2624614658189</v>
      </c>
      <c r="AP51" s="45">
        <f>VLOOKUP($B51,'[5]E.U.'!$R$9:$BZ$225,11,FALSE)</f>
        <v>6670.0168474788634</v>
      </c>
      <c r="AQ51" s="45">
        <f>VLOOKUP($B51,'[6]E.U.'!$R$9:$CA$225,11,FALSE)</f>
        <v>6950.8556326479238</v>
      </c>
      <c r="AR51" s="45">
        <f>VLOOKUP($B51,'[7]E.U.'!$R$9:$AZ$225,11,FALSE)</f>
        <v>6468.214103854838</v>
      </c>
      <c r="AS51" s="45">
        <f>VLOOKUP($B51,'[8]E.U.'!$R$9:$AZ$225,11,FALSE)</f>
        <v>7164.2112297705316</v>
      </c>
      <c r="AT51" s="45">
        <f>VLOOKUP($B51,'[9]E.U.'!$R$9:$AZ$221,11,FALSE)</f>
        <v>6745.7988412934474</v>
      </c>
      <c r="AU51" s="45"/>
      <c r="AV51" s="45">
        <f>VLOOKUP($B51,'[10]E.U.'!$R$9:$AZ$221,11,FALSE)</f>
        <v>6678.7393210690088</v>
      </c>
      <c r="AW51" s="45">
        <f>VLOOKUP($B51,'[11]E.U.'!$R$9:$AZ$220,11,FALSE)</f>
        <v>6164.1896693434965</v>
      </c>
      <c r="AX51" s="252"/>
      <c r="AY51" s="45">
        <f>VLOOKUP($B51,'[12]E.U.'!$R$9:$AZ$220,11,FALSE)</f>
        <v>6133.9111625609212</v>
      </c>
      <c r="AZ51" s="45"/>
      <c r="BA51" s="45">
        <f>VLOOKUP($B51,'[13]E.U.'!$R$9:$AZ$221,11,FALSE)</f>
        <v>5667.8565433196254</v>
      </c>
      <c r="BB51" s="46">
        <f t="shared" si="6"/>
        <v>73509.195812804464</v>
      </c>
      <c r="BC51" s="47" t="e">
        <f>SUM(#REF!)</f>
        <v>#REF!</v>
      </c>
      <c r="BD51" s="43" t="e">
        <f>VLOOKUP(V51,[14]ELECTRIC!$C$1:$H$4000,6,FALSE)</f>
        <v>#N/A</v>
      </c>
      <c r="BE51" s="43" t="e">
        <f t="shared" si="10"/>
        <v>#N/A</v>
      </c>
      <c r="BF51" s="48">
        <f t="shared" si="3"/>
        <v>73509.195812804464</v>
      </c>
      <c r="BG51" s="49">
        <f t="shared" si="9"/>
        <v>128063.52041959294</v>
      </c>
      <c r="BH51" s="43" t="e">
        <f t="shared" si="7"/>
        <v>#REF!</v>
      </c>
      <c r="BI51" s="50" t="e">
        <f t="shared" si="8"/>
        <v>#REF!</v>
      </c>
      <c r="BJ51" s="51">
        <f t="shared" si="5"/>
        <v>0.36448795062479178</v>
      </c>
      <c r="BK51" s="52"/>
      <c r="BL51" s="52"/>
      <c r="BM51" s="52"/>
      <c r="BN51" s="52"/>
      <c r="BO51" s="72"/>
      <c r="BP51" s="52"/>
      <c r="BQ51" s="52"/>
      <c r="BR51" s="50"/>
      <c r="BS51" s="53"/>
      <c r="BT51" s="53"/>
      <c r="BU51" s="65"/>
      <c r="BV51" s="55"/>
      <c r="BW51" s="55"/>
      <c r="BX51" s="56"/>
      <c r="BY51" s="67"/>
      <c r="BZ51" s="58"/>
    </row>
    <row r="52" spans="1:78" ht="15" customHeight="1" x14ac:dyDescent="0.3">
      <c r="A52" s="59" t="s">
        <v>1222</v>
      </c>
      <c r="B52" s="38" t="s">
        <v>136</v>
      </c>
      <c r="C52" s="1" t="s">
        <v>137</v>
      </c>
      <c r="D52" s="39" t="s">
        <v>1343</v>
      </c>
      <c r="E52" s="40" t="s">
        <v>138</v>
      </c>
      <c r="F52" s="41">
        <v>0</v>
      </c>
      <c r="G52" s="42" t="s">
        <v>1344</v>
      </c>
      <c r="H52" s="42" t="s">
        <v>1344</v>
      </c>
      <c r="I52" s="42" t="s">
        <v>1344</v>
      </c>
      <c r="J52" s="42" t="s">
        <v>1345</v>
      </c>
      <c r="K52" s="42" t="s">
        <v>1346</v>
      </c>
      <c r="L52" s="42" t="s">
        <v>1347</v>
      </c>
      <c r="M52" s="42" t="s">
        <v>1348</v>
      </c>
      <c r="N52" s="42" t="s">
        <v>1349</v>
      </c>
      <c r="O52" s="42" t="s">
        <v>1350</v>
      </c>
      <c r="P52" s="42" t="s">
        <v>1351</v>
      </c>
      <c r="Q52" s="42" t="s">
        <v>1352</v>
      </c>
      <c r="R52" s="42" t="s">
        <v>1353</v>
      </c>
      <c r="S52" s="42" t="s">
        <v>1354</v>
      </c>
      <c r="T52" s="42" t="s">
        <v>1355</v>
      </c>
      <c r="U52" s="42" t="s">
        <v>1356</v>
      </c>
      <c r="V52" s="42" t="str">
        <f>VLOOKUP(D52,[1]ALL!$A$15:$Z$983,3,FALSE)</f>
        <v>ECT-EGW</v>
      </c>
      <c r="W52" s="43">
        <v>9191.3167700000013</v>
      </c>
      <c r="X52" s="43">
        <v>9357.7893215599997</v>
      </c>
      <c r="Y52" s="43">
        <v>10886.358609999999</v>
      </c>
      <c r="Z52" s="43">
        <v>10773.502581999999</v>
      </c>
      <c r="AA52" s="43">
        <v>13688</v>
      </c>
      <c r="AB52" s="43">
        <v>18580.419999999998</v>
      </c>
      <c r="AC52" s="43">
        <v>21957.743080000004</v>
      </c>
      <c r="AD52" s="43">
        <v>19633.592919999999</v>
      </c>
      <c r="AE52" s="43">
        <v>17900.666400000002</v>
      </c>
      <c r="AF52" s="43">
        <v>10659.269969999999</v>
      </c>
      <c r="AG52" s="43">
        <v>16630.662319999999</v>
      </c>
      <c r="AH52" s="43">
        <v>10358.6</v>
      </c>
      <c r="AI52" s="43">
        <v>11799.91</v>
      </c>
      <c r="AJ52" s="43">
        <v>11658.8</v>
      </c>
      <c r="AK52" s="43">
        <v>16305.39</v>
      </c>
      <c r="AL52" s="44"/>
      <c r="AM52" s="45">
        <f>VLOOKUP($B52,'[2]E.U.'!$R$9:$AZ$205,11,FALSE)</f>
        <v>1388.00306</v>
      </c>
      <c r="AN52" s="45">
        <f>VLOOKUP($B52,'[3]E.U.'!$R9:$AZ$225,11,FALSE)</f>
        <v>1781.1916800000001</v>
      </c>
      <c r="AO52" s="45">
        <f>VLOOKUP($B52,'[4]E.U.'!$R$9:$BZ$225,11,FALSE)</f>
        <v>1326.0023999999999</v>
      </c>
      <c r="AP52" s="45">
        <f>VLOOKUP($B52,'[5]E.U.'!$R$9:$BZ$225,11,FALSE)</f>
        <v>1369.3004800000001</v>
      </c>
      <c r="AQ52" s="45">
        <f>VLOOKUP($B52,'[6]E.U.'!$R$9:$CA$225,11,FALSE)</f>
        <v>1820.7388799999999</v>
      </c>
      <c r="AR52" s="45">
        <f>VLOOKUP($B52,'[7]E.U.'!$R$9:$AZ$225,11,FALSE)</f>
        <v>1494.7342200000001</v>
      </c>
      <c r="AS52" s="45">
        <f>VLOOKUP($B52,'[8]E.U.'!$R$9:$AZ$225,11,FALSE)</f>
        <v>1206.8262400000001</v>
      </c>
      <c r="AT52" s="45">
        <f>VLOOKUP($B52,'[9]E.U.'!$R$9:$AZ$221,11,FALSE)</f>
        <v>987.55</v>
      </c>
      <c r="AU52" s="45"/>
      <c r="AV52" s="45">
        <f>VLOOKUP($B52,'[10]E.U.'!$R$9:$AZ$221,11,FALSE)</f>
        <v>1005.72875</v>
      </c>
      <c r="AW52" s="45">
        <f>VLOOKUP($B52,'[11]E.U.'!$R$9:$AZ$220,11,FALSE)</f>
        <v>1107.5688</v>
      </c>
      <c r="AX52" s="45"/>
      <c r="AY52" s="45">
        <f>VLOOKUP($B52,'[12]E.U.'!$R$9:$AZ$220,11,FALSE)</f>
        <v>1005.23802</v>
      </c>
      <c r="AZ52" s="45"/>
      <c r="BA52" s="45">
        <f>VLOOKUP($B52,'[13]E.U.'!$R$9:$AZ$221,11,FALSE)</f>
        <v>1007.36527</v>
      </c>
      <c r="BB52" s="46">
        <f t="shared" si="6"/>
        <v>15500.247799999999</v>
      </c>
      <c r="BC52" s="47" t="e">
        <f>SUM(#REF!)</f>
        <v>#REF!</v>
      </c>
      <c r="BD52" s="43" t="e">
        <f>VLOOKUP(V52,[14]ELECTRIC!$C$1:$H$4000,6,FALSE)</f>
        <v>#N/A</v>
      </c>
      <c r="BE52" s="43" t="e">
        <f t="shared" si="10"/>
        <v>#N/A</v>
      </c>
      <c r="BF52" s="48">
        <f t="shared" si="3"/>
        <v>15500.247799999999</v>
      </c>
      <c r="BG52" s="49">
        <f t="shared" si="9"/>
        <v>27003.645988714285</v>
      </c>
      <c r="BH52" s="43" t="e">
        <f t="shared" si="7"/>
        <v>#REF!</v>
      </c>
      <c r="BI52" s="50" t="e">
        <f t="shared" si="8"/>
        <v>#REF!</v>
      </c>
      <c r="BJ52" s="51">
        <f t="shared" si="5"/>
        <v>-4.9378898634132695E-2</v>
      </c>
      <c r="BK52" s="52"/>
      <c r="BL52" s="52"/>
      <c r="BM52" s="52"/>
      <c r="BN52" s="52"/>
      <c r="BO52" s="72" t="s">
        <v>1357</v>
      </c>
      <c r="BP52" s="52"/>
      <c r="BQ52" s="52"/>
      <c r="BR52" s="50"/>
      <c r="BS52" s="53"/>
      <c r="BT52" s="53"/>
      <c r="BU52" s="65"/>
      <c r="BV52" s="55"/>
      <c r="BW52" s="79"/>
      <c r="BX52" s="74" t="s">
        <v>1239</v>
      </c>
      <c r="BY52" s="80" t="s">
        <v>1358</v>
      </c>
      <c r="BZ52" s="58"/>
    </row>
    <row r="53" spans="1:78" ht="15.6" x14ac:dyDescent="0.3">
      <c r="A53" s="59" t="s">
        <v>1359</v>
      </c>
      <c r="B53" s="38" t="s">
        <v>139</v>
      </c>
      <c r="C53" s="1" t="s">
        <v>140</v>
      </c>
      <c r="D53" t="s">
        <v>1360</v>
      </c>
      <c r="E53" s="40" t="s">
        <v>141</v>
      </c>
      <c r="F53" s="41">
        <v>0</v>
      </c>
      <c r="G53" s="42" t="s">
        <v>1361</v>
      </c>
      <c r="H53" s="42" t="s">
        <v>1362</v>
      </c>
      <c r="I53" s="42" t="s">
        <v>1363</v>
      </c>
      <c r="J53" s="42" t="s">
        <v>1364</v>
      </c>
      <c r="K53" s="42" t="s">
        <v>1365</v>
      </c>
      <c r="L53" s="42" t="s">
        <v>1366</v>
      </c>
      <c r="M53" s="42" t="s">
        <v>1367</v>
      </c>
      <c r="N53" s="42" t="s">
        <v>1368</v>
      </c>
      <c r="O53" s="42" t="s">
        <v>1369</v>
      </c>
      <c r="P53" s="42" t="s">
        <v>1370</v>
      </c>
      <c r="Q53" s="42" t="s">
        <v>1371</v>
      </c>
      <c r="R53" s="42" t="s">
        <v>1372</v>
      </c>
      <c r="S53" s="42" t="s">
        <v>1373</v>
      </c>
      <c r="T53" s="42" t="s">
        <v>1374</v>
      </c>
      <c r="U53" s="42" t="s">
        <v>1375</v>
      </c>
      <c r="V53" s="42" t="str">
        <f>VLOOKUP(D53,[1]ALL!$A$15:$Z$983,3,FALSE)</f>
        <v>WTO-ELC</v>
      </c>
      <c r="W53" s="43">
        <v>109752.74775022999</v>
      </c>
      <c r="X53" s="43">
        <v>105617.31438346849</v>
      </c>
      <c r="Y53" s="43">
        <v>98673.565782331774</v>
      </c>
      <c r="Z53" s="43">
        <v>105208.2486349227</v>
      </c>
      <c r="AA53" s="43">
        <v>106266.89</v>
      </c>
      <c r="AB53" s="43">
        <v>32905.370000000003</v>
      </c>
      <c r="AC53" s="43">
        <v>70001.2</v>
      </c>
      <c r="AD53" s="43">
        <v>78522.8</v>
      </c>
      <c r="AE53" s="43">
        <v>78946.92</v>
      </c>
      <c r="AF53" s="43">
        <v>89552.15</v>
      </c>
      <c r="AG53" s="43">
        <v>81283.37</v>
      </c>
      <c r="AH53" s="43">
        <v>91857.58</v>
      </c>
      <c r="AI53" s="43">
        <v>94403.38</v>
      </c>
      <c r="AJ53" s="43">
        <v>105906.43</v>
      </c>
      <c r="AK53" s="43">
        <v>112206.91</v>
      </c>
      <c r="AL53" s="44"/>
      <c r="AM53" s="45">
        <f>VLOOKUP($B53,'[2]E.U.'!$R$9:$AZ$205,11,FALSE)</f>
        <v>7265.49</v>
      </c>
      <c r="AN53" s="45">
        <f>VLOOKUP($B53,'[3]E.U.'!$R9:$AZ$225,11,FALSE)</f>
        <v>4413.3</v>
      </c>
      <c r="AO53" s="45">
        <f>VLOOKUP($B53,'[4]E.U.'!$R$9:$BZ$225,11,FALSE)</f>
        <v>4973.5565206060573</v>
      </c>
      <c r="AP53" s="45">
        <f>VLOOKUP($B53,'[5]E.U.'!$R$9:$BZ$225,11,FALSE)</f>
        <v>7225.7150503921284</v>
      </c>
      <c r="AQ53" s="45">
        <f>VLOOKUP($B53,'[6]E.U.'!$R$9:$CA$225,11,FALSE)</f>
        <v>15481.335090211338</v>
      </c>
      <c r="AR53" s="45">
        <f>VLOOKUP($B53,'[7]E.U.'!$R$9:$AZ$225,11,FALSE)</f>
        <v>12851.436549639298</v>
      </c>
      <c r="AS53" s="45">
        <f>VLOOKUP($B53,'[8]E.U.'!$R$9:$AZ$225,11,FALSE)</f>
        <v>11373.745871652574</v>
      </c>
      <c r="AT53" s="45">
        <f>VLOOKUP($B53,'[9]E.U.'!$R$9:$AZ$221,11,FALSE)</f>
        <v>8292.4923963622041</v>
      </c>
      <c r="AU53" s="45"/>
      <c r="AV53" s="45">
        <f>VLOOKUP($B53,'[10]E.U.'!$R$9:$AZ$221,11,FALSE)</f>
        <v>8768.2510241497894</v>
      </c>
      <c r="AW53" s="45">
        <f>VLOOKUP($B53,'[11]E.U.'!$R$9:$AZ$220,11,FALSE)</f>
        <v>8883.2727891309423</v>
      </c>
      <c r="AX53" s="252"/>
      <c r="AY53" s="45">
        <f>VLOOKUP($B53,'[12]E.U.'!$R$9:$AZ$220,11,FALSE)</f>
        <v>7483.9454619666831</v>
      </c>
      <c r="AZ53" s="45"/>
      <c r="BA53" s="45">
        <f>VLOOKUP($B53,'[13]E.U.'!$R$9:$AZ$221,11,FALSE)</f>
        <v>7414.2194723732646</v>
      </c>
      <c r="BB53" s="46">
        <f t="shared" si="6"/>
        <v>104426.76022648429</v>
      </c>
      <c r="BC53" s="47" t="e">
        <f>SUM(#REF!)</f>
        <v>#REF!</v>
      </c>
      <c r="BD53" s="43" t="e">
        <f>VLOOKUP(V53,[14]ELECTRIC!$C$1:$H$4000,6,FALSE)</f>
        <v>#N/A</v>
      </c>
      <c r="BE53" s="43" t="e">
        <f t="shared" si="10"/>
        <v>#N/A</v>
      </c>
      <c r="BF53" s="48">
        <f t="shared" si="3"/>
        <v>104426.76022648429</v>
      </c>
      <c r="BG53" s="43">
        <f t="shared" si="9"/>
        <v>181926.3344231394</v>
      </c>
      <c r="BH53" s="43" t="e">
        <f t="shared" si="7"/>
        <v>#REF!</v>
      </c>
      <c r="BI53" s="52" t="e">
        <f t="shared" si="8"/>
        <v>#REF!</v>
      </c>
      <c r="BJ53" s="51">
        <f t="shared" si="5"/>
        <v>-6.9337528085531619E-2</v>
      </c>
      <c r="BK53" s="52"/>
      <c r="BL53" s="52"/>
      <c r="BM53" s="52"/>
      <c r="BN53" s="52"/>
      <c r="BO53" s="72"/>
      <c r="BP53" s="52"/>
      <c r="BQ53" s="52"/>
      <c r="BR53" s="85" t="s">
        <v>1376</v>
      </c>
      <c r="BS53" s="86" t="s">
        <v>1377</v>
      </c>
      <c r="BT53" s="53"/>
      <c r="BU53" s="65"/>
      <c r="BV53" s="55"/>
      <c r="BW53" s="55"/>
      <c r="BX53" s="87" t="s">
        <v>1378</v>
      </c>
      <c r="BY53" s="67"/>
      <c r="BZ53" s="58"/>
    </row>
    <row r="54" spans="1:78" ht="15.6" x14ac:dyDescent="0.3">
      <c r="A54" s="59" t="s">
        <v>1359</v>
      </c>
      <c r="B54" s="38" t="s">
        <v>142</v>
      </c>
      <c r="C54" s="1" t="s">
        <v>143</v>
      </c>
      <c r="D54" t="s">
        <v>1379</v>
      </c>
      <c r="E54" s="40" t="s">
        <v>144</v>
      </c>
      <c r="F54" s="41">
        <v>0</v>
      </c>
      <c r="G54" s="42" t="s">
        <v>1380</v>
      </c>
      <c r="H54" s="42" t="s">
        <v>1381</v>
      </c>
      <c r="I54" s="42" t="s">
        <v>1382</v>
      </c>
      <c r="J54" s="42" t="s">
        <v>1383</v>
      </c>
      <c r="K54" s="42" t="s">
        <v>1384</v>
      </c>
      <c r="L54" s="42" t="s">
        <v>1385</v>
      </c>
      <c r="M54" s="42" t="s">
        <v>1386</v>
      </c>
      <c r="N54" s="42" t="s">
        <v>1387</v>
      </c>
      <c r="O54" s="42" t="s">
        <v>1388</v>
      </c>
      <c r="P54" s="42" t="s">
        <v>1389</v>
      </c>
      <c r="Q54" s="42" t="s">
        <v>1390</v>
      </c>
      <c r="R54" s="42" t="s">
        <v>1391</v>
      </c>
      <c r="S54" s="42" t="s">
        <v>1392</v>
      </c>
      <c r="T54" s="42" t="s">
        <v>1393</v>
      </c>
      <c r="U54" s="42" t="s">
        <v>1394</v>
      </c>
      <c r="V54" s="42" t="str">
        <f>VLOOKUP(D54,[1]ALL!$A$15:$Z$983,3,FALSE)</f>
        <v>FLT-ELC</v>
      </c>
      <c r="W54" s="43">
        <v>154793.05121798834</v>
      </c>
      <c r="X54" s="43">
        <v>139201.66425782733</v>
      </c>
      <c r="Y54" s="43">
        <v>143370.47910349295</v>
      </c>
      <c r="Z54" s="43">
        <v>145669.25043460052</v>
      </c>
      <c r="AA54" s="43">
        <v>137722.17000000001</v>
      </c>
      <c r="AB54" s="43">
        <v>139133.70000000001</v>
      </c>
      <c r="AC54" s="43">
        <v>144833.67000000001</v>
      </c>
      <c r="AD54" s="43">
        <v>152982.39000000001</v>
      </c>
      <c r="AE54" s="43">
        <v>174158.07</v>
      </c>
      <c r="AF54" s="43">
        <v>185675.89</v>
      </c>
      <c r="AG54" s="43">
        <v>172538.87</v>
      </c>
      <c r="AH54" s="43">
        <v>155482.95000000001</v>
      </c>
      <c r="AI54" s="43">
        <v>128220.83</v>
      </c>
      <c r="AJ54" s="43">
        <v>145841.88</v>
      </c>
      <c r="AK54" s="43">
        <v>144328.41</v>
      </c>
      <c r="AL54" s="44"/>
      <c r="AM54" s="45">
        <f>VLOOKUP($B54,'[2]E.U.'!$R$9:$AZ$205,11,FALSE)</f>
        <v>8713.83</v>
      </c>
      <c r="AN54" s="45">
        <f>VLOOKUP($B54,'[3]E.U.'!$R9:$AZ$225,11,FALSE)</f>
        <v>7891.94</v>
      </c>
      <c r="AO54" s="45">
        <f>VLOOKUP($B54,'[4]E.U.'!$R$9:$BZ$225,11,FALSE)</f>
        <v>7888.0585374044185</v>
      </c>
      <c r="AP54" s="45">
        <f>VLOOKUP($B54,'[5]E.U.'!$R$9:$BZ$225,11,FALSE)</f>
        <v>10104.721686045956</v>
      </c>
      <c r="AQ54" s="45">
        <f>VLOOKUP($B54,'[6]E.U.'!$R$9:$CA$225,11,FALSE)</f>
        <v>19118.597728136174</v>
      </c>
      <c r="AR54" s="45">
        <f>VLOOKUP($B54,'[7]E.U.'!$R$9:$AZ$225,11,FALSE)</f>
        <v>15515.161694879962</v>
      </c>
      <c r="AS54" s="45">
        <f>VLOOKUP($B54,'[8]E.U.'!$R$9:$AZ$225,11,FALSE)</f>
        <v>12271.944439540552</v>
      </c>
      <c r="AT54" s="45">
        <f>VLOOKUP($B54,'[9]E.U.'!$R$9:$AZ$221,11,FALSE)</f>
        <v>8218.023515431114</v>
      </c>
      <c r="AU54" s="45"/>
      <c r="AV54" s="45">
        <f>VLOOKUP($B54,'[10]E.U.'!$R$9:$AZ$221,11,FALSE)</f>
        <v>9868.2483499167211</v>
      </c>
      <c r="AW54" s="45">
        <f>VLOOKUP($B54,'[11]E.U.'!$R$9:$AZ$220,11,FALSE)</f>
        <v>1885.4921456392997</v>
      </c>
      <c r="AX54" s="45"/>
      <c r="AY54" s="45">
        <f>VLOOKUP($B54,'[12]E.U.'!$R$9:$AZ$220,11,FALSE)</f>
        <v>8837.3313264933313</v>
      </c>
      <c r="AZ54" s="45"/>
      <c r="BA54" s="45">
        <f>VLOOKUP($B54,'[13]E.U.'!$R$9:$AZ$221,11,FALSE)</f>
        <v>9311.8625738240571</v>
      </c>
      <c r="BB54" s="46">
        <f t="shared" si="6"/>
        <v>119625.21199731161</v>
      </c>
      <c r="BC54" s="47" t="e">
        <f>SUM(#REF!)</f>
        <v>#REF!</v>
      </c>
      <c r="BD54" s="43" t="e">
        <f>VLOOKUP(V54,[14]ELECTRIC!$C$1:$H$4000,6,FALSE)</f>
        <v>#N/A</v>
      </c>
      <c r="BE54" s="43" t="e">
        <f t="shared" si="10"/>
        <v>#N/A</v>
      </c>
      <c r="BF54" s="48">
        <f t="shared" si="3"/>
        <v>119625.21199731161</v>
      </c>
      <c r="BG54" s="49">
        <f t="shared" si="9"/>
        <v>208404.20861531643</v>
      </c>
      <c r="BH54" s="43" t="e">
        <f t="shared" si="7"/>
        <v>#REF!</v>
      </c>
      <c r="BI54" s="50" t="e">
        <f t="shared" si="8"/>
        <v>#REF!</v>
      </c>
      <c r="BJ54" s="51">
        <f t="shared" si="5"/>
        <v>-0.17115963518678268</v>
      </c>
      <c r="BK54" s="52"/>
      <c r="BL54" s="52"/>
      <c r="BM54" s="52"/>
      <c r="BN54" s="52"/>
      <c r="BO54" s="72"/>
      <c r="BP54" s="52"/>
      <c r="BQ54" s="52"/>
      <c r="BR54" s="50"/>
      <c r="BS54" s="53"/>
      <c r="BT54" s="53"/>
      <c r="BU54" s="65"/>
      <c r="BV54" s="55"/>
      <c r="BW54" s="55"/>
      <c r="BX54" s="87" t="s">
        <v>1378</v>
      </c>
      <c r="BY54" s="67"/>
      <c r="BZ54" s="58"/>
    </row>
    <row r="55" spans="1:78" ht="15.6" x14ac:dyDescent="0.3">
      <c r="A55" s="59" t="s">
        <v>694</v>
      </c>
      <c r="B55" s="38" t="s">
        <v>145</v>
      </c>
      <c r="C55" s="1" t="s">
        <v>146</v>
      </c>
      <c r="D55" s="39" t="s">
        <v>1395</v>
      </c>
      <c r="E55" s="40" t="s">
        <v>147</v>
      </c>
      <c r="F55" s="41">
        <v>0</v>
      </c>
      <c r="G55" s="42" t="s">
        <v>1396</v>
      </c>
      <c r="H55" s="42" t="s">
        <v>1396</v>
      </c>
      <c r="I55" s="42" t="s">
        <v>1396</v>
      </c>
      <c r="J55" s="42" t="s">
        <v>1397</v>
      </c>
      <c r="K55" s="42" t="s">
        <v>1398</v>
      </c>
      <c r="L55" s="42" t="s">
        <v>1399</v>
      </c>
      <c r="M55" s="42" t="s">
        <v>1400</v>
      </c>
      <c r="N55" s="42" t="s">
        <v>1401</v>
      </c>
      <c r="O55" s="42" t="s">
        <v>1402</v>
      </c>
      <c r="P55" s="42" t="s">
        <v>1403</v>
      </c>
      <c r="Q55" s="42" t="s">
        <v>1404</v>
      </c>
      <c r="R55" s="42" t="s">
        <v>1405</v>
      </c>
      <c r="S55" s="42" t="s">
        <v>1406</v>
      </c>
      <c r="T55" s="42" t="s">
        <v>1407</v>
      </c>
      <c r="U55" s="42" t="s">
        <v>1408</v>
      </c>
      <c r="V55" s="42" t="str">
        <f>VLOOKUP(D55,[1]ALL!$A$15:$Z$983,3,FALSE)</f>
        <v>CWT-EGW</v>
      </c>
      <c r="W55" s="43">
        <v>9561.7253754215581</v>
      </c>
      <c r="X55" s="43">
        <v>7246.2367770981564</v>
      </c>
      <c r="Y55" s="43">
        <v>5027.5808189539957</v>
      </c>
      <c r="Z55" s="43">
        <v>2547.1951109189977</v>
      </c>
      <c r="AA55" s="43">
        <v>5168.68</v>
      </c>
      <c r="AB55" s="43">
        <v>3833.74</v>
      </c>
      <c r="AC55" s="43">
        <v>4782.83</v>
      </c>
      <c r="AD55" s="43">
        <v>4891.7299999999996</v>
      </c>
      <c r="AE55" s="43">
        <v>5310.39</v>
      </c>
      <c r="AF55" s="43">
        <v>5045.07</v>
      </c>
      <c r="AG55" s="43">
        <v>5499.05</v>
      </c>
      <c r="AH55" s="43">
        <v>6275.54</v>
      </c>
      <c r="AI55" s="43">
        <v>6938.93</v>
      </c>
      <c r="AJ55" s="43">
        <v>5467.12</v>
      </c>
      <c r="AK55" s="43">
        <v>11454.45</v>
      </c>
      <c r="AL55" s="44"/>
      <c r="AM55" s="45">
        <f>VLOOKUP($B55,'[2]E.U.'!$R$9:$AZ$205,11,FALSE)</f>
        <v>1076.29</v>
      </c>
      <c r="AN55" s="45">
        <f>VLOOKUP($B55,'[3]E.U.'!$R9:$AZ$225,11,FALSE)</f>
        <v>2.46</v>
      </c>
      <c r="AO55" s="45">
        <f>VLOOKUP($B55,'[4]E.U.'!$R$9:$BZ$225,11,FALSE)</f>
        <v>0</v>
      </c>
      <c r="AP55" s="45">
        <f>VLOOKUP($B55,'[5]E.U.'!$R$9:$BZ$225,11,FALSE)</f>
        <v>0</v>
      </c>
      <c r="AQ55" s="45">
        <f>VLOOKUP($B55,'[6]E.U.'!$R$9:$CA$225,11,FALSE)</f>
        <v>0</v>
      </c>
      <c r="AR55" s="45">
        <f>VLOOKUP($B55,'[7]E.U.'!$R$9:$AZ$225,11,FALSE)</f>
        <v>0</v>
      </c>
      <c r="AS55" s="45">
        <f>VLOOKUP($B55,'[8]E.U.'!$R$9:$AZ$225,11,FALSE)</f>
        <v>0</v>
      </c>
      <c r="AT55" s="45">
        <f>VLOOKUP($B55,'[9]E.U.'!$R$9:$AZ$221,11,FALSE)</f>
        <v>0</v>
      </c>
      <c r="AU55" s="45"/>
      <c r="AV55" s="45">
        <f>VLOOKUP($B55,'[10]E.U.'!$R$9:$AZ$221,11,FALSE)</f>
        <v>0</v>
      </c>
      <c r="AW55" s="45" t="e">
        <f>VLOOKUP($B55,'[11]E.U.'!$R$9:$AZ$220,11,FALSE)</f>
        <v>#REF!</v>
      </c>
      <c r="AX55" s="252"/>
      <c r="AY55" s="45" t="e">
        <f>VLOOKUP($B55,'[12]E.U.'!$R$9:$AZ$220,11,FALSE)</f>
        <v>#REF!</v>
      </c>
      <c r="AZ55" s="45"/>
      <c r="BA55" s="45">
        <f>VLOOKUP($B55,'[13]E.U.'!$R$9:$AZ$221,11,FALSE)</f>
        <v>0</v>
      </c>
      <c r="BB55" s="46" t="e">
        <f t="shared" si="6"/>
        <v>#REF!</v>
      </c>
      <c r="BC55" s="47" t="e">
        <f>SUM(#REF!)</f>
        <v>#REF!</v>
      </c>
      <c r="BD55" s="43" t="e">
        <f>VLOOKUP(V55,[14]ELECTRIC!$C$1:$H$4000,6,FALSE)</f>
        <v>#N/A</v>
      </c>
      <c r="BE55" s="43" t="e">
        <f t="shared" si="10"/>
        <v>#REF!</v>
      </c>
      <c r="BF55" s="48" t="e">
        <f t="shared" si="3"/>
        <v>#REF!</v>
      </c>
      <c r="BG55" s="49" t="e">
        <f t="shared" si="9"/>
        <v>#REF!</v>
      </c>
      <c r="BH55" s="43" t="e">
        <f t="shared" si="7"/>
        <v>#REF!</v>
      </c>
      <c r="BI55" s="50" t="e">
        <f t="shared" si="8"/>
        <v>#REF!</v>
      </c>
      <c r="BJ55" s="51" t="e">
        <f t="shared" si="5"/>
        <v>#REF!</v>
      </c>
      <c r="BK55" s="52"/>
      <c r="BL55" s="52"/>
      <c r="BM55" s="52"/>
      <c r="BN55" s="52"/>
      <c r="BO55" s="72"/>
      <c r="BP55" s="52"/>
      <c r="BQ55" s="52"/>
      <c r="BR55" s="50"/>
      <c r="BS55" s="88" t="s">
        <v>1409</v>
      </c>
      <c r="BT55" s="53"/>
      <c r="BU55" s="65"/>
      <c r="BV55" s="55"/>
      <c r="BW55" s="55"/>
      <c r="BX55" s="56"/>
      <c r="BY55" s="67"/>
      <c r="BZ55" s="58"/>
    </row>
    <row r="56" spans="1:78" ht="15.6" x14ac:dyDescent="0.3">
      <c r="A56" s="59" t="s">
        <v>739</v>
      </c>
      <c r="B56" s="38" t="s">
        <v>148</v>
      </c>
      <c r="C56" s="1" t="s">
        <v>149</v>
      </c>
      <c r="D56" s="39"/>
      <c r="E56" s="40" t="s">
        <v>150</v>
      </c>
      <c r="F56" s="41">
        <v>0</v>
      </c>
      <c r="G56" s="42" t="s">
        <v>1410</v>
      </c>
      <c r="H56" s="42" t="s">
        <v>1410</v>
      </c>
      <c r="I56" s="42" t="s">
        <v>1410</v>
      </c>
      <c r="J56" s="42" t="s">
        <v>1411</v>
      </c>
      <c r="K56" s="42" t="s">
        <v>1412</v>
      </c>
      <c r="L56" s="42" t="s">
        <v>1413</v>
      </c>
      <c r="M56" s="42" t="s">
        <v>1414</v>
      </c>
      <c r="N56" s="42" t="s">
        <v>1415</v>
      </c>
      <c r="O56" s="42" t="e">
        <v>#N/A</v>
      </c>
      <c r="P56" s="42"/>
      <c r="Q56" s="42"/>
      <c r="R56" s="42"/>
      <c r="S56" s="42"/>
      <c r="T56" s="42"/>
      <c r="U56" s="42"/>
      <c r="V56" s="42"/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/>
      <c r="AK56" s="43"/>
      <c r="AL56" s="44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6"/>
      <c r="BC56" s="47"/>
      <c r="BD56" s="43"/>
      <c r="BE56" s="43"/>
      <c r="BF56" s="48">
        <f t="shared" si="3"/>
        <v>0</v>
      </c>
      <c r="BG56" s="49"/>
      <c r="BH56" s="43"/>
      <c r="BI56" s="50">
        <f t="shared" si="8"/>
        <v>0</v>
      </c>
      <c r="BJ56" s="51">
        <f t="shared" si="5"/>
        <v>0</v>
      </c>
      <c r="BK56" s="52"/>
      <c r="BL56" s="52"/>
      <c r="BM56" s="52"/>
      <c r="BN56" s="52"/>
      <c r="BO56" s="72"/>
      <c r="BP56" s="52"/>
      <c r="BQ56" s="52"/>
      <c r="BR56" s="50"/>
      <c r="BS56" s="53"/>
      <c r="BT56" s="53"/>
      <c r="BU56" s="65"/>
      <c r="BV56" s="55"/>
      <c r="BW56" s="55"/>
      <c r="BX56" s="56"/>
      <c r="BY56" s="80" t="s">
        <v>1416</v>
      </c>
      <c r="BZ56" s="58"/>
    </row>
    <row r="57" spans="1:78" ht="15.6" x14ac:dyDescent="0.3">
      <c r="A57" s="59" t="s">
        <v>739</v>
      </c>
      <c r="B57" s="38" t="s">
        <v>151</v>
      </c>
      <c r="C57" s="1" t="s">
        <v>152</v>
      </c>
      <c r="D57" s="39"/>
      <c r="E57" s="40" t="s">
        <v>153</v>
      </c>
      <c r="F57" s="41">
        <v>0</v>
      </c>
      <c r="G57" s="42" t="s">
        <v>1417</v>
      </c>
      <c r="H57" s="42" t="s">
        <v>1417</v>
      </c>
      <c r="I57" s="42" t="s">
        <v>1417</v>
      </c>
      <c r="J57" s="42" t="s">
        <v>1418</v>
      </c>
      <c r="K57" s="42" t="s">
        <v>1419</v>
      </c>
      <c r="L57" s="42" t="s">
        <v>1420</v>
      </c>
      <c r="M57" s="42" t="s">
        <v>1421</v>
      </c>
      <c r="N57" s="42" t="s">
        <v>1422</v>
      </c>
      <c r="O57" s="42" t="s">
        <v>1423</v>
      </c>
      <c r="P57" s="42"/>
      <c r="Q57" s="42"/>
      <c r="R57" s="42"/>
      <c r="S57" s="42"/>
      <c r="T57" s="42"/>
      <c r="U57" s="42"/>
      <c r="V57" s="42"/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3"/>
      <c r="AK57" s="43"/>
      <c r="AL57" s="44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6"/>
      <c r="BC57" s="47"/>
      <c r="BD57" s="43"/>
      <c r="BE57" s="43"/>
      <c r="BF57" s="48">
        <f t="shared" si="3"/>
        <v>0</v>
      </c>
      <c r="BG57" s="49"/>
      <c r="BH57" s="43"/>
      <c r="BI57" s="50">
        <f t="shared" si="8"/>
        <v>0</v>
      </c>
      <c r="BJ57" s="51">
        <f t="shared" si="5"/>
        <v>0</v>
      </c>
      <c r="BK57" s="52"/>
      <c r="BL57" s="52"/>
      <c r="BM57" s="52"/>
      <c r="BN57" s="52"/>
      <c r="BO57" s="72"/>
      <c r="BP57" s="52"/>
      <c r="BQ57" s="52"/>
      <c r="BR57" s="50"/>
      <c r="BS57" s="53"/>
      <c r="BT57" s="53"/>
      <c r="BU57" s="65"/>
      <c r="BV57" s="55"/>
      <c r="BW57" s="55"/>
      <c r="BX57" s="56"/>
      <c r="BY57" s="80" t="s">
        <v>1416</v>
      </c>
      <c r="BZ57" s="58"/>
    </row>
    <row r="58" spans="1:78" ht="15.6" x14ac:dyDescent="0.3">
      <c r="A58" s="59" t="s">
        <v>739</v>
      </c>
      <c r="B58" s="38" t="s">
        <v>154</v>
      </c>
      <c r="C58" s="1" t="s">
        <v>155</v>
      </c>
      <c r="D58" s="39" t="s">
        <v>1424</v>
      </c>
      <c r="E58" s="40" t="s">
        <v>156</v>
      </c>
      <c r="F58" s="41">
        <v>0</v>
      </c>
      <c r="G58" s="42" t="s">
        <v>1425</v>
      </c>
      <c r="H58" s="42" t="s">
        <v>1425</v>
      </c>
      <c r="I58" s="42" t="s">
        <v>1425</v>
      </c>
      <c r="J58" s="42" t="s">
        <v>1426</v>
      </c>
      <c r="K58" s="42" t="s">
        <v>1427</v>
      </c>
      <c r="L58" s="42" t="s">
        <v>1428</v>
      </c>
      <c r="M58" s="42" t="s">
        <v>1429</v>
      </c>
      <c r="N58" s="42" t="s">
        <v>1430</v>
      </c>
      <c r="O58" s="42" t="s">
        <v>1431</v>
      </c>
      <c r="P58" s="42" t="s">
        <v>1432</v>
      </c>
      <c r="Q58" s="42" t="s">
        <v>1433</v>
      </c>
      <c r="R58" s="42" t="s">
        <v>1434</v>
      </c>
      <c r="S58" s="42"/>
      <c r="T58" s="42" t="s">
        <v>1435</v>
      </c>
      <c r="U58" s="42" t="s">
        <v>1436</v>
      </c>
      <c r="V58" s="42" t="str">
        <f>VLOOKUP(D58,[1]ALL!$A$15:$Z$983,3,FALSE)</f>
        <v>FAM-EGW</v>
      </c>
      <c r="W58" s="43">
        <v>35247.932531725739</v>
      </c>
      <c r="X58" s="43">
        <v>31155.750405504856</v>
      </c>
      <c r="Y58" s="43">
        <v>32426.041602332651</v>
      </c>
      <c r="Z58" s="43">
        <v>34208.869237269602</v>
      </c>
      <c r="AA58" s="43">
        <v>35281.35</v>
      </c>
      <c r="AB58" s="43">
        <v>20866.87</v>
      </c>
      <c r="AC58" s="43">
        <v>20207.060000000001</v>
      </c>
      <c r="AD58" s="43">
        <v>24456.55</v>
      </c>
      <c r="AE58" s="43">
        <v>41899.71</v>
      </c>
      <c r="AF58" s="43">
        <v>34856.94</v>
      </c>
      <c r="AG58" s="43">
        <v>25890.67</v>
      </c>
      <c r="AH58" s="43">
        <v>2685.83</v>
      </c>
      <c r="AI58" s="43">
        <v>0</v>
      </c>
      <c r="AJ58" s="43"/>
      <c r="AK58" s="43"/>
      <c r="AL58" s="44"/>
      <c r="AM58" s="45">
        <f>VLOOKUP($B58,'[2]E.U.'!$R$9:$AZ$205,11,FALSE)</f>
        <v>0</v>
      </c>
      <c r="AN58" s="45">
        <f>VLOOKUP($B58,'[3]E.U.'!$R9:$AZ$225,11,FALSE)</f>
        <v>0</v>
      </c>
      <c r="AO58" s="45">
        <f>VLOOKUP($B58,'[4]E.U.'!$R$9:$BZ$225,11,FALSE)</f>
        <v>0</v>
      </c>
      <c r="AP58" s="45">
        <f>VLOOKUP($B58,'[5]E.U.'!$R$9:$BZ$225,11,FALSE)</f>
        <v>0</v>
      </c>
      <c r="AQ58" s="45">
        <f>VLOOKUP($B58,'[6]E.U.'!$R$9:$CA$225,11,FALSE)</f>
        <v>0</v>
      </c>
      <c r="AR58" s="45">
        <f>VLOOKUP($B58,'[7]E.U.'!$R$9:$AZ$225,11,FALSE)</f>
        <v>0</v>
      </c>
      <c r="AS58" s="45">
        <f>VLOOKUP($B58,'[8]E.U.'!$R$9:$AZ$225,11,FALSE)</f>
        <v>0</v>
      </c>
      <c r="AT58" s="45">
        <f>VLOOKUP($B58,'[9]E.U.'!$R$9:$AZ$221,11,FALSE)</f>
        <v>0</v>
      </c>
      <c r="AU58" s="45"/>
      <c r="AV58" s="45">
        <f>VLOOKUP($B58,'[10]E.U.'!$R$9:$AZ$221,11,FALSE)</f>
        <v>0</v>
      </c>
      <c r="AW58" s="45" t="e">
        <f>VLOOKUP($B58,'[11]E.U.'!$R$9:$AZ$220,11,FALSE)</f>
        <v>#REF!</v>
      </c>
      <c r="AX58" s="45"/>
      <c r="AY58" s="45" t="e">
        <f>VLOOKUP($B58,'[12]E.U.'!$R$9:$AZ$220,11,FALSE)</f>
        <v>#REF!</v>
      </c>
      <c r="AZ58" s="45"/>
      <c r="BA58" s="45">
        <f>VLOOKUP($B58,'[13]E.U.'!$R$9:$AZ$221,11,FALSE)</f>
        <v>0</v>
      </c>
      <c r="BB58" s="46" t="e">
        <f t="shared" si="6"/>
        <v>#REF!</v>
      </c>
      <c r="BC58" s="47" t="e">
        <f>SUM(#REF!)</f>
        <v>#REF!</v>
      </c>
      <c r="BD58" s="43"/>
      <c r="BE58" s="43" t="e">
        <f t="shared" si="10"/>
        <v>#REF!</v>
      </c>
      <c r="BF58" s="48" t="e">
        <f t="shared" si="3"/>
        <v>#REF!</v>
      </c>
      <c r="BG58" s="49" t="e">
        <f t="shared" si="9"/>
        <v>#REF!</v>
      </c>
      <c r="BH58" s="43" t="e">
        <f>IF(BC58=0,0,(BB58*(AK58/BC58)))</f>
        <v>#REF!</v>
      </c>
      <c r="BI58" s="50" t="e">
        <f t="shared" si="8"/>
        <v>#REF!</v>
      </c>
      <c r="BJ58" s="51" t="e">
        <f t="shared" si="5"/>
        <v>#REF!</v>
      </c>
      <c r="BK58" s="52"/>
      <c r="BL58" s="52"/>
      <c r="BM58" s="52"/>
      <c r="BN58" s="52"/>
      <c r="BO58" s="72"/>
      <c r="BP58" s="52"/>
      <c r="BQ58" s="52"/>
      <c r="BR58" s="50"/>
      <c r="BS58" s="53"/>
      <c r="BT58" s="53"/>
      <c r="BU58" s="65"/>
      <c r="BV58" s="55"/>
      <c r="BW58" s="55"/>
      <c r="BX58" s="56"/>
      <c r="BY58" s="67"/>
      <c r="BZ58" s="58"/>
    </row>
    <row r="59" spans="1:78" ht="15.6" x14ac:dyDescent="0.3">
      <c r="A59" s="59" t="s">
        <v>694</v>
      </c>
      <c r="B59" s="38" t="s">
        <v>157</v>
      </c>
      <c r="C59" s="1" t="s">
        <v>158</v>
      </c>
      <c r="D59" s="39" t="s">
        <v>1437</v>
      </c>
      <c r="E59" s="40" t="s">
        <v>159</v>
      </c>
      <c r="F59" s="41" t="s">
        <v>758</v>
      </c>
      <c r="G59" s="42" t="s">
        <v>1438</v>
      </c>
      <c r="H59" s="42" t="s">
        <v>1438</v>
      </c>
      <c r="I59" s="42" t="s">
        <v>1438</v>
      </c>
      <c r="J59" s="42" t="s">
        <v>1439</v>
      </c>
      <c r="K59" s="42" t="s">
        <v>1440</v>
      </c>
      <c r="L59" s="42" t="s">
        <v>1441</v>
      </c>
      <c r="M59" s="42" t="s">
        <v>1442</v>
      </c>
      <c r="N59" s="42" t="s">
        <v>1443</v>
      </c>
      <c r="O59" s="42" t="s">
        <v>1444</v>
      </c>
      <c r="P59" s="42" t="s">
        <v>1445</v>
      </c>
      <c r="Q59" s="42" t="s">
        <v>1446</v>
      </c>
      <c r="R59" s="42" t="s">
        <v>1447</v>
      </c>
      <c r="S59" s="42" t="s">
        <v>1448</v>
      </c>
      <c r="T59" s="42" t="s">
        <v>1449</v>
      </c>
      <c r="U59" s="42" t="s">
        <v>1450</v>
      </c>
      <c r="V59" s="42" t="str">
        <f>VLOOKUP(D59,[1]ALL!$A$15:$Z$983,3,FALSE)</f>
        <v>DEN-EGW</v>
      </c>
      <c r="W59" s="43">
        <v>454786.79276827676</v>
      </c>
      <c r="X59" s="43">
        <v>406736.35266826092</v>
      </c>
      <c r="Y59" s="43">
        <v>359101.58661544637</v>
      </c>
      <c r="Z59" s="43">
        <v>354857.71259015251</v>
      </c>
      <c r="AA59" s="43">
        <v>374915.2</v>
      </c>
      <c r="AB59" s="43">
        <v>385758.96</v>
      </c>
      <c r="AC59" s="43">
        <v>417219.88</v>
      </c>
      <c r="AD59" s="43">
        <v>417348.2</v>
      </c>
      <c r="AE59" s="43">
        <v>479807.54</v>
      </c>
      <c r="AF59" s="43">
        <v>491217.31</v>
      </c>
      <c r="AG59" s="43">
        <v>499416.36</v>
      </c>
      <c r="AH59" s="43">
        <v>505620.17</v>
      </c>
      <c r="AI59" s="43">
        <v>519942.81</v>
      </c>
      <c r="AJ59" s="43">
        <v>536500.72</v>
      </c>
      <c r="AK59" s="43">
        <v>308512.28499570204</v>
      </c>
      <c r="AL59" s="44"/>
      <c r="AM59" s="45">
        <f>VLOOKUP($B59,'[2]E.U.'!$R$9:$AZ$205,11,FALSE)</f>
        <v>14680.05</v>
      </c>
      <c r="AN59" s="45">
        <f>VLOOKUP($B59,'[3]E.U.'!$R9:$AZ$225,11,FALSE)</f>
        <v>18900.650000000001</v>
      </c>
      <c r="AO59" s="45">
        <f>VLOOKUP($B59,'[4]E.U.'!$R$9:$BZ$225,11,FALSE)</f>
        <v>63270.494012709882</v>
      </c>
      <c r="AP59" s="45">
        <f>VLOOKUP($B59,'[5]E.U.'!$R$9:$BZ$225,11,FALSE)</f>
        <v>58442.343391650815</v>
      </c>
      <c r="AQ59" s="45">
        <f>VLOOKUP($B59,'[6]E.U.'!$R$9:$CA$225,11,FALSE)</f>
        <v>64327.309164640181</v>
      </c>
      <c r="AR59" s="45">
        <f>VLOOKUP($B59,'[7]E.U.'!$R$9:$AZ$225,11,FALSE)</f>
        <v>58050.984896277332</v>
      </c>
      <c r="AS59" s="45">
        <f>VLOOKUP($B59,'[8]E.U.'!$R$9:$AZ$225,11,FALSE)</f>
        <v>64547.988755433682</v>
      </c>
      <c r="AT59" s="45">
        <f>VLOOKUP($B59,'[9]E.U.'!$R$9:$AZ$221,11,FALSE)</f>
        <v>49048.58384810845</v>
      </c>
      <c r="AU59" s="45"/>
      <c r="AV59" s="45">
        <f>VLOOKUP($B59,'[10]E.U.'!$R$9:$AZ$221,11,FALSE)</f>
        <v>49121.228732352989</v>
      </c>
      <c r="AW59" s="45">
        <f>VLOOKUP($B59,'[11]E.U.'!$R$9:$AZ$220,11,FALSE)</f>
        <v>50861.787264250735</v>
      </c>
      <c r="AX59" s="252"/>
      <c r="AY59" s="45">
        <f>VLOOKUP($B59,'[12]E.U.'!$R$9:$AZ$220,11,FALSE)</f>
        <v>51587.204677170834</v>
      </c>
      <c r="AZ59" s="45"/>
      <c r="BA59" s="45">
        <f>VLOOKUP($B59,'[13]E.U.'!$R$9:$AZ$221,11,FALSE)</f>
        <v>48426.471750029428</v>
      </c>
      <c r="BB59" s="46">
        <f t="shared" si="6"/>
        <v>591265.09649262426</v>
      </c>
      <c r="BC59" s="47" t="e">
        <f>SUM(#REF!)</f>
        <v>#REF!</v>
      </c>
      <c r="BD59" s="43" t="e">
        <f>VLOOKUP(V59,[14]ELECTRIC!$C$1:$H$4000,6,FALSE)</f>
        <v>#N/A</v>
      </c>
      <c r="BE59" s="43" t="e">
        <f t="shared" si="10"/>
        <v>#N/A</v>
      </c>
      <c r="BF59" s="48">
        <f t="shared" si="3"/>
        <v>591265.09649262426</v>
      </c>
      <c r="BG59" s="43">
        <f t="shared" si="9"/>
        <v>1030068.2645325074</v>
      </c>
      <c r="BH59" s="43" t="e">
        <f>IF(BC59=0,0,(BB59*(AK59/BC59)))</f>
        <v>#REF!</v>
      </c>
      <c r="BI59" s="52" t="e">
        <f t="shared" si="8"/>
        <v>#REF!</v>
      </c>
      <c r="BJ59" s="51">
        <f t="shared" si="5"/>
        <v>0.91650422122043307</v>
      </c>
      <c r="BK59" s="52"/>
      <c r="BL59" s="52"/>
      <c r="BM59" s="52"/>
      <c r="BN59" s="52"/>
      <c r="BO59" s="72"/>
      <c r="BP59" s="52"/>
      <c r="BQ59" s="52"/>
      <c r="BR59" s="50"/>
      <c r="BS59" s="53"/>
      <c r="BT59" s="53"/>
      <c r="BU59" s="65"/>
      <c r="BV59" s="55"/>
      <c r="BW59" s="55"/>
      <c r="BX59" s="56"/>
      <c r="BY59" s="67"/>
      <c r="BZ59" s="58"/>
    </row>
    <row r="60" spans="1:78" ht="15.6" x14ac:dyDescent="0.3">
      <c r="A60" s="59" t="s">
        <v>694</v>
      </c>
      <c r="B60" s="62" t="s">
        <v>160</v>
      </c>
      <c r="C60" s="100" t="s">
        <v>161</v>
      </c>
      <c r="D60" t="s">
        <v>1451</v>
      </c>
      <c r="E60" s="100" t="s">
        <v>162</v>
      </c>
      <c r="F60" s="41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 t="str">
        <f>VLOOKUP(D60,[1]ALL!$A$15:$Z$983,3,FALSE)</f>
        <v>DEN9NELC</v>
      </c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>
        <v>3771.03</v>
      </c>
      <c r="AL60" s="44"/>
      <c r="AM60" s="45">
        <f>VLOOKUP($B60,'[2]E.U.'!$R$9:$AZ$205,11,FALSE)</f>
        <v>604.96</v>
      </c>
      <c r="AN60" s="45">
        <f>VLOOKUP($B60,'[3]E.U.'!$R10:$AZ$225,11,FALSE)</f>
        <v>767.19</v>
      </c>
      <c r="AO60" s="45">
        <f>VLOOKUP($B60,'[4]E.U.'!$R$9:$BZ$225,11,FALSE)</f>
        <v>764.65864823632273</v>
      </c>
      <c r="AP60" s="45">
        <f>VLOOKUP($B60,'[5]E.U.'!$R$9:$BZ$225,11,FALSE)</f>
        <v>730.68268167691951</v>
      </c>
      <c r="AQ60" s="45">
        <f>VLOOKUP($B60,'[6]E.U.'!$R$9:$CA$225,11,FALSE)</f>
        <v>793.96009148659914</v>
      </c>
      <c r="AR60" s="45">
        <f>VLOOKUP($B60,'[7]E.U.'!$R$9:$AZ$225,11,FALSE)</f>
        <v>676.08450945768959</v>
      </c>
      <c r="AS60" s="45">
        <f>VLOOKUP($B60,'[8]E.U.'!$R$9:$AZ$225,11,FALSE)</f>
        <v>819.25286245359564</v>
      </c>
      <c r="AT60" s="45">
        <f>VLOOKUP($B60,'[9]E.U.'!$R$9:$AZ$221,11,FALSE)</f>
        <v>653.17866449162455</v>
      </c>
      <c r="AU60" s="45"/>
      <c r="AV60" s="45">
        <f>VLOOKUP($B60,'[10]E.U.'!$R$9:$AZ$221,11,FALSE)</f>
        <v>603.35998067464311</v>
      </c>
      <c r="AW60" s="45">
        <f>VLOOKUP($B60,'[11]E.U.'!$R$9:$AZ$220,11,FALSE)</f>
        <v>556.58905793426482</v>
      </c>
      <c r="AX60" s="252"/>
      <c r="AY60" s="45">
        <f>VLOOKUP($B60,'[12]E.U.'!$R$9:$AZ$220,11,FALSE)</f>
        <v>532.08646376188744</v>
      </c>
      <c r="AZ60" s="45"/>
      <c r="BA60" s="45">
        <f>VLOOKUP($B60,'[13]E.U.'!$R$9:$AZ$221,11,FALSE)</f>
        <v>521.09489421261208</v>
      </c>
      <c r="BB60" s="46">
        <f t="shared" si="6"/>
        <v>8023.0978543861584</v>
      </c>
      <c r="BC60" s="47" t="e">
        <f>SUM(#REF!)</f>
        <v>#REF!</v>
      </c>
      <c r="BD60" s="43"/>
      <c r="BE60" s="43"/>
      <c r="BF60" s="48">
        <f t="shared" si="3"/>
        <v>8023.0978543861584</v>
      </c>
      <c r="BG60" s="43"/>
      <c r="BH60" s="43">
        <f>BF60</f>
        <v>8023.0978543861584</v>
      </c>
      <c r="BI60" s="52" t="e">
        <f>IF(OR(BB60=0,BC60=0),0,ABS(BB60/BC60)-1)</f>
        <v>#REF!</v>
      </c>
      <c r="BJ60" s="51">
        <f t="shared" si="5"/>
        <v>1.1275613968560734</v>
      </c>
      <c r="BK60" s="52"/>
      <c r="BL60" s="52"/>
      <c r="BM60" s="52"/>
      <c r="BN60" s="52"/>
      <c r="BO60" s="72"/>
      <c r="BP60" s="52"/>
      <c r="BQ60" s="52"/>
      <c r="BR60" s="50"/>
      <c r="BS60" s="53"/>
      <c r="BT60" s="53"/>
      <c r="BU60" s="65"/>
      <c r="BV60" s="55"/>
      <c r="BW60" s="55"/>
      <c r="BX60" s="56"/>
      <c r="BY60" s="67"/>
      <c r="BZ60" s="58"/>
    </row>
    <row r="61" spans="1:78" ht="15.6" x14ac:dyDescent="0.3">
      <c r="A61" s="59" t="s">
        <v>694</v>
      </c>
      <c r="B61" s="38" t="s">
        <v>163</v>
      </c>
      <c r="C61" s="1" t="s">
        <v>164</v>
      </c>
      <c r="D61" s="39" t="s">
        <v>1452</v>
      </c>
      <c r="E61" s="40" t="s">
        <v>165</v>
      </c>
      <c r="F61" s="41" t="s">
        <v>758</v>
      </c>
      <c r="G61" s="42" t="s">
        <v>1453</v>
      </c>
      <c r="H61" s="42" t="s">
        <v>1453</v>
      </c>
      <c r="I61" s="42" t="s">
        <v>1453</v>
      </c>
      <c r="J61" s="42" t="s">
        <v>1454</v>
      </c>
      <c r="K61" s="42" t="s">
        <v>1455</v>
      </c>
      <c r="L61" s="42" t="s">
        <v>1456</v>
      </c>
      <c r="M61" s="42" t="s">
        <v>1457</v>
      </c>
      <c r="N61" s="42" t="s">
        <v>1458</v>
      </c>
      <c r="O61" s="42" t="s">
        <v>1459</v>
      </c>
      <c r="P61" s="42" t="s">
        <v>1460</v>
      </c>
      <c r="Q61" s="42" t="s">
        <v>1461</v>
      </c>
      <c r="R61" s="42" t="s">
        <v>1462</v>
      </c>
      <c r="S61" s="42" t="s">
        <v>1463</v>
      </c>
      <c r="T61" s="42" t="s">
        <v>1464</v>
      </c>
      <c r="U61" s="42" t="s">
        <v>1465</v>
      </c>
      <c r="V61" s="42" t="str">
        <f>VLOOKUP(D61,[1]ALL!$A$15:$Z$983,3,FALSE)</f>
        <v>PED-EGW</v>
      </c>
      <c r="W61" s="43">
        <v>67151.797616289943</v>
      </c>
      <c r="X61" s="43">
        <v>85780.063349394026</v>
      </c>
      <c r="Y61" s="43">
        <v>82751.800768055386</v>
      </c>
      <c r="Z61" s="43">
        <v>90074.830208756888</v>
      </c>
      <c r="AA61" s="43">
        <v>81966.52</v>
      </c>
      <c r="AB61" s="43">
        <v>81524.710000000006</v>
      </c>
      <c r="AC61" s="43">
        <v>78244.710000000006</v>
      </c>
      <c r="AD61" s="43">
        <v>75814.23</v>
      </c>
      <c r="AE61" s="43">
        <v>86124.52</v>
      </c>
      <c r="AF61" s="43">
        <v>99473.43</v>
      </c>
      <c r="AG61" s="43">
        <v>92401.03</v>
      </c>
      <c r="AH61" s="43">
        <v>111388.28</v>
      </c>
      <c r="AI61" s="43">
        <v>115279.85</v>
      </c>
      <c r="AJ61" s="43">
        <v>121280.05</v>
      </c>
      <c r="AK61" s="43">
        <v>125483.07</v>
      </c>
      <c r="AL61" s="44"/>
      <c r="AM61" s="45">
        <f>VLOOKUP($B61,'[2]E.U.'!$R$9:$AZ$205,11,FALSE)</f>
        <v>9933.09</v>
      </c>
      <c r="AN61" s="45">
        <f>VLOOKUP($B61,'[3]E.U.'!$R9:$AZ$225,11,FALSE)</f>
        <v>11322.69</v>
      </c>
      <c r="AO61" s="45">
        <f>VLOOKUP($B61,'[4]E.U.'!$R$9:$BZ$225,11,FALSE)</f>
        <v>9093.41581452227</v>
      </c>
      <c r="AP61" s="45">
        <f>VLOOKUP($B61,'[5]E.U.'!$R$9:$BZ$225,11,FALSE)</f>
        <v>9799.4242399070426</v>
      </c>
      <c r="AQ61" s="45">
        <f>VLOOKUP($B61,'[6]E.U.'!$R$9:$CA$225,11,FALSE)</f>
        <v>11663.319182936109</v>
      </c>
      <c r="AR61" s="45">
        <f>VLOOKUP($B61,'[7]E.U.'!$R$9:$AZ$225,11,FALSE)</f>
        <v>10616.028969790128</v>
      </c>
      <c r="AS61" s="45">
        <f>VLOOKUP($B61,'[8]E.U.'!$R$9:$AZ$225,11,FALSE)</f>
        <v>9456.981772080906</v>
      </c>
      <c r="AT61" s="45">
        <f>VLOOKUP($B61,'[9]E.U.'!$R$9:$AZ$221,11,FALSE)</f>
        <v>7770.1742796550589</v>
      </c>
      <c r="AU61" s="45"/>
      <c r="AV61" s="45">
        <f>VLOOKUP($B61,'[10]E.U.'!$R$9:$AZ$221,11,FALSE)</f>
        <v>8478.5371321717503</v>
      </c>
      <c r="AW61" s="45">
        <f>VLOOKUP($B61,'[11]E.U.'!$R$9:$AZ$220,11,FALSE)</f>
        <v>8755.3820250171993</v>
      </c>
      <c r="AX61" s="252"/>
      <c r="AY61" s="45">
        <f>VLOOKUP($B61,'[12]E.U.'!$R$9:$AZ$220,11,FALSE)</f>
        <v>8515.6805278592565</v>
      </c>
      <c r="AZ61" s="45"/>
      <c r="BA61" s="45">
        <f>VLOOKUP($B61,'[13]E.U.'!$R$9:$AZ$221,11,FALSE)</f>
        <v>8562.4361770551477</v>
      </c>
      <c r="BB61" s="46">
        <f t="shared" si="6"/>
        <v>113967.16012099486</v>
      </c>
      <c r="BC61" s="47" t="e">
        <f>SUM(#REF!)</f>
        <v>#REF!</v>
      </c>
      <c r="BD61" s="43" t="e">
        <f>VLOOKUP(V61,[14]ELECTRIC!$C$1:$H$4000,6,FALSE)</f>
        <v>#N/A</v>
      </c>
      <c r="BE61" s="43" t="e">
        <f t="shared" si="10"/>
        <v>#N/A</v>
      </c>
      <c r="BF61" s="48">
        <f t="shared" si="3"/>
        <v>113967.16012099486</v>
      </c>
      <c r="BG61" s="49">
        <f t="shared" si="9"/>
        <v>198547.07395364746</v>
      </c>
      <c r="BH61" s="43" t="e">
        <f t="shared" ref="BH61:BH77" si="11">IF(BC61=0,0,(BB61*(AK61/BC61)))</f>
        <v>#REF!</v>
      </c>
      <c r="BI61" s="50" t="e">
        <f t="shared" ref="BI61:BI124" si="12">IF(OR(BB61=0,BC61=0),0,ABS(BB61/BC61)-1)</f>
        <v>#REF!</v>
      </c>
      <c r="BJ61" s="51">
        <f t="shared" si="5"/>
        <v>-9.1772618242486059E-2</v>
      </c>
      <c r="BK61" s="52"/>
      <c r="BL61" s="52"/>
      <c r="BM61" s="52"/>
      <c r="BN61" s="52"/>
      <c r="BO61" s="72" t="s">
        <v>1466</v>
      </c>
      <c r="BP61" s="52"/>
      <c r="BQ61" s="52"/>
      <c r="BR61" s="50"/>
      <c r="BS61" s="53"/>
      <c r="BT61" s="53"/>
      <c r="BU61" s="65"/>
      <c r="BV61" s="55"/>
      <c r="BW61" s="55"/>
      <c r="BX61" s="56"/>
      <c r="BY61" s="67"/>
      <c r="BZ61" s="58"/>
    </row>
    <row r="62" spans="1:78" ht="15.6" x14ac:dyDescent="0.3">
      <c r="A62" s="59" t="s">
        <v>694</v>
      </c>
      <c r="B62" s="38" t="s">
        <v>166</v>
      </c>
      <c r="C62" s="214" t="s">
        <v>167</v>
      </c>
      <c r="D62" t="s">
        <v>1467</v>
      </c>
      <c r="E62" s="64" t="s">
        <v>168</v>
      </c>
      <c r="F62" s="41" t="s">
        <v>758</v>
      </c>
      <c r="G62" s="42"/>
      <c r="H62" s="42"/>
      <c r="I62" s="42"/>
      <c r="J62" s="42" t="s">
        <v>1468</v>
      </c>
      <c r="K62" s="42" t="s">
        <v>1469</v>
      </c>
      <c r="L62" s="42" t="s">
        <v>1470</v>
      </c>
      <c r="M62" s="42" t="s">
        <v>1471</v>
      </c>
      <c r="N62" s="42" t="s">
        <v>1472</v>
      </c>
      <c r="O62" s="42" t="s">
        <v>1473</v>
      </c>
      <c r="P62" s="42" t="s">
        <v>1474</v>
      </c>
      <c r="Q62" s="42" t="s">
        <v>1475</v>
      </c>
      <c r="R62" s="42" t="s">
        <v>1476</v>
      </c>
      <c r="S62" s="42" t="s">
        <v>1477</v>
      </c>
      <c r="T62" s="42" t="s">
        <v>1478</v>
      </c>
      <c r="U62" s="42" t="s">
        <v>1479</v>
      </c>
      <c r="V62" s="42" t="str">
        <f>VLOOKUP(D62,[1]ALL!$A$15:$Z$983,3,FALSE)</f>
        <v>PED1-EL</v>
      </c>
      <c r="W62" s="43">
        <v>143490.70151530913</v>
      </c>
      <c r="X62" s="43">
        <v>378804.70228714589</v>
      </c>
      <c r="Y62" s="43">
        <v>491301.9742701248</v>
      </c>
      <c r="Z62" s="43">
        <v>508313.88340896153</v>
      </c>
      <c r="AA62" s="43">
        <v>541734.49</v>
      </c>
      <c r="AB62" s="43">
        <v>391179.12</v>
      </c>
      <c r="AC62" s="43">
        <v>442013.81</v>
      </c>
      <c r="AD62" s="43">
        <v>519408.25</v>
      </c>
      <c r="AE62" s="43">
        <v>813787.79</v>
      </c>
      <c r="AF62" s="43">
        <v>562601.69999999995</v>
      </c>
      <c r="AG62" s="43">
        <v>365871.59</v>
      </c>
      <c r="AH62" s="43">
        <v>502594.26</v>
      </c>
      <c r="AI62" s="43">
        <v>604602.79</v>
      </c>
      <c r="AJ62" s="43">
        <v>657552.81999999995</v>
      </c>
      <c r="AK62" s="43">
        <v>827170.95</v>
      </c>
      <c r="AL62" s="44"/>
      <c r="AM62" s="45">
        <f>VLOOKUP($B62,'[2]E.U.'!$R$9:$AZ$205,11,FALSE)</f>
        <v>57777.07</v>
      </c>
      <c r="AN62" s="45">
        <f>VLOOKUP($B62,'[3]E.U.'!$R9:$AZ$225,11,FALSE)</f>
        <v>69476.95</v>
      </c>
      <c r="AO62" s="45">
        <f>VLOOKUP($B62,'[4]E.U.'!$R$9:$BZ$225,11,FALSE)</f>
        <v>68092.548262910554</v>
      </c>
      <c r="AP62" s="45">
        <f>VLOOKUP($B62,'[5]E.U.'!$R$9:$BZ$225,11,FALSE)</f>
        <v>72107.186408594935</v>
      </c>
      <c r="AQ62" s="45">
        <f>VLOOKUP($B62,'[6]E.U.'!$R$9:$CA$225,11,FALSE)</f>
        <v>84363.122305948011</v>
      </c>
      <c r="AR62" s="45">
        <f>VLOOKUP($B62,'[7]E.U.'!$R$9:$AZ$225,11,FALSE)</f>
        <v>75178.335869574657</v>
      </c>
      <c r="AS62" s="45">
        <f>VLOOKUP($B62,'[8]E.U.'!$R$9:$AZ$225,11,FALSE)</f>
        <v>55224.316135089255</v>
      </c>
      <c r="AT62" s="45">
        <f>VLOOKUP($B62,'[9]E.U.'!$R$9:$AZ$221,11,FALSE)</f>
        <v>41597.235117043456</v>
      </c>
      <c r="AU62" s="45"/>
      <c r="AV62" s="45">
        <f>VLOOKUP($B62,'[10]E.U.'!$R$9:$AZ$221,11,FALSE)</f>
        <v>43235.049532040044</v>
      </c>
      <c r="AW62" s="45">
        <f>VLOOKUP($B62,'[11]E.U.'!$R$9:$AZ$220,11,FALSE)</f>
        <v>53150.329760930712</v>
      </c>
      <c r="AX62" s="252"/>
      <c r="AY62" s="45">
        <f>VLOOKUP($B62,'[12]E.U.'!$R$9:$AZ$220,11,FALSE)</f>
        <v>49990.712126290447</v>
      </c>
      <c r="AZ62" s="45"/>
      <c r="BA62" s="45">
        <f>VLOOKUP($B62,'[13]E.U.'!$R$9:$AZ$221,11,FALSE)</f>
        <v>52551.957799683441</v>
      </c>
      <c r="BB62" s="46">
        <f t="shared" si="6"/>
        <v>722744.81331810553</v>
      </c>
      <c r="BC62" s="47" t="e">
        <f>SUM(#REF!)</f>
        <v>#REF!</v>
      </c>
      <c r="BD62" s="43" t="e">
        <f>VLOOKUP(V62,[14]ELECTRIC!$C$1:$H$4000,6,FALSE)</f>
        <v>#N/A</v>
      </c>
      <c r="BE62" s="43" t="e">
        <f t="shared" si="10"/>
        <v>#N/A</v>
      </c>
      <c r="BF62" s="48">
        <f t="shared" si="3"/>
        <v>722744.81331810553</v>
      </c>
      <c r="BG62" s="43">
        <f t="shared" si="9"/>
        <v>1259124.7140591852</v>
      </c>
      <c r="BH62" s="43" t="e">
        <f t="shared" si="11"/>
        <v>#REF!</v>
      </c>
      <c r="BI62" s="52" t="e">
        <f t="shared" si="12"/>
        <v>#REF!</v>
      </c>
      <c r="BJ62" s="51">
        <f t="shared" si="5"/>
        <v>-0.12624492758346317</v>
      </c>
      <c r="BK62" s="52"/>
      <c r="BL62" s="52"/>
      <c r="BM62" s="52"/>
      <c r="BN62" s="52"/>
      <c r="BO62" s="72"/>
      <c r="BP62" s="72" t="s">
        <v>844</v>
      </c>
      <c r="BQ62" s="52"/>
      <c r="BR62" s="71"/>
      <c r="BS62" s="53"/>
      <c r="BT62" s="53"/>
      <c r="BU62" s="65"/>
      <c r="BV62" s="55"/>
      <c r="BW62" s="55"/>
      <c r="BX62" s="66" t="s">
        <v>1480</v>
      </c>
      <c r="BY62" s="67"/>
      <c r="BZ62" s="68"/>
    </row>
    <row r="63" spans="1:78" ht="15.6" x14ac:dyDescent="0.3">
      <c r="A63" s="59" t="s">
        <v>694</v>
      </c>
      <c r="B63" s="38" t="s">
        <v>169</v>
      </c>
      <c r="C63" s="1" t="s">
        <v>170</v>
      </c>
      <c r="D63" s="39" t="s">
        <v>1481</v>
      </c>
      <c r="E63" s="40" t="s">
        <v>171</v>
      </c>
      <c r="F63" s="41" t="s">
        <v>758</v>
      </c>
      <c r="G63" s="42" t="s">
        <v>1482</v>
      </c>
      <c r="H63" s="42" t="s">
        <v>1482</v>
      </c>
      <c r="I63" s="42" t="s">
        <v>1482</v>
      </c>
      <c r="J63" s="42" t="s">
        <v>1483</v>
      </c>
      <c r="K63" s="42" t="s">
        <v>1484</v>
      </c>
      <c r="L63" s="42" t="s">
        <v>1485</v>
      </c>
      <c r="M63" s="42" t="s">
        <v>1486</v>
      </c>
      <c r="N63" s="42" t="s">
        <v>1487</v>
      </c>
      <c r="O63" s="42" t="s">
        <v>1488</v>
      </c>
      <c r="P63" s="42" t="s">
        <v>1489</v>
      </c>
      <c r="Q63" s="42" t="s">
        <v>1490</v>
      </c>
      <c r="R63" s="42" t="s">
        <v>1491</v>
      </c>
      <c r="S63" s="42" t="s">
        <v>1492</v>
      </c>
      <c r="T63" s="42" t="s">
        <v>1493</v>
      </c>
      <c r="U63" s="42" t="s">
        <v>1494</v>
      </c>
      <c r="V63" s="42" t="str">
        <f>VLOOKUP(D63,[1]ALL!$A$15:$Z$983,3,FALSE)</f>
        <v>HED-EGW</v>
      </c>
      <c r="W63" s="43">
        <v>14223.318322790914</v>
      </c>
      <c r="X63" s="43">
        <v>15951.660227017179</v>
      </c>
      <c r="Y63" s="43">
        <v>16748.231432724595</v>
      </c>
      <c r="Z63" s="43">
        <v>17789.017551710127</v>
      </c>
      <c r="AA63" s="43">
        <v>29486.16</v>
      </c>
      <c r="AB63" s="43">
        <v>17471.79</v>
      </c>
      <c r="AC63" s="43">
        <v>16778.11</v>
      </c>
      <c r="AD63" s="43">
        <v>19187.73</v>
      </c>
      <c r="AE63" s="43">
        <v>19714.8</v>
      </c>
      <c r="AF63" s="43">
        <v>22719.8</v>
      </c>
      <c r="AG63" s="43">
        <v>19383.990000000002</v>
      </c>
      <c r="AH63" s="43">
        <v>21552.35</v>
      </c>
      <c r="AI63" s="43">
        <v>20264.560000000001</v>
      </c>
      <c r="AJ63" s="43">
        <v>21197.03</v>
      </c>
      <c r="AK63" s="43">
        <v>26268.77</v>
      </c>
      <c r="AL63" s="44"/>
      <c r="AM63" s="45">
        <f>VLOOKUP($B63,'[2]E.U.'!$R$9:$AZ$205,11,FALSE)</f>
        <v>2106.9899999999998</v>
      </c>
      <c r="AN63" s="45">
        <f>VLOOKUP($B63,'[3]E.U.'!$R9:$AZ$225,11,FALSE)</f>
        <v>2463.31</v>
      </c>
      <c r="AO63" s="45">
        <f>VLOOKUP($B63,'[4]E.U.'!$R$9:$BZ$225,11,FALSE)</f>
        <v>2412.6745425814738</v>
      </c>
      <c r="AP63" s="45">
        <f>VLOOKUP($B63,'[5]E.U.'!$R$9:$BZ$225,11,FALSE)</f>
        <v>2332.416589134536</v>
      </c>
      <c r="AQ63" s="45">
        <f>VLOOKUP($B63,'[6]E.U.'!$R$9:$CA$225,11,FALSE)</f>
        <v>2608.7118362380611</v>
      </c>
      <c r="AR63" s="45">
        <f>VLOOKUP($B63,'[7]E.U.'!$R$9:$AZ$225,11,FALSE)</f>
        <v>2419.6829095673752</v>
      </c>
      <c r="AS63" s="45">
        <f>VLOOKUP($B63,'[8]E.U.'!$R$9:$AZ$225,11,FALSE)</f>
        <v>2691.8549493971091</v>
      </c>
      <c r="AT63" s="45">
        <f>VLOOKUP($B63,'[9]E.U.'!$R$9:$AZ$221,11,FALSE)</f>
        <v>2503.8600985124717</v>
      </c>
      <c r="AU63" s="45"/>
      <c r="AV63" s="45">
        <f>VLOOKUP($B63,'[10]E.U.'!$R$9:$AZ$221,11,FALSE)</f>
        <v>2553.1792991459661</v>
      </c>
      <c r="AW63" s="45">
        <f>VLOOKUP($B63,'[11]E.U.'!$R$9:$AZ$220,11,FALSE)</f>
        <v>2545.2643769876313</v>
      </c>
      <c r="AX63" s="45"/>
      <c r="AY63" s="45">
        <f>VLOOKUP($B63,'[12]E.U.'!$R$9:$AZ$220,11,FALSE)</f>
        <v>2781.6987861895846</v>
      </c>
      <c r="AZ63" s="45"/>
      <c r="BA63" s="45">
        <f>VLOOKUP($B63,'[13]E.U.'!$R$9:$AZ$221,11,FALSE)</f>
        <v>2635.907839482792</v>
      </c>
      <c r="BB63" s="46">
        <f t="shared" si="6"/>
        <v>30055.551227236996</v>
      </c>
      <c r="BC63" s="47" t="e">
        <f>SUM(#REF!)</f>
        <v>#REF!</v>
      </c>
      <c r="BD63" s="43" t="e">
        <f>VLOOKUP(V63,[14]ELECTRIC!$C$1:$H$4000,6,FALSE)</f>
        <v>#N/A</v>
      </c>
      <c r="BE63" s="43" t="e">
        <f t="shared" si="10"/>
        <v>#N/A</v>
      </c>
      <c r="BF63" s="48">
        <f t="shared" si="3"/>
        <v>30055.551227236996</v>
      </c>
      <c r="BG63" s="49">
        <f t="shared" si="9"/>
        <v>52361.063888022167</v>
      </c>
      <c r="BH63" s="43" t="e">
        <f t="shared" si="11"/>
        <v>#REF!</v>
      </c>
      <c r="BI63" s="50" t="e">
        <f t="shared" si="12"/>
        <v>#REF!</v>
      </c>
      <c r="BJ63" s="51">
        <f t="shared" si="5"/>
        <v>0.1441552545946001</v>
      </c>
      <c r="BK63" s="52"/>
      <c r="BL63" s="52"/>
      <c r="BM63" s="52"/>
      <c r="BN63" s="52"/>
      <c r="BO63" s="72" t="s">
        <v>1495</v>
      </c>
      <c r="BP63" s="52"/>
      <c r="BQ63" s="52"/>
      <c r="BR63" s="50"/>
      <c r="BS63" s="53"/>
      <c r="BT63" s="53"/>
      <c r="BU63" s="65"/>
      <c r="BV63" s="55"/>
      <c r="BW63" s="55"/>
      <c r="BX63" s="56"/>
      <c r="BY63" s="57" t="s">
        <v>1296</v>
      </c>
      <c r="BZ63" s="58"/>
    </row>
    <row r="64" spans="1:78" ht="15.6" x14ac:dyDescent="0.3">
      <c r="A64" s="59" t="s">
        <v>694</v>
      </c>
      <c r="B64" s="38" t="s">
        <v>172</v>
      </c>
      <c r="C64" s="1" t="s">
        <v>173</v>
      </c>
      <c r="D64" s="39" t="s">
        <v>1496</v>
      </c>
      <c r="E64" s="40" t="s">
        <v>174</v>
      </c>
      <c r="F64" s="41">
        <v>0</v>
      </c>
      <c r="G64" s="42" t="s">
        <v>1497</v>
      </c>
      <c r="H64" s="42" t="s">
        <v>1497</v>
      </c>
      <c r="I64" s="42" t="s">
        <v>1497</v>
      </c>
      <c r="J64" s="42" t="s">
        <v>1498</v>
      </c>
      <c r="K64" s="42" t="s">
        <v>1499</v>
      </c>
      <c r="L64" s="42" t="s">
        <v>1500</v>
      </c>
      <c r="M64" s="42" t="s">
        <v>1501</v>
      </c>
      <c r="N64" s="42" t="s">
        <v>1502</v>
      </c>
      <c r="O64" s="42" t="s">
        <v>1503</v>
      </c>
      <c r="P64" s="42" t="s">
        <v>1504</v>
      </c>
      <c r="Q64" s="42" t="s">
        <v>1505</v>
      </c>
      <c r="R64" s="42" t="s">
        <v>1506</v>
      </c>
      <c r="S64" s="42" t="s">
        <v>1507</v>
      </c>
      <c r="T64" s="42" t="s">
        <v>1508</v>
      </c>
      <c r="U64" s="42" t="s">
        <v>1509</v>
      </c>
      <c r="V64" s="42" t="str">
        <f>VLOOKUP(D64,[1]ALL!$A$15:$Z$983,3,FALSE)</f>
        <v>BDF-EGW</v>
      </c>
      <c r="W64" s="43">
        <v>17958.975488846947</v>
      </c>
      <c r="X64" s="43">
        <v>20745.169049999502</v>
      </c>
      <c r="Y64" s="43">
        <v>27941.550715432924</v>
      </c>
      <c r="Z64" s="43">
        <v>23272.442416208331</v>
      </c>
      <c r="AA64" s="43">
        <v>24876.84</v>
      </c>
      <c r="AB64" s="43">
        <v>25395.03</v>
      </c>
      <c r="AC64" s="43">
        <v>27865.58</v>
      </c>
      <c r="AD64" s="43">
        <v>34009.93</v>
      </c>
      <c r="AE64" s="43">
        <v>32985.870000000003</v>
      </c>
      <c r="AF64" s="43">
        <v>37362</v>
      </c>
      <c r="AG64" s="43">
        <v>38263.31</v>
      </c>
      <c r="AH64" s="43">
        <v>52944.11</v>
      </c>
      <c r="AI64" s="43">
        <v>41663.65</v>
      </c>
      <c r="AJ64" s="43">
        <v>55127.11</v>
      </c>
      <c r="AK64" s="43">
        <v>59937.81</v>
      </c>
      <c r="AL64" s="44"/>
      <c r="AM64" s="45">
        <f>VLOOKUP($B64,'[2]E.U.'!$R$9:$AZ$205,11,FALSE)</f>
        <v>5139.29</v>
      </c>
      <c r="AN64" s="45">
        <f>VLOOKUP($B64,'[3]E.U.'!$R9:$AZ$225,11,FALSE)</f>
        <v>2.46</v>
      </c>
      <c r="AO64" s="45">
        <f>VLOOKUP($B64,'[4]E.U.'!$R$9:$BZ$225,11,FALSE)</f>
        <v>4213.6401724289526</v>
      </c>
      <c r="AP64" s="45">
        <f>VLOOKUP($B64,'[5]E.U.'!$R$9:$BZ$225,11,FALSE)</f>
        <v>5364.8102409232897</v>
      </c>
      <c r="AQ64" s="45">
        <f>VLOOKUP($B64,'[6]E.U.'!$R$9:$CA$225,11,FALSE)</f>
        <v>6054.5687703278181</v>
      </c>
      <c r="AR64" s="45">
        <f>VLOOKUP($B64,'[7]E.U.'!$R$9:$AZ$225,11,FALSE)</f>
        <v>6538.4341188582348</v>
      </c>
      <c r="AS64" s="45">
        <f>VLOOKUP($B64,'[8]E.U.'!$R$9:$AZ$225,11,FALSE)</f>
        <v>6179.5721160957255</v>
      </c>
      <c r="AT64" s="45">
        <f>VLOOKUP($B64,'[9]E.U.'!$R$9:$AZ$221,11,FALSE)</f>
        <v>4036.1563123051819</v>
      </c>
      <c r="AU64" s="45"/>
      <c r="AV64" s="45">
        <f>VLOOKUP($B64,'[10]E.U.'!$R$9:$AZ$221,11,FALSE)</f>
        <v>7355.2525250345989</v>
      </c>
      <c r="AW64" s="45">
        <f>VLOOKUP($B64,'[11]E.U.'!$R$9:$AZ$220,11,FALSE)</f>
        <v>6788.5126154479749</v>
      </c>
      <c r="AX64" s="252"/>
      <c r="AY64" s="45">
        <f>VLOOKUP($B64,'[12]E.U.'!$R$9:$AZ$220,11,FALSE)</f>
        <v>6718.342934521067</v>
      </c>
      <c r="AZ64" s="45"/>
      <c r="BA64" s="45">
        <f>VLOOKUP($B64,'[13]E.U.'!$R$9:$AZ$221,11,FALSE)</f>
        <v>5266.0147545227128</v>
      </c>
      <c r="BB64" s="46">
        <f t="shared" si="6"/>
        <v>63657.054560465556</v>
      </c>
      <c r="BC64" s="47" t="e">
        <f>SUM(#REF!)</f>
        <v>#REF!</v>
      </c>
      <c r="BD64" s="43" t="e">
        <f>VLOOKUP(V64,[14]ELECTRIC!$C$1:$H$4000,6,FALSE)</f>
        <v>#N/A</v>
      </c>
      <c r="BE64" s="43" t="e">
        <f t="shared" si="10"/>
        <v>#N/A</v>
      </c>
      <c r="BF64" s="48">
        <f t="shared" si="3"/>
        <v>63657.054560465556</v>
      </c>
      <c r="BG64" s="49">
        <f t="shared" si="9"/>
        <v>110899.68290926822</v>
      </c>
      <c r="BH64" s="43" t="e">
        <f t="shared" si="11"/>
        <v>#REF!</v>
      </c>
      <c r="BI64" s="50" t="e">
        <f t="shared" si="12"/>
        <v>#REF!</v>
      </c>
      <c r="BJ64" s="51">
        <f t="shared" si="5"/>
        <v>6.2051725955045045E-2</v>
      </c>
      <c r="BK64" s="52"/>
      <c r="BL64" s="52"/>
      <c r="BM64" s="52"/>
      <c r="BN64" s="52"/>
      <c r="BO64" s="72" t="s">
        <v>1510</v>
      </c>
      <c r="BP64" s="52"/>
      <c r="BQ64" s="52"/>
      <c r="BR64" s="85" t="s">
        <v>1511</v>
      </c>
      <c r="BS64" s="53"/>
      <c r="BT64" s="53"/>
      <c r="BU64" s="65"/>
      <c r="BV64" s="55"/>
      <c r="BW64" s="55"/>
      <c r="BX64" s="56"/>
      <c r="BY64" s="80" t="s">
        <v>1512</v>
      </c>
      <c r="BZ64" s="58"/>
    </row>
    <row r="65" spans="1:79" ht="15.6" x14ac:dyDescent="0.3">
      <c r="A65" s="59" t="s">
        <v>694</v>
      </c>
      <c r="B65" s="38" t="s">
        <v>175</v>
      </c>
      <c r="C65" s="63" t="s">
        <v>176</v>
      </c>
      <c r="D65" s="39" t="s">
        <v>1513</v>
      </c>
      <c r="E65" s="40" t="s">
        <v>177</v>
      </c>
      <c r="F65" s="41" t="s">
        <v>758</v>
      </c>
      <c r="G65" s="42" t="s">
        <v>1514</v>
      </c>
      <c r="H65" s="42" t="s">
        <v>1514</v>
      </c>
      <c r="I65" s="42" t="s">
        <v>1514</v>
      </c>
      <c r="J65" s="42" t="s">
        <v>1515</v>
      </c>
      <c r="K65" s="42" t="s">
        <v>1516</v>
      </c>
      <c r="L65" s="42" t="s">
        <v>1517</v>
      </c>
      <c r="M65" s="42" t="s">
        <v>1518</v>
      </c>
      <c r="N65" s="42" t="s">
        <v>1519</v>
      </c>
      <c r="O65" s="42" t="s">
        <v>1520</v>
      </c>
      <c r="P65" s="42" t="s">
        <v>1521</v>
      </c>
      <c r="Q65" s="42" t="s">
        <v>1522</v>
      </c>
      <c r="R65" s="42" t="s">
        <v>1523</v>
      </c>
      <c r="S65" s="42" t="s">
        <v>1524</v>
      </c>
      <c r="T65" s="42" t="s">
        <v>1525</v>
      </c>
      <c r="U65" s="42" t="s">
        <v>1526</v>
      </c>
      <c r="V65" s="42" t="str">
        <f>VLOOKUP(D65,[1]ALL!$A$15:$Z$983,3,FALSE)</f>
        <v>ZHS-EGW</v>
      </c>
      <c r="W65" s="43">
        <v>170517.95752239181</v>
      </c>
      <c r="X65" s="43">
        <v>139271.63266891535</v>
      </c>
      <c r="Y65" s="43">
        <v>161358.63959482874</v>
      </c>
      <c r="Z65" s="43">
        <v>167773.41477824014</v>
      </c>
      <c r="AA65" s="43">
        <v>170695.56</v>
      </c>
      <c r="AB65" s="43">
        <v>180061.44</v>
      </c>
      <c r="AC65" s="43">
        <v>180874.27</v>
      </c>
      <c r="AD65" s="43">
        <v>178240.63</v>
      </c>
      <c r="AE65" s="43">
        <v>188942.21</v>
      </c>
      <c r="AF65" s="43">
        <v>206123.75</v>
      </c>
      <c r="AG65" s="43">
        <v>211125.61</v>
      </c>
      <c r="AH65" s="43">
        <v>221197.72</v>
      </c>
      <c r="AI65" s="43">
        <v>229775.83</v>
      </c>
      <c r="AJ65" s="43">
        <v>227586.27</v>
      </c>
      <c r="AK65" s="43">
        <v>271250.84000000003</v>
      </c>
      <c r="AL65" s="44"/>
      <c r="AM65" s="45">
        <f>VLOOKUP($B65,'[2]E.U.'!$R$9:$AZ$205,11,FALSE)</f>
        <v>20524.91</v>
      </c>
      <c r="AN65" s="45">
        <f>VLOOKUP($B65,'[3]E.U.'!$R9:$AZ$225,11,FALSE)</f>
        <v>22949.54</v>
      </c>
      <c r="AO65" s="45">
        <f>VLOOKUP($B65,'[4]E.U.'!$R$9:$BZ$225,11,FALSE)</f>
        <v>22081.430339517599</v>
      </c>
      <c r="AP65" s="45">
        <f>VLOOKUP($B65,'[5]E.U.'!$R$9:$BZ$225,11,FALSE)</f>
        <v>22136.252666441793</v>
      </c>
      <c r="AQ65" s="45">
        <f>VLOOKUP($B65,'[6]E.U.'!$R$9:$CA$225,11,FALSE)</f>
        <v>24869.667307045071</v>
      </c>
      <c r="AR65" s="45">
        <f>VLOOKUP($B65,'[7]E.U.'!$R$9:$AZ$225,11,FALSE)</f>
        <v>21039.372789414399</v>
      </c>
      <c r="AS65" s="45">
        <f>VLOOKUP($B65,'[8]E.U.'!$R$9:$AZ$225,11,FALSE)</f>
        <v>22417.912941403571</v>
      </c>
      <c r="AT65" s="45">
        <f>VLOOKUP($B65,'[9]E.U.'!$R$9:$AZ$221,11,FALSE)</f>
        <v>18283.841044358498</v>
      </c>
      <c r="AU65" s="45"/>
      <c r="AV65" s="45">
        <f>VLOOKUP($B65,'[10]E.U.'!$R$9:$AZ$221,11,FALSE)</f>
        <v>19434.807885525952</v>
      </c>
      <c r="AW65" s="45">
        <f>VLOOKUP($B65,'[11]E.U.'!$R$9:$AZ$220,11,FALSE)</f>
        <v>18888.965621209332</v>
      </c>
      <c r="AX65" s="252"/>
      <c r="AY65" s="45">
        <f>VLOOKUP($B65,'[12]E.U.'!$R$9:$AZ$220,11,FALSE)</f>
        <v>18633.284097411819</v>
      </c>
      <c r="AZ65" s="45"/>
      <c r="BA65" s="45">
        <f>VLOOKUP($B65,'[13]E.U.'!$R$9:$AZ$221,11,FALSE)</f>
        <v>17694.74244978635</v>
      </c>
      <c r="BB65" s="46">
        <f t="shared" si="6"/>
        <v>248954.72714211437</v>
      </c>
      <c r="BC65" s="47" t="e">
        <f>SUM(#REF!)</f>
        <v>#REF!</v>
      </c>
      <c r="BD65" s="43" t="e">
        <f>VLOOKUP(V65,[14]ELECTRIC!$C$1:$H$4000,6,FALSE)</f>
        <v>#N/A</v>
      </c>
      <c r="BE65" s="43" t="e">
        <f t="shared" si="10"/>
        <v>#N/A</v>
      </c>
      <c r="BF65" s="48">
        <f t="shared" si="3"/>
        <v>248954.72714211437</v>
      </c>
      <c r="BG65" s="49">
        <f t="shared" si="9"/>
        <v>433714.6996425835</v>
      </c>
      <c r="BH65" s="43" t="e">
        <f t="shared" si="11"/>
        <v>#REF!</v>
      </c>
      <c r="BI65" s="50" t="e">
        <f t="shared" si="12"/>
        <v>#REF!</v>
      </c>
      <c r="BJ65" s="51">
        <f t="shared" si="5"/>
        <v>-8.2197396542203038E-2</v>
      </c>
      <c r="BK65" s="52"/>
      <c r="BL65" s="52"/>
      <c r="BM65" s="52"/>
      <c r="BN65" s="52"/>
      <c r="BO65" s="72"/>
      <c r="BP65" s="52"/>
      <c r="BQ65" s="52"/>
      <c r="BR65" s="50"/>
      <c r="BS65" s="53"/>
      <c r="BT65" s="53"/>
      <c r="BU65" s="65"/>
      <c r="BV65" s="55"/>
      <c r="BW65" s="55"/>
      <c r="BX65" s="56"/>
      <c r="BY65" s="67"/>
      <c r="BZ65" s="58"/>
    </row>
    <row r="66" spans="1:79" ht="15.6" x14ac:dyDescent="0.3">
      <c r="A66" s="59" t="s">
        <v>694</v>
      </c>
      <c r="B66" s="38" t="s">
        <v>178</v>
      </c>
      <c r="C66" s="1" t="s">
        <v>179</v>
      </c>
      <c r="D66" s="39" t="s">
        <v>1527</v>
      </c>
      <c r="E66" s="40" t="s">
        <v>180</v>
      </c>
      <c r="F66" s="41" t="s">
        <v>758</v>
      </c>
      <c r="G66" s="42" t="s">
        <v>1528</v>
      </c>
      <c r="H66" s="42" t="s">
        <v>1528</v>
      </c>
      <c r="I66" s="42" t="s">
        <v>1528</v>
      </c>
      <c r="J66" s="42" t="s">
        <v>1529</v>
      </c>
      <c r="K66" s="42" t="s">
        <v>1530</v>
      </c>
      <c r="L66" s="42" t="s">
        <v>1531</v>
      </c>
      <c r="M66" s="42" t="s">
        <v>1532</v>
      </c>
      <c r="N66" s="42" t="s">
        <v>1533</v>
      </c>
      <c r="O66" s="42" t="s">
        <v>1534</v>
      </c>
      <c r="P66" s="42" t="s">
        <v>1535</v>
      </c>
      <c r="Q66" s="42" t="s">
        <v>1536</v>
      </c>
      <c r="R66" s="42" t="s">
        <v>1537</v>
      </c>
      <c r="S66" s="42" t="s">
        <v>1538</v>
      </c>
      <c r="T66" s="42" t="s">
        <v>1539</v>
      </c>
      <c r="U66" s="42" t="s">
        <v>1540</v>
      </c>
      <c r="V66" s="42" t="str">
        <f>VLOOKUP(D66,[1]ALL!$A$15:$Z$983,3,FALSE)</f>
        <v>URC-EGW</v>
      </c>
      <c r="W66" s="43">
        <v>13154.336766242874</v>
      </c>
      <c r="X66" s="43">
        <v>11379.437648649648</v>
      </c>
      <c r="Y66" s="43">
        <v>10746.717568472699</v>
      </c>
      <c r="Z66" s="43">
        <v>11892.662029336208</v>
      </c>
      <c r="AA66" s="43">
        <v>11992.66</v>
      </c>
      <c r="AB66" s="43">
        <v>11155.83</v>
      </c>
      <c r="AC66" s="43">
        <v>12329.25</v>
      </c>
      <c r="AD66" s="43">
        <v>9892.36</v>
      </c>
      <c r="AE66" s="43">
        <v>16144.18</v>
      </c>
      <c r="AF66" s="43">
        <v>17003.95</v>
      </c>
      <c r="AG66" s="43">
        <v>15650.72</v>
      </c>
      <c r="AH66" s="43">
        <v>15577.28</v>
      </c>
      <c r="AI66" s="43">
        <v>16608.79</v>
      </c>
      <c r="AJ66" s="43">
        <v>24286.32</v>
      </c>
      <c r="AK66" s="43">
        <v>27804.71</v>
      </c>
      <c r="AL66" s="44"/>
      <c r="AM66" s="45">
        <f>VLOOKUP($B66,'[2]E.U.'!$R$9:$AZ$205,11,FALSE)</f>
        <v>1907.17</v>
      </c>
      <c r="AN66" s="45">
        <f>VLOOKUP($B66,'[3]E.U.'!$R9:$AZ$225,11,FALSE)</f>
        <v>2299.4699999999998</v>
      </c>
      <c r="AO66" s="45">
        <f>VLOOKUP($B66,'[4]E.U.'!$R$9:$BZ$225,11,FALSE)</f>
        <v>3441.5741870033748</v>
      </c>
      <c r="AP66" s="45">
        <f>VLOOKUP($B66,'[5]E.U.'!$R$9:$BZ$225,11,FALSE)</f>
        <v>3454.4842282626296</v>
      </c>
      <c r="AQ66" s="45">
        <f>VLOOKUP($B66,'[6]E.U.'!$R$9:$CA$225,11,FALSE)</f>
        <v>3944.4248630746124</v>
      </c>
      <c r="AR66" s="45">
        <f>VLOOKUP($B66,'[7]E.U.'!$R$9:$AZ$225,11,FALSE)</f>
        <v>0</v>
      </c>
      <c r="AS66" s="45">
        <f>VLOOKUP($B66,'[8]E.U.'!$R$9:$AZ$225,11,FALSE)</f>
        <v>3496.97</v>
      </c>
      <c r="AT66" s="45">
        <f>VLOOKUP($B66,'[9]E.U.'!$R$9:$AZ$221,11,FALSE)</f>
        <v>3750</v>
      </c>
      <c r="AU66" s="45"/>
      <c r="AV66" s="45">
        <f>VLOOKUP($B66,'[10]E.U.'!$R$9:$AZ$221,11,FALSE)</f>
        <v>0</v>
      </c>
      <c r="AW66" s="45">
        <f>VLOOKUP($B66,'[11]E.U.'!$R$9:$AZ$220,11,FALSE)</f>
        <v>0</v>
      </c>
      <c r="AX66" s="252"/>
      <c r="AY66" s="45">
        <f>VLOOKUP($B66,'[12]E.U.'!$R$9:$AZ$220,11,FALSE)</f>
        <v>0</v>
      </c>
      <c r="AZ66" s="45"/>
      <c r="BA66" s="45">
        <f>VLOOKUP($B66,'[13]E.U.'!$R$9:$AZ$221,11,FALSE)</f>
        <v>0</v>
      </c>
      <c r="BB66" s="46">
        <f t="shared" si="6"/>
        <v>22294.093278340617</v>
      </c>
      <c r="BC66" s="47" t="e">
        <f>SUM(#REF!)</f>
        <v>#REF!</v>
      </c>
      <c r="BD66" s="43" t="e">
        <f>VLOOKUP(V66,[14]ELECTRIC!$C$1:$H$4000,6,FALSE)</f>
        <v>#N/A</v>
      </c>
      <c r="BE66" s="43" t="e">
        <f t="shared" si="10"/>
        <v>#N/A</v>
      </c>
      <c r="BF66" s="48">
        <f t="shared" si="3"/>
        <v>22294.093278340617</v>
      </c>
      <c r="BG66" s="49">
        <f t="shared" si="9"/>
        <v>38839.495361337686</v>
      </c>
      <c r="BH66" s="43" t="e">
        <f t="shared" si="11"/>
        <v>#REF!</v>
      </c>
      <c r="BI66" s="50" t="e">
        <f t="shared" si="12"/>
        <v>#REF!</v>
      </c>
      <c r="BJ66" s="51">
        <f t="shared" si="5"/>
        <v>-0.1981900448398628</v>
      </c>
      <c r="BK66" s="52"/>
      <c r="BL66" s="52"/>
      <c r="BM66" s="52"/>
      <c r="BN66" s="52"/>
      <c r="BO66" s="72"/>
      <c r="BP66" s="52"/>
      <c r="BQ66" s="52"/>
      <c r="BR66" s="50"/>
      <c r="BS66" s="53"/>
      <c r="BT66" s="53"/>
      <c r="BU66" s="65"/>
      <c r="BV66" s="55"/>
      <c r="BW66" s="55"/>
      <c r="BX66" s="56"/>
      <c r="BY66" s="57"/>
      <c r="BZ66" s="58"/>
    </row>
    <row r="67" spans="1:79" ht="15.6" x14ac:dyDescent="0.3">
      <c r="A67" s="59" t="s">
        <v>694</v>
      </c>
      <c r="B67" s="38" t="s">
        <v>181</v>
      </c>
      <c r="C67" s="1" t="s">
        <v>182</v>
      </c>
      <c r="D67" s="39" t="s">
        <v>1541</v>
      </c>
      <c r="E67" s="40" t="s">
        <v>183</v>
      </c>
      <c r="F67" s="41">
        <v>0</v>
      </c>
      <c r="G67" s="42" t="s">
        <v>1542</v>
      </c>
      <c r="H67" s="42" t="s">
        <v>1542</v>
      </c>
      <c r="I67" s="42" t="s">
        <v>1542</v>
      </c>
      <c r="J67" s="42" t="s">
        <v>1543</v>
      </c>
      <c r="K67" s="42" t="s">
        <v>1544</v>
      </c>
      <c r="L67" s="42" t="s">
        <v>1545</v>
      </c>
      <c r="M67" s="42" t="s">
        <v>1546</v>
      </c>
      <c r="N67" s="42" t="s">
        <v>1547</v>
      </c>
      <c r="O67" s="42" t="s">
        <v>1548</v>
      </c>
      <c r="P67" s="42" t="s">
        <v>1549</v>
      </c>
      <c r="Q67" s="42" t="s">
        <v>1550</v>
      </c>
      <c r="R67" s="42" t="s">
        <v>1551</v>
      </c>
      <c r="S67" s="42" t="s">
        <v>1552</v>
      </c>
      <c r="T67" s="42" t="s">
        <v>1553</v>
      </c>
      <c r="U67" s="42" t="s">
        <v>1554</v>
      </c>
      <c r="V67" s="42" t="str">
        <f>VLOOKUP(D67,[1]ALL!$A$15:$Z$983,3,FALSE)</f>
        <v>NCT-EGW</v>
      </c>
      <c r="W67" s="43">
        <v>38217.777624473405</v>
      </c>
      <c r="X67" s="43">
        <v>34809.326321588422</v>
      </c>
      <c r="Y67" s="43">
        <v>37964.289113948791</v>
      </c>
      <c r="Z67" s="43">
        <v>38766.258753921538</v>
      </c>
      <c r="AA67" s="43">
        <v>38528.78</v>
      </c>
      <c r="AB67" s="43">
        <v>42874.27</v>
      </c>
      <c r="AC67" s="43">
        <v>43460.76</v>
      </c>
      <c r="AD67" s="43">
        <v>42978.11</v>
      </c>
      <c r="AE67" s="43">
        <v>47791.08</v>
      </c>
      <c r="AF67" s="43">
        <v>47058.33</v>
      </c>
      <c r="AG67" s="43">
        <v>39436.21</v>
      </c>
      <c r="AH67" s="43">
        <v>31003.78</v>
      </c>
      <c r="AI67" s="43">
        <v>28009.87</v>
      </c>
      <c r="AJ67" s="43">
        <v>27949.74</v>
      </c>
      <c r="AK67" s="43">
        <v>32525.27</v>
      </c>
      <c r="AL67" s="44"/>
      <c r="AM67" s="45">
        <f>VLOOKUP($B67,'[2]E.U.'!$R$9:$AZ$205,11,FALSE)</f>
        <v>2623.97</v>
      </c>
      <c r="AN67" s="45">
        <f>VLOOKUP($B67,'[3]E.U.'!$R9:$AZ$225,11,FALSE)</f>
        <v>2722.71</v>
      </c>
      <c r="AO67" s="45">
        <f>VLOOKUP($B67,'[4]E.U.'!$R$9:$BZ$225,11,FALSE)</f>
        <v>2784.0753130020362</v>
      </c>
      <c r="AP67" s="45">
        <f>VLOOKUP($B67,'[5]E.U.'!$R$9:$BZ$225,11,FALSE)</f>
        <v>2775.166073697314</v>
      </c>
      <c r="AQ67" s="45">
        <f>VLOOKUP($B67,'[6]E.U.'!$R$9:$CA$225,11,FALSE)</f>
        <v>3189.3825487391287</v>
      </c>
      <c r="AR67" s="45">
        <f>VLOOKUP($B67,'[7]E.U.'!$R$9:$AZ$225,11,FALSE)</f>
        <v>2850.9498548969168</v>
      </c>
      <c r="AS67" s="45">
        <f>VLOOKUP($B67,'[8]E.U.'!$R$9:$AZ$225,11,FALSE)</f>
        <v>2904.8923453876178</v>
      </c>
      <c r="AT67" s="45">
        <f>VLOOKUP($B67,'[9]E.U.'!$R$9:$AZ$221,11,FALSE)</f>
        <v>2648.1478021779194</v>
      </c>
      <c r="AU67" s="45"/>
      <c r="AV67" s="45">
        <f>VLOOKUP($B67,'[10]E.U.'!$R$9:$AZ$221,11,FALSE)</f>
        <v>2744.1173398026613</v>
      </c>
      <c r="AW67" s="45">
        <f>VLOOKUP($B67,'[11]E.U.'!$R$9:$AZ$220,11,FALSE)</f>
        <v>2744.0701679640929</v>
      </c>
      <c r="AX67" s="252"/>
      <c r="AY67" s="45">
        <f>VLOOKUP($B67,'[12]E.U.'!$R$9:$AZ$220,11,FALSE)</f>
        <v>2592.9712604353426</v>
      </c>
      <c r="AZ67" s="45"/>
      <c r="BA67" s="45">
        <f>VLOOKUP($B67,'[13]E.U.'!$R$9:$AZ$221,11,FALSE)</f>
        <v>2611.5869266334198</v>
      </c>
      <c r="BB67" s="46">
        <f t="shared" si="6"/>
        <v>33192.039632736451</v>
      </c>
      <c r="BC67" s="47" t="e">
        <f>SUM(#REF!)</f>
        <v>#REF!</v>
      </c>
      <c r="BD67" s="43" t="e">
        <f>VLOOKUP(V67,[14]ELECTRIC!$C$1:$H$4000,6,FALSE)</f>
        <v>#N/A</v>
      </c>
      <c r="BE67" s="43" t="e">
        <f t="shared" si="10"/>
        <v>#N/A</v>
      </c>
      <c r="BF67" s="48">
        <f t="shared" si="3"/>
        <v>33192.039632736451</v>
      </c>
      <c r="BG67" s="49">
        <f t="shared" si="9"/>
        <v>57825.274760174434</v>
      </c>
      <c r="BH67" s="43" t="e">
        <f t="shared" si="11"/>
        <v>#REF!</v>
      </c>
      <c r="BI67" s="50" t="e">
        <f t="shared" si="12"/>
        <v>#REF!</v>
      </c>
      <c r="BJ67" s="51">
        <f t="shared" si="5"/>
        <v>2.0500049122926578E-2</v>
      </c>
      <c r="BK67" s="52"/>
      <c r="BL67" s="52"/>
      <c r="BM67" s="52"/>
      <c r="BN67" s="52"/>
      <c r="BO67" s="72"/>
      <c r="BP67" s="52"/>
      <c r="BQ67" s="52"/>
      <c r="BR67" s="50"/>
      <c r="BS67" s="75" t="s">
        <v>1555</v>
      </c>
      <c r="BT67" s="53"/>
      <c r="BU67" s="65"/>
      <c r="BV67" s="55"/>
      <c r="BW67" s="55"/>
      <c r="BX67" s="56"/>
      <c r="BY67" s="67"/>
      <c r="BZ67" s="58"/>
    </row>
    <row r="68" spans="1:79" ht="15.6" x14ac:dyDescent="0.3">
      <c r="A68" s="59" t="s">
        <v>694</v>
      </c>
      <c r="B68" s="38" t="s">
        <v>184</v>
      </c>
      <c r="C68" s="1" t="s">
        <v>185</v>
      </c>
      <c r="D68" s="39" t="s">
        <v>1556</v>
      </c>
      <c r="E68" s="40" t="s">
        <v>186</v>
      </c>
      <c r="F68" s="41" t="s">
        <v>758</v>
      </c>
      <c r="G68" s="42" t="s">
        <v>1557</v>
      </c>
      <c r="H68" s="42" t="s">
        <v>1557</v>
      </c>
      <c r="I68" s="42" t="s">
        <v>1557</v>
      </c>
      <c r="J68" s="42" t="s">
        <v>1558</v>
      </c>
      <c r="K68" s="42" t="s">
        <v>1559</v>
      </c>
      <c r="L68" s="42" t="s">
        <v>1560</v>
      </c>
      <c r="M68" s="42" t="s">
        <v>1561</v>
      </c>
      <c r="N68" s="42" t="s">
        <v>1562</v>
      </c>
      <c r="O68" s="42" t="s">
        <v>1563</v>
      </c>
      <c r="P68" s="42" t="s">
        <v>1564</v>
      </c>
      <c r="Q68" s="42" t="s">
        <v>1565</v>
      </c>
      <c r="R68" s="42" t="s">
        <v>1566</v>
      </c>
      <c r="S68" s="42" t="s">
        <v>1567</v>
      </c>
      <c r="T68" s="42" t="s">
        <v>1568</v>
      </c>
      <c r="U68" s="42" t="s">
        <v>1569</v>
      </c>
      <c r="V68" s="42" t="str">
        <f>VLOOKUP(D68,[1]ALL!$A$15:$Z$983,3,FALSE)</f>
        <v>SAL-EGW</v>
      </c>
      <c r="W68" s="43">
        <v>140013.28402648109</v>
      </c>
      <c r="X68" s="43">
        <v>91544.13949254711</v>
      </c>
      <c r="Y68" s="43">
        <v>78616.008282768162</v>
      </c>
      <c r="Z68" s="43">
        <v>79230.176071403839</v>
      </c>
      <c r="AA68" s="43">
        <v>76485.039999999994</v>
      </c>
      <c r="AB68" s="43">
        <v>75711.69</v>
      </c>
      <c r="AC68" s="43">
        <v>81131.39</v>
      </c>
      <c r="AD68" s="43">
        <v>85405.9</v>
      </c>
      <c r="AE68" s="43">
        <v>94643.21</v>
      </c>
      <c r="AF68" s="43">
        <v>98989.04</v>
      </c>
      <c r="AG68" s="43">
        <v>87420.69</v>
      </c>
      <c r="AH68" s="43">
        <v>91489.97</v>
      </c>
      <c r="AI68" s="43">
        <v>89409.54</v>
      </c>
      <c r="AJ68" s="43">
        <v>89020.02</v>
      </c>
      <c r="AK68" s="43">
        <v>78064.37</v>
      </c>
      <c r="AL68" s="44"/>
      <c r="AM68" s="45">
        <f>VLOOKUP($B68,'[2]E.U.'!$R$9:$AZ$205,11,FALSE)</f>
        <v>5592.36</v>
      </c>
      <c r="AN68" s="45">
        <f>VLOOKUP($B68,'[3]E.U.'!$R9:$AZ$225,11,FALSE)</f>
        <v>5533.55</v>
      </c>
      <c r="AO68" s="45">
        <f>VLOOKUP($B68,'[4]E.U.'!$R$9:$BZ$225,11,FALSE)</f>
        <v>5246.4460155557508</v>
      </c>
      <c r="AP68" s="45">
        <f>VLOOKUP($B68,'[5]E.U.'!$R$9:$BZ$225,11,FALSE)</f>
        <v>5296.2473143966499</v>
      </c>
      <c r="AQ68" s="45">
        <f>VLOOKUP($B68,'[6]E.U.'!$R$9:$CA$225,11,FALSE)</f>
        <v>6185.9654380602315</v>
      </c>
      <c r="AR68" s="45">
        <f>VLOOKUP($B68,'[7]E.U.'!$R$9:$AZ$225,11,FALSE)</f>
        <v>5734.0833226890936</v>
      </c>
      <c r="AS68" s="45">
        <f>VLOOKUP($B68,'[8]E.U.'!$R$9:$AZ$225,11,FALSE)</f>
        <v>6008.8425627122861</v>
      </c>
      <c r="AT68" s="45">
        <f>VLOOKUP($B68,'[9]E.U.'!$R$9:$AZ$221,11,FALSE)</f>
        <v>5051.0136912120233</v>
      </c>
      <c r="AU68" s="45"/>
      <c r="AV68" s="45">
        <f>VLOOKUP($B68,'[10]E.U.'!$R$9:$AZ$221,11,FALSE)</f>
        <v>5377.6882656984099</v>
      </c>
      <c r="AW68" s="45">
        <f>VLOOKUP($B68,'[11]E.U.'!$R$9:$AZ$220,11,FALSE)</f>
        <v>5446.8822310012301</v>
      </c>
      <c r="AX68" s="252"/>
      <c r="AY68" s="45">
        <f>VLOOKUP($B68,'[12]E.U.'!$R$9:$AZ$220,11,FALSE)</f>
        <v>5348.2296987540467</v>
      </c>
      <c r="AZ68" s="45"/>
      <c r="BA68" s="45">
        <f>VLOOKUP($B68,'[13]E.U.'!$R$9:$AZ$221,11,FALSE)</f>
        <v>5282.3110552261123</v>
      </c>
      <c r="BB68" s="46">
        <f t="shared" si="6"/>
        <v>66103.619595305834</v>
      </c>
      <c r="BC68" s="47" t="e">
        <f>SUM(#REF!)</f>
        <v>#REF!</v>
      </c>
      <c r="BD68" s="43" t="e">
        <f>VLOOKUP(V68,[14]ELECTRIC!$C$1:$H$4000,6,FALSE)</f>
        <v>#N/A</v>
      </c>
      <c r="BE68" s="43" t="e">
        <f t="shared" si="10"/>
        <v>#N/A</v>
      </c>
      <c r="BF68" s="48">
        <f t="shared" si="3"/>
        <v>66103.619595305834</v>
      </c>
      <c r="BG68" s="49">
        <f t="shared" si="9"/>
        <v>115161.94870925068</v>
      </c>
      <c r="BH68" s="43" t="e">
        <f t="shared" si="11"/>
        <v>#REF!</v>
      </c>
      <c r="BI68" s="50" t="e">
        <f t="shared" si="12"/>
        <v>#REF!</v>
      </c>
      <c r="BJ68" s="51">
        <f t="shared" si="5"/>
        <v>-0.15321651099847677</v>
      </c>
      <c r="BK68" s="52"/>
      <c r="BL68" s="52"/>
      <c r="BM68" s="52"/>
      <c r="BN68" s="52"/>
      <c r="BO68" s="72"/>
      <c r="BP68" s="52"/>
      <c r="BQ68" s="52"/>
      <c r="BR68" s="50"/>
      <c r="BS68" s="53"/>
      <c r="BT68" s="53"/>
      <c r="BU68" s="65"/>
      <c r="BV68" s="55"/>
      <c r="BW68" s="55"/>
      <c r="BX68" s="56"/>
      <c r="BY68" s="67"/>
      <c r="BZ68" s="58"/>
    </row>
    <row r="69" spans="1:79" ht="15.6" x14ac:dyDescent="0.3">
      <c r="A69" s="59" t="s">
        <v>694</v>
      </c>
      <c r="B69" s="38" t="s">
        <v>187</v>
      </c>
      <c r="C69" s="1" t="s">
        <v>188</v>
      </c>
      <c r="D69" s="39" t="s">
        <v>1570</v>
      </c>
      <c r="E69" s="40" t="s">
        <v>189</v>
      </c>
      <c r="F69" s="41">
        <v>0</v>
      </c>
      <c r="G69" s="42" t="s">
        <v>1571</v>
      </c>
      <c r="H69" s="42" t="s">
        <v>1571</v>
      </c>
      <c r="I69" s="42" t="s">
        <v>1571</v>
      </c>
      <c r="J69" s="42" t="s">
        <v>1572</v>
      </c>
      <c r="K69" s="42" t="s">
        <v>1573</v>
      </c>
      <c r="L69" s="42" t="s">
        <v>1574</v>
      </c>
      <c r="M69" s="42" t="s">
        <v>1575</v>
      </c>
      <c r="N69" s="42" t="s">
        <v>1576</v>
      </c>
      <c r="O69" s="42" t="s">
        <v>1577</v>
      </c>
      <c r="P69" s="42" t="s">
        <v>1578</v>
      </c>
      <c r="Q69" s="42" t="s">
        <v>1579</v>
      </c>
      <c r="R69" s="42" t="s">
        <v>1580</v>
      </c>
      <c r="S69" s="42" t="s">
        <v>1581</v>
      </c>
      <c r="T69" s="42" t="s">
        <v>1582</v>
      </c>
      <c r="U69" s="42" t="s">
        <v>1583</v>
      </c>
      <c r="V69" s="42" t="str">
        <f>VLOOKUP(D69,[1]ALL!$A$15:$Z$983,3,FALSE)</f>
        <v>DRC-EGW</v>
      </c>
      <c r="W69" s="43">
        <v>6903.8333069828468</v>
      </c>
      <c r="X69" s="43">
        <v>7091.5416377850688</v>
      </c>
      <c r="Y69" s="43">
        <v>5564.6078721648128</v>
      </c>
      <c r="Z69" s="43">
        <v>7478.4089229136916</v>
      </c>
      <c r="AA69" s="43">
        <v>9376.9</v>
      </c>
      <c r="AB69" s="43">
        <v>7140.06</v>
      </c>
      <c r="AC69" s="43">
        <v>7156.44</v>
      </c>
      <c r="AD69" s="43">
        <v>7537.96</v>
      </c>
      <c r="AE69" s="43">
        <v>6924.06</v>
      </c>
      <c r="AF69" s="43">
        <v>6918.29</v>
      </c>
      <c r="AG69" s="43">
        <v>7848.16</v>
      </c>
      <c r="AH69" s="43">
        <v>8335.7800000000007</v>
      </c>
      <c r="AI69" s="43">
        <v>8182.66</v>
      </c>
      <c r="AJ69" s="43">
        <v>8803.06</v>
      </c>
      <c r="AK69" s="43">
        <v>9883.4</v>
      </c>
      <c r="AL69" s="44"/>
      <c r="AM69" s="45">
        <f>VLOOKUP($B69,'[2]E.U.'!$R$9:$AZ$205,11,FALSE)</f>
        <v>718.35</v>
      </c>
      <c r="AN69" s="45">
        <f>VLOOKUP($B69,'[3]E.U.'!$R9:$AZ$225,11,FALSE)</f>
        <v>2.46</v>
      </c>
      <c r="AO69" s="45">
        <f>VLOOKUP($B69,'[4]E.U.'!$R$9:$BZ$225,11,FALSE)</f>
        <v>692.58521172263636</v>
      </c>
      <c r="AP69" s="45">
        <f>VLOOKUP($B69,'[5]E.U.'!$R$9:$BZ$225,11,FALSE)</f>
        <v>1015.0511396567798</v>
      </c>
      <c r="AQ69" s="45">
        <f>VLOOKUP($B69,'[6]E.U.'!$R$9:$CA$225,11,FALSE)</f>
        <v>1078.059206394063</v>
      </c>
      <c r="AR69" s="45">
        <f>VLOOKUP($B69,'[7]E.U.'!$R$9:$AZ$225,11,FALSE)</f>
        <v>853.5952079165229</v>
      </c>
      <c r="AS69" s="45">
        <f>VLOOKUP($B69,'[8]E.U.'!$R$9:$AZ$225,11,FALSE)</f>
        <v>775.88996142739757</v>
      </c>
      <c r="AT69" s="45">
        <f>VLOOKUP($B69,'[9]E.U.'!$R$9:$AZ$221,11,FALSE)</f>
        <v>584.14919414403437</v>
      </c>
      <c r="AU69" s="45"/>
      <c r="AV69" s="45">
        <f>VLOOKUP($B69,'[10]E.U.'!$R$9:$AZ$221,11,FALSE)</f>
        <v>617.17431885002645</v>
      </c>
      <c r="AW69" s="45">
        <f>VLOOKUP($B69,'[11]E.U.'!$R$9:$AZ$220,11,FALSE)</f>
        <v>700.57540311515766</v>
      </c>
      <c r="AX69" s="252"/>
      <c r="AY69" s="45">
        <f>VLOOKUP($B69,'[12]E.U.'!$R$9:$AZ$220,11,FALSE)</f>
        <v>780.07090578958093</v>
      </c>
      <c r="AZ69" s="45"/>
      <c r="BA69" s="45">
        <f>VLOOKUP($B69,'[13]E.U.'!$R$9:$AZ$221,11,FALSE)</f>
        <v>770.44870563471068</v>
      </c>
      <c r="BB69" s="46">
        <f t="shared" si="6"/>
        <v>8588.4092546509091</v>
      </c>
      <c r="BC69" s="47" t="e">
        <f>SUM(#REF!)</f>
        <v>#REF!</v>
      </c>
      <c r="BD69" s="43" t="e">
        <f>VLOOKUP(V69,[14]ELECTRIC!$C$1:$H$4000,6,FALSE)</f>
        <v>#N/A</v>
      </c>
      <c r="BE69" s="43" t="e">
        <f t="shared" si="10"/>
        <v>#N/A</v>
      </c>
      <c r="BF69" s="48">
        <f t="shared" si="3"/>
        <v>8588.4092546509091</v>
      </c>
      <c r="BG69" s="49">
        <f t="shared" si="9"/>
        <v>14962.235837209691</v>
      </c>
      <c r="BH69" s="43" t="e">
        <f t="shared" si="11"/>
        <v>#REF!</v>
      </c>
      <c r="BI69" s="50" t="e">
        <f t="shared" si="12"/>
        <v>#REF!</v>
      </c>
      <c r="BJ69" s="51">
        <f t="shared" si="5"/>
        <v>-0.13102684757766458</v>
      </c>
      <c r="BK69" s="52"/>
      <c r="BL69" s="52"/>
      <c r="BM69" s="52"/>
      <c r="BN69" s="52"/>
      <c r="BO69" s="72"/>
      <c r="BP69" s="52"/>
      <c r="BQ69" s="52"/>
      <c r="BR69" s="50"/>
      <c r="BS69" s="53"/>
      <c r="BT69" s="53"/>
      <c r="BU69" s="65" t="s">
        <v>1584</v>
      </c>
      <c r="BV69" s="55"/>
      <c r="BW69" s="55"/>
      <c r="BX69" s="56"/>
      <c r="BY69" s="67"/>
      <c r="BZ69" s="58"/>
    </row>
    <row r="70" spans="1:79" ht="15.6" x14ac:dyDescent="0.3">
      <c r="A70" s="59" t="s">
        <v>1222</v>
      </c>
      <c r="B70" s="38" t="s">
        <v>190</v>
      </c>
      <c r="C70" s="1" t="s">
        <v>191</v>
      </c>
      <c r="D70" s="39" t="s">
        <v>1585</v>
      </c>
      <c r="E70" s="40" t="s">
        <v>192</v>
      </c>
      <c r="F70" s="41">
        <v>0</v>
      </c>
      <c r="G70" s="42" t="s">
        <v>1586</v>
      </c>
      <c r="H70" s="42" t="s">
        <v>1586</v>
      </c>
      <c r="I70" s="42" t="s">
        <v>1586</v>
      </c>
      <c r="J70" s="42" t="s">
        <v>1587</v>
      </c>
      <c r="K70" s="42" t="s">
        <v>1588</v>
      </c>
      <c r="L70" s="42" t="s">
        <v>1589</v>
      </c>
      <c r="M70" s="42" t="s">
        <v>1590</v>
      </c>
      <c r="N70" s="42" t="s">
        <v>1591</v>
      </c>
      <c r="O70" s="42" t="s">
        <v>1592</v>
      </c>
      <c r="P70" s="42" t="s">
        <v>1593</v>
      </c>
      <c r="Q70" s="42" t="s">
        <v>1594</v>
      </c>
      <c r="R70" s="42" t="s">
        <v>1595</v>
      </c>
      <c r="S70" s="42" t="s">
        <v>1596</v>
      </c>
      <c r="T70" s="42" t="s">
        <v>1597</v>
      </c>
      <c r="U70" s="42" t="s">
        <v>1598</v>
      </c>
      <c r="V70" s="42" t="str">
        <f>VLOOKUP(D70,[1]ALL!$A$15:$Z$983,3,FALSE)</f>
        <v>TYL-EGW</v>
      </c>
      <c r="W70" s="43">
        <v>20294.2</v>
      </c>
      <c r="X70" s="43">
        <v>23087.88</v>
      </c>
      <c r="Y70" s="43">
        <v>23606.07</v>
      </c>
      <c r="Z70" s="43">
        <v>26017.919999999998</v>
      </c>
      <c r="AA70" s="43">
        <v>29183.14</v>
      </c>
      <c r="AB70" s="43">
        <v>25053.23</v>
      </c>
      <c r="AC70" s="43">
        <v>27099.119999999999</v>
      </c>
      <c r="AD70" s="43">
        <v>21464.2</v>
      </c>
      <c r="AE70" s="43">
        <v>30089.06</v>
      </c>
      <c r="AF70" s="43">
        <v>32513.11</v>
      </c>
      <c r="AG70" s="43">
        <v>32363.86</v>
      </c>
      <c r="AH70" s="43">
        <v>39186.019999999997</v>
      </c>
      <c r="AI70" s="43">
        <v>35539.81</v>
      </c>
      <c r="AJ70" s="43">
        <v>39372.050000000003</v>
      </c>
      <c r="AK70" s="43">
        <v>41740.9</v>
      </c>
      <c r="AL70" s="44"/>
      <c r="AM70" s="45">
        <f>VLOOKUP($B70,'[2]E.U.'!$R$9:$AZ$205,11,FALSE)</f>
        <v>3128.27</v>
      </c>
      <c r="AN70" s="45">
        <f>VLOOKUP($B70,'[3]E.U.'!$R9:$AZ$225,11,FALSE)</f>
        <v>0</v>
      </c>
      <c r="AO70" s="45">
        <f>VLOOKUP($B70,'[4]E.U.'!$R$9:$BZ$225,11,FALSE)</f>
        <v>3997.3499999999995</v>
      </c>
      <c r="AP70" s="45">
        <f>VLOOKUP($B70,'[5]E.U.'!$R$9:$BZ$225,11,FALSE)</f>
        <v>8489.14</v>
      </c>
      <c r="AQ70" s="45">
        <f>VLOOKUP($B70,'[6]E.U.'!$R$9:$CA$225,11,FALSE)</f>
        <v>4162.1000000000004</v>
      </c>
      <c r="AR70" s="45">
        <f>VLOOKUP($B70,'[7]E.U.'!$R$9:$AZ$225,11,FALSE)</f>
        <v>3378.48</v>
      </c>
      <c r="AS70" s="45">
        <f>VLOOKUP($B70,'[8]E.U.'!$R$9:$AZ$225,11,FALSE)</f>
        <v>0</v>
      </c>
      <c r="AT70" s="45">
        <f>VLOOKUP($B70,'[9]E.U.'!$R$9:$AZ$221,11,FALSE)</f>
        <v>2797.33</v>
      </c>
      <c r="AU70" s="45"/>
      <c r="AV70" s="45">
        <f>VLOOKUP($B70,'[10]E.U.'!$R$9:$AZ$221,11,FALSE)</f>
        <v>2433.2399999999998</v>
      </c>
      <c r="AW70" s="45">
        <f>VLOOKUP($B70,'[11]E.U.'!$R$9:$AZ$220,11,FALSE)</f>
        <v>2825.62</v>
      </c>
      <c r="AX70" s="45"/>
      <c r="AY70" s="45">
        <f>VLOOKUP($B70,'[12]E.U.'!$R$9:$AZ$220,11,FALSE)</f>
        <v>2569.44</v>
      </c>
      <c r="AZ70" s="45"/>
      <c r="BA70" s="45">
        <f>VLOOKUP($B70,'[13]E.U.'!$R$9:$AZ$221,11,FALSE)</f>
        <v>2685.79</v>
      </c>
      <c r="BB70" s="46">
        <f t="shared" si="6"/>
        <v>36466.759999999995</v>
      </c>
      <c r="BC70" s="47" t="e">
        <f>SUM(#REF!)</f>
        <v>#REF!</v>
      </c>
      <c r="BD70" s="43" t="e">
        <f>VLOOKUP(V70,[14]ELECTRIC!$C$1:$H$4000,6,FALSE)</f>
        <v>#N/A</v>
      </c>
      <c r="BE70" s="43" t="e">
        <f t="shared" si="10"/>
        <v>#N/A</v>
      </c>
      <c r="BF70" s="48">
        <f t="shared" si="3"/>
        <v>36466.759999999995</v>
      </c>
      <c r="BG70" s="49">
        <f t="shared" si="9"/>
        <v>63530.305457142851</v>
      </c>
      <c r="BH70" s="43" t="e">
        <f t="shared" si="11"/>
        <v>#REF!</v>
      </c>
      <c r="BI70" s="50" t="e">
        <f t="shared" si="12"/>
        <v>#REF!</v>
      </c>
      <c r="BJ70" s="51">
        <f t="shared" si="5"/>
        <v>-0.12635424727305844</v>
      </c>
      <c r="BK70" s="52"/>
      <c r="BL70" s="52"/>
      <c r="BM70" s="52"/>
      <c r="BN70" s="52"/>
      <c r="BO70" s="72"/>
      <c r="BP70" s="52"/>
      <c r="BQ70" s="52"/>
      <c r="BR70" s="50"/>
      <c r="BS70" s="53"/>
      <c r="BT70" s="53"/>
      <c r="BU70" s="65"/>
      <c r="BV70" s="55"/>
      <c r="BW70" s="55"/>
      <c r="BX70" s="56"/>
      <c r="BY70" s="67"/>
      <c r="BZ70" s="58"/>
    </row>
    <row r="71" spans="1:79" ht="15.6" x14ac:dyDescent="0.3">
      <c r="A71" s="59" t="s">
        <v>694</v>
      </c>
      <c r="B71" s="38" t="s">
        <v>193</v>
      </c>
      <c r="C71" s="1" t="s">
        <v>194</v>
      </c>
      <c r="D71" s="39" t="s">
        <v>1599</v>
      </c>
      <c r="E71" s="40" t="s">
        <v>195</v>
      </c>
      <c r="F71" s="41">
        <v>0</v>
      </c>
      <c r="G71" s="42" t="s">
        <v>1600</v>
      </c>
      <c r="H71" s="42" t="s">
        <v>1600</v>
      </c>
      <c r="I71" s="42" t="s">
        <v>1600</v>
      </c>
      <c r="J71" s="42" t="s">
        <v>1601</v>
      </c>
      <c r="K71" s="42" t="s">
        <v>1602</v>
      </c>
      <c r="L71" s="42" t="s">
        <v>1603</v>
      </c>
      <c r="M71" s="42" t="s">
        <v>1604</v>
      </c>
      <c r="N71" s="42" t="s">
        <v>1605</v>
      </c>
      <c r="O71" s="42" t="s">
        <v>1606</v>
      </c>
      <c r="P71" s="42" t="s">
        <v>1607</v>
      </c>
      <c r="Q71" s="42" t="s">
        <v>1608</v>
      </c>
      <c r="R71" s="42" t="s">
        <v>1609</v>
      </c>
      <c r="S71" s="42" t="s">
        <v>1610</v>
      </c>
      <c r="T71" s="42" t="s">
        <v>1611</v>
      </c>
      <c r="U71" s="42" t="s">
        <v>1612</v>
      </c>
      <c r="V71" s="42" t="str">
        <f>VLOOKUP(D71,[1]ALL!$A$15:$Z$983,3,FALSE)</f>
        <v>RHM-EGW</v>
      </c>
      <c r="W71" s="43">
        <v>11582.85991055028</v>
      </c>
      <c r="X71" s="43">
        <v>11721.495862590687</v>
      </c>
      <c r="Y71" s="43">
        <v>10962.673096564547</v>
      </c>
      <c r="Z71" s="43">
        <v>10567.297317235476</v>
      </c>
      <c r="AA71" s="43">
        <v>10017.030000000001</v>
      </c>
      <c r="AB71" s="43">
        <v>10276.719999999999</v>
      </c>
      <c r="AC71" s="43">
        <v>11566.17</v>
      </c>
      <c r="AD71" s="43">
        <v>11342.5</v>
      </c>
      <c r="AE71" s="43">
        <v>12921.21</v>
      </c>
      <c r="AF71" s="43">
        <v>12994.01</v>
      </c>
      <c r="AG71" s="43">
        <v>13573.93</v>
      </c>
      <c r="AH71" s="43">
        <v>14387.17</v>
      </c>
      <c r="AI71" s="43">
        <v>13792.12</v>
      </c>
      <c r="AJ71" s="43">
        <v>15680.26</v>
      </c>
      <c r="AK71" s="43">
        <v>16226.48</v>
      </c>
      <c r="AL71" s="44"/>
      <c r="AM71" s="45">
        <f>VLOOKUP($B71,'[2]E.U.'!$R$9:$AZ$205,11,FALSE)</f>
        <v>1010.05</v>
      </c>
      <c r="AN71" s="45">
        <f>VLOOKUP($B71,'[3]E.U.'!$R9:$AZ$225,11,FALSE)</f>
        <v>501.05</v>
      </c>
      <c r="AO71" s="45">
        <f>VLOOKUP($B71,'[4]E.U.'!$R$9:$BZ$225,11,FALSE)</f>
        <v>425.3884025827229</v>
      </c>
      <c r="AP71" s="45">
        <f>VLOOKUP($B71,'[5]E.U.'!$R$9:$BZ$225,11,FALSE)</f>
        <v>741.91464272649603</v>
      </c>
      <c r="AQ71" s="45">
        <f>VLOOKUP($B71,'[6]E.U.'!$R$9:$CA$225,11,FALSE)</f>
        <v>1069.2842750687389</v>
      </c>
      <c r="AR71" s="45">
        <f>VLOOKUP($B71,'[7]E.U.'!$R$9:$AZ$225,11,FALSE)</f>
        <v>1088.8350200530153</v>
      </c>
      <c r="AS71" s="45">
        <f>VLOOKUP($B71,'[8]E.U.'!$R$9:$AZ$225,11,FALSE)</f>
        <v>1171.5255773149368</v>
      </c>
      <c r="AT71" s="45">
        <f>VLOOKUP($B71,'[9]E.U.'!$R$9:$AZ$221,11,FALSE)</f>
        <v>970.60563910184408</v>
      </c>
      <c r="AU71" s="45"/>
      <c r="AV71" s="45">
        <f>VLOOKUP($B71,'[10]E.U.'!$R$9:$AZ$221,11,FALSE)</f>
        <v>1086.0595372023233</v>
      </c>
      <c r="AW71" s="45">
        <f>VLOOKUP($B71,'[11]E.U.'!$R$9:$AZ$220,11,FALSE)</f>
        <v>1151.5040609964265</v>
      </c>
      <c r="AX71" s="252"/>
      <c r="AY71" s="45">
        <f>VLOOKUP($B71,'[12]E.U.'!$R$9:$AZ$220,11,FALSE)</f>
        <v>1080.4272404678131</v>
      </c>
      <c r="AZ71" s="45"/>
      <c r="BA71" s="45">
        <f>VLOOKUP($B71,'[13]E.U.'!$R$9:$AZ$221,11,FALSE)</f>
        <v>1046.316923145012</v>
      </c>
      <c r="BB71" s="46">
        <f t="shared" si="6"/>
        <v>11342.961318659327</v>
      </c>
      <c r="BC71" s="47" t="e">
        <f>SUM(#REF!)</f>
        <v>#REF!</v>
      </c>
      <c r="BD71" s="43" t="e">
        <f>VLOOKUP(V71,[14]ELECTRIC!$C$1:$H$4000,6,FALSE)</f>
        <v>#N/A</v>
      </c>
      <c r="BE71" s="43" t="e">
        <f t="shared" si="10"/>
        <v>#N/A</v>
      </c>
      <c r="BF71" s="48">
        <f t="shared" si="3"/>
        <v>11342.961318659327</v>
      </c>
      <c r="BG71" s="49">
        <f t="shared" si="9"/>
        <v>19761.05904015007</v>
      </c>
      <c r="BH71" s="43" t="e">
        <f t="shared" si="11"/>
        <v>#REF!</v>
      </c>
      <c r="BI71" s="50" t="e">
        <f t="shared" si="12"/>
        <v>#REF!</v>
      </c>
      <c r="BJ71" s="51">
        <f t="shared" si="5"/>
        <v>-0.30095983117353076</v>
      </c>
      <c r="BK71" s="52"/>
      <c r="BL71" s="52"/>
      <c r="BM71" s="52"/>
      <c r="BN71" s="52"/>
      <c r="BO71" s="72"/>
      <c r="BP71" s="52"/>
      <c r="BQ71" s="52"/>
      <c r="BR71" s="50" t="s">
        <v>753</v>
      </c>
      <c r="BS71" s="53"/>
      <c r="BT71" s="53"/>
      <c r="BU71" s="65"/>
      <c r="BV71" s="55"/>
      <c r="BW71" s="55"/>
      <c r="BX71" s="56"/>
      <c r="BY71" s="67"/>
      <c r="BZ71" s="58"/>
    </row>
    <row r="72" spans="1:79" ht="15.6" x14ac:dyDescent="0.3">
      <c r="A72" s="59" t="s">
        <v>694</v>
      </c>
      <c r="B72" s="38" t="s">
        <v>196</v>
      </c>
      <c r="C72" s="1" t="s">
        <v>197</v>
      </c>
      <c r="D72" s="39" t="s">
        <v>1613</v>
      </c>
      <c r="E72" s="40" t="s">
        <v>198</v>
      </c>
      <c r="F72" s="41">
        <v>0</v>
      </c>
      <c r="G72" s="42" t="s">
        <v>1614</v>
      </c>
      <c r="H72" s="42" t="s">
        <v>1614</v>
      </c>
      <c r="I72" s="42" t="s">
        <v>1614</v>
      </c>
      <c r="J72" s="42" t="s">
        <v>1615</v>
      </c>
      <c r="K72" s="42" t="s">
        <v>1616</v>
      </c>
      <c r="L72" s="42" t="s">
        <v>1617</v>
      </c>
      <c r="M72" s="42" t="s">
        <v>1618</v>
      </c>
      <c r="N72" s="42" t="s">
        <v>1619</v>
      </c>
      <c r="O72" s="42" t="s">
        <v>1620</v>
      </c>
      <c r="P72" s="42" t="s">
        <v>1621</v>
      </c>
      <c r="Q72" s="42" t="s">
        <v>1622</v>
      </c>
      <c r="R72" s="42" t="s">
        <v>1623</v>
      </c>
      <c r="S72" s="42" t="s">
        <v>1624</v>
      </c>
      <c r="T72" s="42" t="s">
        <v>1625</v>
      </c>
      <c r="U72" s="42" t="s">
        <v>1626</v>
      </c>
      <c r="V72" s="42" t="str">
        <f>VLOOKUP(D72,[1]ALL!$A$15:$Z$983,3,FALSE)</f>
        <v>BIT-EGW</v>
      </c>
      <c r="W72" s="43">
        <v>29094.486478735515</v>
      </c>
      <c r="X72" s="43">
        <v>24578.662432309255</v>
      </c>
      <c r="Y72" s="43">
        <v>23688.848256088389</v>
      </c>
      <c r="Z72" s="43">
        <v>26730.812792592154</v>
      </c>
      <c r="AA72" s="43">
        <v>27451.42</v>
      </c>
      <c r="AB72" s="43">
        <v>29418.720000000001</v>
      </c>
      <c r="AC72" s="43">
        <v>26356.22</v>
      </c>
      <c r="AD72" s="43">
        <v>26752.07</v>
      </c>
      <c r="AE72" s="43">
        <v>31331.14</v>
      </c>
      <c r="AF72" s="43">
        <v>34044.639999999999</v>
      </c>
      <c r="AG72" s="43">
        <v>31268.52</v>
      </c>
      <c r="AH72" s="43">
        <v>34753.550000000003</v>
      </c>
      <c r="AI72" s="43">
        <v>35675.67</v>
      </c>
      <c r="AJ72" s="43">
        <v>37073</v>
      </c>
      <c r="AK72" s="43">
        <v>43321.34</v>
      </c>
      <c r="AL72" s="44"/>
      <c r="AM72" s="45">
        <f>VLOOKUP($B72,'[2]E.U.'!$R$9:$AZ$205,11,FALSE)</f>
        <v>2914.34</v>
      </c>
      <c r="AN72" s="45">
        <f>VLOOKUP($B72,'[3]E.U.'!$R9:$AZ$225,11,FALSE)</f>
        <v>3421.99</v>
      </c>
      <c r="AO72" s="45">
        <f>VLOOKUP($B72,'[4]E.U.'!$R$9:$BZ$225,11,FALSE)</f>
        <v>2378.0195994591691</v>
      </c>
      <c r="AP72" s="45">
        <f>VLOOKUP($B72,'[5]E.U.'!$R$9:$BZ$225,11,FALSE)</f>
        <v>2533.6075626022534</v>
      </c>
      <c r="AQ72" s="45">
        <f>VLOOKUP($B72,'[6]E.U.'!$R$9:$CA$225,11,FALSE)</f>
        <v>3044.7311349937663</v>
      </c>
      <c r="AR72" s="45">
        <f>VLOOKUP($B72,'[7]E.U.'!$R$9:$AZ$225,11,FALSE)</f>
        <v>3258.7467344723486</v>
      </c>
      <c r="AS72" s="45">
        <f>VLOOKUP($B72,'[8]E.U.'!$R$9:$AZ$225,11,FALSE)</f>
        <v>3695.1808649549748</v>
      </c>
      <c r="AT72" s="45">
        <f>VLOOKUP($B72,'[9]E.U.'!$R$9:$AZ$221,11,FALSE)</f>
        <v>2039.0687268750398</v>
      </c>
      <c r="AU72" s="45"/>
      <c r="AV72" s="45">
        <f>VLOOKUP($B72,'[10]E.U.'!$R$9:$AZ$221,11,FALSE)</f>
        <v>2296.0889406248984</v>
      </c>
      <c r="AW72" s="45">
        <f>VLOOKUP($B72,'[11]E.U.'!$R$9:$AZ$220,11,FALSE)</f>
        <v>2675.9325393432528</v>
      </c>
      <c r="AX72" s="252"/>
      <c r="AY72" s="45">
        <f>VLOOKUP($B72,'[12]E.U.'!$R$9:$AZ$220,11,FALSE)</f>
        <v>2650.0835356139833</v>
      </c>
      <c r="AZ72" s="45"/>
      <c r="BA72" s="45">
        <f>VLOOKUP($B72,'[13]E.U.'!$R$9:$AZ$221,11,FALSE)</f>
        <v>2759.0925541641645</v>
      </c>
      <c r="BB72" s="46">
        <f t="shared" si="6"/>
        <v>33666.882193103847</v>
      </c>
      <c r="BC72" s="47" t="e">
        <f>SUM(#REF!)</f>
        <v>#REF!</v>
      </c>
      <c r="BD72" s="43" t="e">
        <f>VLOOKUP(V72,[14]ELECTRIC!$C$1:$H$4000,6,FALSE)</f>
        <v>#N/A</v>
      </c>
      <c r="BE72" s="43" t="e">
        <f t="shared" si="10"/>
        <v>#N/A</v>
      </c>
      <c r="BF72" s="48">
        <f t="shared" si="3"/>
        <v>33666.882193103847</v>
      </c>
      <c r="BG72" s="49">
        <f t="shared" si="9"/>
        <v>58652.518334985914</v>
      </c>
      <c r="BH72" s="43" t="e">
        <f t="shared" si="11"/>
        <v>#REF!</v>
      </c>
      <c r="BI72" s="50" t="e">
        <f t="shared" si="12"/>
        <v>#REF!</v>
      </c>
      <c r="BJ72" s="51">
        <f t="shared" ref="BJ72:BJ135" si="13">IF(OR(AK72=0,BF72=0),0,ABS(BF72/AK72)-1)</f>
        <v>-0.22285686008087813</v>
      </c>
      <c r="BK72" s="52"/>
      <c r="BL72" s="52"/>
      <c r="BM72" s="52"/>
      <c r="BN72" s="52"/>
      <c r="BO72" s="72" t="s">
        <v>1627</v>
      </c>
      <c r="BP72" s="52"/>
      <c r="BQ72" s="52"/>
      <c r="BR72" s="50"/>
      <c r="BS72" s="75" t="s">
        <v>1555</v>
      </c>
      <c r="BT72" s="53"/>
      <c r="BU72" s="65"/>
      <c r="BV72" s="55"/>
      <c r="BW72" s="55"/>
      <c r="BX72" s="56"/>
      <c r="BY72" s="67"/>
      <c r="BZ72" s="58"/>
    </row>
    <row r="73" spans="1:79" ht="15.6" x14ac:dyDescent="0.3">
      <c r="A73" s="59" t="s">
        <v>694</v>
      </c>
      <c r="B73" s="38" t="s">
        <v>199</v>
      </c>
      <c r="C73" s="1" t="s">
        <v>200</v>
      </c>
      <c r="D73" s="39" t="s">
        <v>1628</v>
      </c>
      <c r="E73" s="40" t="s">
        <v>201</v>
      </c>
      <c r="F73" s="41">
        <v>0</v>
      </c>
      <c r="G73" s="42" t="s">
        <v>1629</v>
      </c>
      <c r="H73" s="42" t="s">
        <v>1629</v>
      </c>
      <c r="I73" s="42" t="s">
        <v>1629</v>
      </c>
      <c r="J73" s="42" t="s">
        <v>1630</v>
      </c>
      <c r="K73" s="42" t="s">
        <v>1631</v>
      </c>
      <c r="L73" s="42" t="s">
        <v>1632</v>
      </c>
      <c r="M73" s="42" t="s">
        <v>1633</v>
      </c>
      <c r="N73" s="42" t="s">
        <v>1634</v>
      </c>
      <c r="O73" s="42" t="s">
        <v>1635</v>
      </c>
      <c r="P73" s="42" t="s">
        <v>1636</v>
      </c>
      <c r="Q73" s="42" t="s">
        <v>1637</v>
      </c>
      <c r="R73" s="42" t="s">
        <v>1638</v>
      </c>
      <c r="S73" s="42" t="s">
        <v>1639</v>
      </c>
      <c r="T73" s="42" t="s">
        <v>1640</v>
      </c>
      <c r="U73" s="42" t="s">
        <v>1641</v>
      </c>
      <c r="V73" s="42" t="str">
        <f>VLOOKUP(D73,[1]ALL!$A$15:$Z$983,3,FALSE)</f>
        <v>MUS-EGW</v>
      </c>
      <c r="W73" s="43">
        <v>59338.205434959047</v>
      </c>
      <c r="X73" s="43">
        <v>63353.737291875092</v>
      </c>
      <c r="Y73" s="43">
        <v>58510.752684991683</v>
      </c>
      <c r="Z73" s="43">
        <v>64248.628698905108</v>
      </c>
      <c r="AA73" s="43">
        <v>63619.75</v>
      </c>
      <c r="AB73" s="43">
        <v>61422.51</v>
      </c>
      <c r="AC73" s="43">
        <v>63419.12</v>
      </c>
      <c r="AD73" s="43">
        <v>62302.42</v>
      </c>
      <c r="AE73" s="43">
        <v>77857.61</v>
      </c>
      <c r="AF73" s="43">
        <v>65221.96</v>
      </c>
      <c r="AG73" s="43">
        <v>50771.22</v>
      </c>
      <c r="AH73" s="43">
        <v>52723.86</v>
      </c>
      <c r="AI73" s="43">
        <v>54779.47</v>
      </c>
      <c r="AJ73" s="43">
        <v>67399.98</v>
      </c>
      <c r="AK73" s="43">
        <v>78120.31</v>
      </c>
      <c r="AL73" s="44"/>
      <c r="AM73" s="45">
        <f>VLOOKUP($B73,'[2]E.U.'!$R$9:$AZ$205,11,FALSE)</f>
        <v>5594.8</v>
      </c>
      <c r="AN73" s="45">
        <f>VLOOKUP($B73,'[3]E.U.'!$R9:$AZ$225,11,FALSE)</f>
        <v>5617.38</v>
      </c>
      <c r="AO73" s="45">
        <f>VLOOKUP($B73,'[4]E.U.'!$R$9:$BZ$225,11,FALSE)</f>
        <v>5084.6308692243147</v>
      </c>
      <c r="AP73" s="45">
        <f>VLOOKUP($B73,'[5]E.U.'!$R$9:$BZ$225,11,FALSE)</f>
        <v>5332.3221148363191</v>
      </c>
      <c r="AQ73" s="45">
        <f>VLOOKUP($B73,'[6]E.U.'!$R$9:$CA$225,11,FALSE)</f>
        <v>6186.4556773705372</v>
      </c>
      <c r="AR73" s="45">
        <f>VLOOKUP($B73,'[7]E.U.'!$R$9:$AZ$225,11,FALSE)</f>
        <v>6102.7029842930278</v>
      </c>
      <c r="AS73" s="45">
        <f>VLOOKUP($B73,'[8]E.U.'!$R$9:$AZ$225,11,FALSE)</f>
        <v>6895.7063175064204</v>
      </c>
      <c r="AT73" s="45">
        <f>VLOOKUP($B73,'[9]E.U.'!$R$9:$AZ$221,11,FALSE)</f>
        <v>6220.9506154695955</v>
      </c>
      <c r="AU73" s="45"/>
      <c r="AV73" s="45">
        <f>VLOOKUP($B73,'[10]E.U.'!$R$9:$AZ$221,11,FALSE)</f>
        <v>6154.4942021050319</v>
      </c>
      <c r="AW73" s="45">
        <f>VLOOKUP($B73,'[11]E.U.'!$R$9:$AZ$220,11,FALSE)</f>
        <v>5595.3775248245565</v>
      </c>
      <c r="AX73" s="252"/>
      <c r="AY73" s="45">
        <f>VLOOKUP($B73,'[12]E.U.'!$R$9:$AZ$220,11,FALSE)</f>
        <v>5420.4057131018762</v>
      </c>
      <c r="AZ73" s="45"/>
      <c r="BA73" s="45">
        <f>VLOOKUP($B73,'[13]E.U.'!$R$9:$AZ$221,11,FALSE)</f>
        <v>5037.6042364517025</v>
      </c>
      <c r="BB73" s="46">
        <f t="shared" si="6"/>
        <v>69242.830255183377</v>
      </c>
      <c r="BC73" s="47" t="e">
        <f>SUM(#REF!)</f>
        <v>#REF!</v>
      </c>
      <c r="BD73" s="43" t="e">
        <f>VLOOKUP(V73,[14]ELECTRIC!$C$1:$H$4000,6,FALSE)</f>
        <v>#N/A</v>
      </c>
      <c r="BE73" s="43" t="e">
        <f t="shared" si="10"/>
        <v>#N/A</v>
      </c>
      <c r="BF73" s="48">
        <f t="shared" ref="BF73:BF136" si="14">BB73*(12/$BC$5)</f>
        <v>69242.830255183377</v>
      </c>
      <c r="BG73" s="49">
        <f t="shared" si="9"/>
        <v>120630.90213742304</v>
      </c>
      <c r="BH73" s="43" t="e">
        <f t="shared" si="11"/>
        <v>#REF!</v>
      </c>
      <c r="BI73" s="50" t="e">
        <f t="shared" si="12"/>
        <v>#REF!</v>
      </c>
      <c r="BJ73" s="51">
        <f t="shared" si="13"/>
        <v>-0.11363856268384775</v>
      </c>
      <c r="BK73" s="52"/>
      <c r="BL73" s="52"/>
      <c r="BM73" s="52"/>
      <c r="BN73" s="52"/>
      <c r="BO73" s="72"/>
      <c r="BP73" s="52"/>
      <c r="BQ73" s="52"/>
      <c r="BR73" s="50"/>
      <c r="BS73" s="53"/>
      <c r="BT73" s="53"/>
      <c r="BU73" s="65"/>
      <c r="BV73" s="55"/>
      <c r="BW73" s="55"/>
      <c r="BX73" s="56"/>
      <c r="BY73" s="57" t="s">
        <v>1296</v>
      </c>
      <c r="BZ73" s="58"/>
    </row>
    <row r="74" spans="1:79" ht="15" customHeight="1" x14ac:dyDescent="0.3">
      <c r="A74" s="59" t="s">
        <v>694</v>
      </c>
      <c r="B74" s="38" t="s">
        <v>202</v>
      </c>
      <c r="C74" s="63" t="s">
        <v>1642</v>
      </c>
      <c r="D74" s="39" t="s">
        <v>1643</v>
      </c>
      <c r="E74" s="40" t="s">
        <v>204</v>
      </c>
      <c r="F74" s="41">
        <v>0</v>
      </c>
      <c r="G74" s="42" t="s">
        <v>1644</v>
      </c>
      <c r="H74" s="42" t="s">
        <v>1644</v>
      </c>
      <c r="I74" s="42" t="s">
        <v>1644</v>
      </c>
      <c r="J74" s="42" t="s">
        <v>1645</v>
      </c>
      <c r="K74" s="42" t="s">
        <v>1646</v>
      </c>
      <c r="L74" s="42" t="s">
        <v>1647</v>
      </c>
      <c r="M74" s="42" t="s">
        <v>1648</v>
      </c>
      <c r="N74" s="42" t="s">
        <v>1649</v>
      </c>
      <c r="O74" s="42" t="s">
        <v>1650</v>
      </c>
      <c r="P74" s="42" t="s">
        <v>1651</v>
      </c>
      <c r="Q74" s="42" t="s">
        <v>1652</v>
      </c>
      <c r="R74" s="42" t="s">
        <v>1653</v>
      </c>
      <c r="S74" s="42" t="s">
        <v>1654</v>
      </c>
      <c r="T74" s="42" t="s">
        <v>1655</v>
      </c>
      <c r="U74" s="42" t="s">
        <v>1656</v>
      </c>
      <c r="V74" s="42" t="str">
        <f>VLOOKUP(D74,[1]ALL!$A$15:$Z$983,3,FALSE)</f>
        <v>DCC-EGW</v>
      </c>
      <c r="W74" s="43">
        <v>12532.422640387304</v>
      </c>
      <c r="X74" s="43">
        <v>15152.031676747523</v>
      </c>
      <c r="Y74" s="43">
        <v>11259.722742140335</v>
      </c>
      <c r="Z74" s="43">
        <v>11807.029068591301</v>
      </c>
      <c r="AA74" s="43">
        <v>11956.89</v>
      </c>
      <c r="AB74" s="43">
        <v>11656.87</v>
      </c>
      <c r="AC74" s="43">
        <v>12362.62</v>
      </c>
      <c r="AD74" s="43">
        <v>11835.86</v>
      </c>
      <c r="AE74" s="43">
        <v>14066.52</v>
      </c>
      <c r="AF74" s="43">
        <v>14623.07</v>
      </c>
      <c r="AG74" s="43">
        <v>12814.95</v>
      </c>
      <c r="AH74" s="43">
        <v>11126.86</v>
      </c>
      <c r="AI74" s="43">
        <v>11606.21</v>
      </c>
      <c r="AJ74" s="43">
        <v>12066.59</v>
      </c>
      <c r="AK74" s="43">
        <v>12860.83</v>
      </c>
      <c r="AL74" s="44"/>
      <c r="AM74" s="45">
        <f>VLOOKUP($B74,'[2]E.U.'!$R$9:$AZ$205,11,FALSE)</f>
        <v>852.72</v>
      </c>
      <c r="AN74" s="45">
        <f>VLOOKUP($B74,'[3]E.U.'!$R9:$AZ$225,11,FALSE)</f>
        <v>1117.52</v>
      </c>
      <c r="AO74" s="45">
        <f>VLOOKUP($B74,'[4]E.U.'!$R$9:$BZ$225,11,FALSE)</f>
        <v>6297.0511732806126</v>
      </c>
      <c r="AP74" s="45">
        <f>VLOOKUP($B74,'[5]E.U.'!$R$9:$BZ$225,11,FALSE)</f>
        <v>6736.2803598187602</v>
      </c>
      <c r="AQ74" s="45">
        <f>VLOOKUP($B74,'[6]E.U.'!$R$9:$CA$225,11,FALSE)</f>
        <v>7915.3064878431142</v>
      </c>
      <c r="AR74" s="45">
        <f>VLOOKUP($B74,'[7]E.U.'!$R$9:$AZ$225,11,FALSE)</f>
        <v>7636.3771465752861</v>
      </c>
      <c r="AS74" s="45">
        <f>VLOOKUP($B74,'[8]E.U.'!$R$9:$AZ$225,11,FALSE)</f>
        <v>6171.7129027685096</v>
      </c>
      <c r="AT74" s="45">
        <f>VLOOKUP($B74,'[9]E.U.'!$R$9:$AZ$221,11,FALSE)</f>
        <v>5381.4076207576063</v>
      </c>
      <c r="AU74" s="45"/>
      <c r="AV74" s="45">
        <f>VLOOKUP($B74,'[10]E.U.'!$R$9:$AZ$221,11,FALSE)</f>
        <v>5075.3939227646651</v>
      </c>
      <c r="AW74" s="45">
        <f>VLOOKUP($B74,'[11]E.U.'!$R$9:$AZ$220,11,FALSE)</f>
        <v>4604.3064213216139</v>
      </c>
      <c r="AX74" s="252"/>
      <c r="AY74" s="45">
        <f>VLOOKUP($B74,'[12]E.U.'!$R$9:$AZ$220,11,FALSE)</f>
        <v>4856.3296971777463</v>
      </c>
      <c r="AZ74" s="45"/>
      <c r="BA74" s="45">
        <f>VLOOKUP($B74,'[13]E.U.'!$R$9:$AZ$221,11,FALSE)</f>
        <v>4616.7666336487064</v>
      </c>
      <c r="BB74" s="46">
        <f t="shared" si="6"/>
        <v>61261.17236595662</v>
      </c>
      <c r="BC74" s="47" t="e">
        <f>SUM(#REF!)</f>
        <v>#REF!</v>
      </c>
      <c r="BD74" s="43" t="e">
        <f>VLOOKUP(V74,[14]ELECTRIC!$C$1:$H$4000,6,FALSE)</f>
        <v>#N/A</v>
      </c>
      <c r="BE74" s="43" t="e">
        <f t="shared" si="10"/>
        <v>#N/A</v>
      </c>
      <c r="BF74" s="48">
        <f t="shared" si="14"/>
        <v>61261.17236595662</v>
      </c>
      <c r="BG74" s="49">
        <f t="shared" si="9"/>
        <v>106725.7138575487</v>
      </c>
      <c r="BH74" s="43" t="e">
        <f t="shared" si="11"/>
        <v>#REF!</v>
      </c>
      <c r="BI74" s="50" t="e">
        <f t="shared" si="12"/>
        <v>#REF!</v>
      </c>
      <c r="BJ74" s="51">
        <f t="shared" si="13"/>
        <v>3.763391815765905</v>
      </c>
      <c r="BK74" s="52"/>
      <c r="BL74" s="52"/>
      <c r="BM74" s="52"/>
      <c r="BN74" s="52"/>
      <c r="BO74" s="72"/>
      <c r="BP74" s="52"/>
      <c r="BQ74" s="52"/>
      <c r="BR74" s="50"/>
      <c r="BS74" s="53"/>
      <c r="BT74" s="53"/>
      <c r="BU74" s="65"/>
      <c r="BV74" s="55"/>
      <c r="BW74" s="55"/>
      <c r="BX74" s="56"/>
      <c r="BY74" s="57" t="s">
        <v>1512</v>
      </c>
      <c r="BZ74" s="58"/>
    </row>
    <row r="75" spans="1:79" ht="15" customHeight="1" x14ac:dyDescent="0.3">
      <c r="A75" s="59" t="s">
        <v>1359</v>
      </c>
      <c r="B75" s="38" t="s">
        <v>205</v>
      </c>
      <c r="C75" s="63" t="s">
        <v>206</v>
      </c>
      <c r="D75" t="s">
        <v>1657</v>
      </c>
      <c r="E75" s="40" t="s">
        <v>207</v>
      </c>
      <c r="F75" s="41">
        <v>0</v>
      </c>
      <c r="G75" s="42" t="s">
        <v>1658</v>
      </c>
      <c r="H75" s="42" t="s">
        <v>1659</v>
      </c>
      <c r="I75" s="42" t="s">
        <v>1660</v>
      </c>
      <c r="J75" s="42" t="s">
        <v>1661</v>
      </c>
      <c r="K75" s="42" t="s">
        <v>1662</v>
      </c>
      <c r="L75" s="42" t="s">
        <v>1663</v>
      </c>
      <c r="M75" s="42" t="s">
        <v>1664</v>
      </c>
      <c r="N75" s="42" t="s">
        <v>1665</v>
      </c>
      <c r="O75" s="42" t="s">
        <v>1666</v>
      </c>
      <c r="P75" s="42" t="s">
        <v>1667</v>
      </c>
      <c r="Q75" s="42" t="s">
        <v>1668</v>
      </c>
      <c r="R75" s="42" t="s">
        <v>1669</v>
      </c>
      <c r="S75" s="42" t="s">
        <v>1670</v>
      </c>
      <c r="T75" s="42" t="s">
        <v>1671</v>
      </c>
      <c r="U75" s="42" t="s">
        <v>1672</v>
      </c>
      <c r="V75" s="42" t="str">
        <f>VLOOKUP(D75,[1]ALL!$A$15:$Z$983,3,FALSE)</f>
        <v>DCC1-ELC</v>
      </c>
      <c r="W75" s="43">
        <v>66142.775331460507</v>
      </c>
      <c r="X75" s="43">
        <v>53432.718107399967</v>
      </c>
      <c r="Y75" s="43">
        <v>59249.598301283186</v>
      </c>
      <c r="Z75" s="43">
        <v>62099.688114694945</v>
      </c>
      <c r="AA75" s="43">
        <v>62906.17</v>
      </c>
      <c r="AB75" s="43">
        <v>61332.43</v>
      </c>
      <c r="AC75" s="43">
        <v>65058.73</v>
      </c>
      <c r="AD75" s="43">
        <v>62274.37</v>
      </c>
      <c r="AE75" s="43">
        <v>74041.94</v>
      </c>
      <c r="AF75" s="43">
        <v>76937.509999999995</v>
      </c>
      <c r="AG75" s="43">
        <v>67410.710000000006</v>
      </c>
      <c r="AH75" s="43">
        <v>58512.33</v>
      </c>
      <c r="AI75" s="43">
        <v>60953.32</v>
      </c>
      <c r="AJ75" s="43">
        <v>67692.289999999994</v>
      </c>
      <c r="AK75" s="43">
        <v>67566.86</v>
      </c>
      <c r="AL75" s="44"/>
      <c r="AM75" s="45">
        <f>VLOOKUP($B75,'[2]E.U.'!$R$9:$AZ$205,11,FALSE)</f>
        <v>4477.8</v>
      </c>
      <c r="AN75" s="45">
        <f>VLOOKUP($B75,'[3]E.U.'!$R9:$AZ$225,11,FALSE)</f>
        <v>5873.11</v>
      </c>
      <c r="AO75" s="45">
        <f>VLOOKUP($B75,'[4]E.U.'!$R$9:$BZ$225,11,FALSE)</f>
        <v>0</v>
      </c>
      <c r="AP75" s="45">
        <f>VLOOKUP($B75,'[5]E.U.'!$R$9:$BZ$225,11,FALSE)</f>
        <v>0</v>
      </c>
      <c r="AQ75" s="45">
        <f>VLOOKUP($B75,'[6]E.U.'!$R$9:$CA$225,11,FALSE)</f>
        <v>0</v>
      </c>
      <c r="AR75" s="45">
        <f>VLOOKUP($B75,'[7]E.U.'!$R$9:$AZ$225,11,FALSE)</f>
        <v>0</v>
      </c>
      <c r="AS75" s="45">
        <f>VLOOKUP($B75,'[8]E.U.'!$R$9:$AZ$225,11,FALSE)</f>
        <v>0</v>
      </c>
      <c r="AT75" s="45">
        <f>VLOOKUP($B75,'[9]E.U.'!$R$9:$AZ$221,11,FALSE)</f>
        <v>0</v>
      </c>
      <c r="AU75" s="45"/>
      <c r="AV75" s="45">
        <f>VLOOKUP($B75,'[10]E.U.'!$R$9:$AZ$221,11,FALSE)</f>
        <v>0</v>
      </c>
      <c r="AW75" s="45">
        <f>VLOOKUP($B75,'[11]E.U.'!$R$9:$AZ$220,11,FALSE)</f>
        <v>0</v>
      </c>
      <c r="AX75" s="252"/>
      <c r="AY75" s="45">
        <f>VLOOKUP($B75,'[12]E.U.'!$R$9:$AZ$220,11,FALSE)</f>
        <v>0</v>
      </c>
      <c r="AZ75" s="45"/>
      <c r="BA75" s="45">
        <f>VLOOKUP($B75,'[13]E.U.'!$R$9:$AZ$221,11,FALSE)</f>
        <v>0</v>
      </c>
      <c r="BB75" s="46">
        <f t="shared" si="6"/>
        <v>10350.91</v>
      </c>
      <c r="BC75" s="47" t="e">
        <f>SUM(#REF!)</f>
        <v>#REF!</v>
      </c>
      <c r="BD75" s="43" t="e">
        <f>VLOOKUP(V75,[14]ELECTRIC!$C$1:$H$4000,6,FALSE)</f>
        <v>#N/A</v>
      </c>
      <c r="BE75" s="43" t="e">
        <f t="shared" si="10"/>
        <v>#N/A</v>
      </c>
      <c r="BF75" s="48">
        <f t="shared" si="14"/>
        <v>10350.91</v>
      </c>
      <c r="BG75" s="49">
        <f t="shared" si="9"/>
        <v>18032.76392142857</v>
      </c>
      <c r="BH75" s="43" t="e">
        <f t="shared" si="11"/>
        <v>#REF!</v>
      </c>
      <c r="BI75" s="50" t="e">
        <f t="shared" si="12"/>
        <v>#REF!</v>
      </c>
      <c r="BJ75" s="51">
        <f t="shared" si="13"/>
        <v>-0.84680492774120331</v>
      </c>
      <c r="BK75" s="52"/>
      <c r="BL75" s="52"/>
      <c r="BM75" s="52"/>
      <c r="BN75" s="52"/>
      <c r="BO75" s="72"/>
      <c r="BP75" s="52"/>
      <c r="BQ75" s="52"/>
      <c r="BR75" s="50"/>
      <c r="BS75" s="53"/>
      <c r="BT75" s="53"/>
      <c r="BU75" s="65"/>
      <c r="BV75" s="89" t="s">
        <v>1673</v>
      </c>
      <c r="BW75" s="55"/>
      <c r="BX75" s="56"/>
      <c r="BY75" s="57" t="s">
        <v>1512</v>
      </c>
      <c r="BZ75" s="58"/>
    </row>
    <row r="76" spans="1:79" ht="15.6" x14ac:dyDescent="0.3">
      <c r="A76" s="59" t="s">
        <v>694</v>
      </c>
      <c r="B76" s="38" t="s">
        <v>208</v>
      </c>
      <c r="C76" s="1" t="s">
        <v>209</v>
      </c>
      <c r="D76" t="s">
        <v>1674</v>
      </c>
      <c r="E76" s="40" t="s">
        <v>210</v>
      </c>
      <c r="F76" s="41">
        <v>0</v>
      </c>
      <c r="G76" s="42" t="s">
        <v>1675</v>
      </c>
      <c r="H76" s="42" t="s">
        <v>1676</v>
      </c>
      <c r="I76" s="42" t="s">
        <v>1677</v>
      </c>
      <c r="J76" s="42" t="s">
        <v>1678</v>
      </c>
      <c r="K76" s="42" t="s">
        <v>1679</v>
      </c>
      <c r="L76" s="42" t="s">
        <v>1680</v>
      </c>
      <c r="M76" s="42" t="s">
        <v>1681</v>
      </c>
      <c r="N76" s="42" t="s">
        <v>1682</v>
      </c>
      <c r="O76" s="42" t="s">
        <v>1683</v>
      </c>
      <c r="P76" s="42" t="s">
        <v>1684</v>
      </c>
      <c r="Q76" s="42" t="s">
        <v>1685</v>
      </c>
      <c r="R76" s="42" t="s">
        <v>1686</v>
      </c>
      <c r="S76" s="42" t="s">
        <v>1687</v>
      </c>
      <c r="T76" s="42" t="s">
        <v>1688</v>
      </c>
      <c r="U76" s="42" t="s">
        <v>1689</v>
      </c>
      <c r="V76" s="42" t="str">
        <f>VLOOKUP(D76,[1]ALL!$A$15:$Z$983,3,FALSE)</f>
        <v>BSR-ELC</v>
      </c>
      <c r="W76" s="43">
        <v>60347.89542653333</v>
      </c>
      <c r="X76" s="43">
        <v>56840.146193991699</v>
      </c>
      <c r="Y76" s="43">
        <v>55935.968426412299</v>
      </c>
      <c r="Z76" s="43">
        <v>56146.192533229871</v>
      </c>
      <c r="AA76" s="43">
        <v>56879.22</v>
      </c>
      <c r="AB76" s="43">
        <v>58360.91</v>
      </c>
      <c r="AC76" s="43">
        <v>61612.74</v>
      </c>
      <c r="AD76" s="43">
        <v>64671.39</v>
      </c>
      <c r="AE76" s="43">
        <v>67963.600000000006</v>
      </c>
      <c r="AF76" s="43">
        <v>72637</v>
      </c>
      <c r="AG76" s="43">
        <v>77098.710000000006</v>
      </c>
      <c r="AH76" s="43">
        <v>78280.11</v>
      </c>
      <c r="AI76" s="43">
        <v>76453.59</v>
      </c>
      <c r="AJ76" s="43">
        <v>79896.06</v>
      </c>
      <c r="AK76" s="43">
        <v>105029.64</v>
      </c>
      <c r="AL76" s="44"/>
      <c r="AM76" s="45">
        <f>VLOOKUP($B76,'[2]E.U.'!$R$9:$AZ$205,11,FALSE)</f>
        <v>8359.75</v>
      </c>
      <c r="AN76" s="45">
        <f>VLOOKUP($B76,'[3]E.U.'!$R9:$AZ$225,11,FALSE)</f>
        <v>8351.5300000000007</v>
      </c>
      <c r="AO76" s="45">
        <f>VLOOKUP($B76,'[4]E.U.'!$R$9:$BZ$225,11,FALSE)</f>
        <v>8243.9007143001108</v>
      </c>
      <c r="AP76" s="45">
        <f>VLOOKUP($B76,'[5]E.U.'!$R$9:$BZ$225,11,FALSE)</f>
        <v>9016.1025739974593</v>
      </c>
      <c r="AQ76" s="45">
        <f>VLOOKUP($B76,'[6]E.U.'!$R$9:$CA$225,11,FALSE)</f>
        <v>14371.520182589338</v>
      </c>
      <c r="AR76" s="45">
        <f>VLOOKUP($B76,'[7]E.U.'!$R$9:$AZ$225,11,FALSE)</f>
        <v>12430.778942577603</v>
      </c>
      <c r="AS76" s="45">
        <f>VLOOKUP($B76,'[8]E.U.'!$R$9:$AZ$225,11,FALSE)</f>
        <v>11134.71728503978</v>
      </c>
      <c r="AT76" s="45">
        <f>VLOOKUP($B76,'[9]E.U.'!$R$9:$AZ$221,11,FALSE)</f>
        <v>10701.743353217002</v>
      </c>
      <c r="AU76" s="45"/>
      <c r="AV76" s="45">
        <f>VLOOKUP($B76,'[10]E.U.'!$R$9:$AZ$221,11,FALSE)</f>
        <v>9071.6444076961743</v>
      </c>
      <c r="AW76" s="45">
        <f>VLOOKUP($B76,'[11]E.U.'!$R$9:$AZ$220,11,FALSE)</f>
        <v>5907.4695604063254</v>
      </c>
      <c r="AX76" s="252"/>
      <c r="AY76" s="45">
        <f>VLOOKUP($B76,'[12]E.U.'!$R$9:$AZ$220,11,FALSE)</f>
        <v>5177.1039824608179</v>
      </c>
      <c r="AZ76" s="45"/>
      <c r="BA76" s="45">
        <f>VLOOKUP($B76,'[13]E.U.'!$R$9:$AZ$221,11,FALSE)</f>
        <v>5646.1579272262197</v>
      </c>
      <c r="BB76" s="46">
        <f t="shared" si="6"/>
        <v>108412.41892951082</v>
      </c>
      <c r="BC76" s="47" t="e">
        <f>SUM(#REF!)</f>
        <v>#REF!</v>
      </c>
      <c r="BD76" s="43" t="e">
        <f>VLOOKUP(V76,[14]ELECTRIC!$C$1:$H$4000,6,FALSE)</f>
        <v>#N/A</v>
      </c>
      <c r="BE76" s="43" t="e">
        <f t="shared" si="10"/>
        <v>#N/A</v>
      </c>
      <c r="BF76" s="48">
        <f t="shared" si="14"/>
        <v>108412.41892951082</v>
      </c>
      <c r="BG76" s="49">
        <f t="shared" si="9"/>
        <v>188869.92126362637</v>
      </c>
      <c r="BH76" s="43" t="e">
        <f t="shared" si="11"/>
        <v>#REF!</v>
      </c>
      <c r="BI76" s="50" t="e">
        <f t="shared" si="12"/>
        <v>#REF!</v>
      </c>
      <c r="BJ76" s="51">
        <f t="shared" si="13"/>
        <v>3.220785036977003E-2</v>
      </c>
      <c r="BK76" s="52"/>
      <c r="BL76" s="52"/>
      <c r="BM76" s="52"/>
      <c r="BN76" s="52"/>
      <c r="BO76" s="72"/>
      <c r="BP76" s="52"/>
      <c r="BQ76" s="52"/>
      <c r="BR76" s="50"/>
      <c r="BS76" s="53"/>
      <c r="BT76" s="53"/>
      <c r="BU76" s="65"/>
      <c r="BV76" s="55"/>
      <c r="BW76" s="55"/>
      <c r="BX76" s="90"/>
      <c r="BY76" s="67"/>
      <c r="BZ76" s="58"/>
    </row>
    <row r="77" spans="1:79" ht="15.6" x14ac:dyDescent="0.3">
      <c r="A77" s="81" t="s">
        <v>694</v>
      </c>
      <c r="B77" s="38" t="s">
        <v>211</v>
      </c>
      <c r="C77" s="1" t="s">
        <v>212</v>
      </c>
      <c r="D77" s="39" t="s">
        <v>1690</v>
      </c>
      <c r="E77" s="40" t="s">
        <v>213</v>
      </c>
      <c r="F77" s="41">
        <v>0</v>
      </c>
      <c r="G77" s="42" t="s">
        <v>1691</v>
      </c>
      <c r="H77" s="42" t="s">
        <v>1691</v>
      </c>
      <c r="I77" s="42" t="s">
        <v>1691</v>
      </c>
      <c r="J77" s="42" t="s">
        <v>1692</v>
      </c>
      <c r="K77" s="42" t="s">
        <v>1693</v>
      </c>
      <c r="L77" s="42" t="s">
        <v>1694</v>
      </c>
      <c r="M77" s="42" t="s">
        <v>1695</v>
      </c>
      <c r="N77" s="42" t="s">
        <v>1696</v>
      </c>
      <c r="O77" s="42" t="s">
        <v>1697</v>
      </c>
      <c r="P77" s="42" t="s">
        <v>1698</v>
      </c>
      <c r="Q77" s="42" t="s">
        <v>1699</v>
      </c>
      <c r="R77" s="42" t="s">
        <v>1700</v>
      </c>
      <c r="S77" s="42" t="s">
        <v>1701</v>
      </c>
      <c r="T77" s="42" t="s">
        <v>1702</v>
      </c>
      <c r="U77" s="42" t="s">
        <v>1703</v>
      </c>
      <c r="V77" s="42" t="str">
        <f>VLOOKUP(D77,[1]ALL!$A$15:$Z$983,3,FALSE)</f>
        <v>STU-EGW</v>
      </c>
      <c r="W77" s="43">
        <v>115776.93134000238</v>
      </c>
      <c r="X77" s="43">
        <v>107111.50946237566</v>
      </c>
      <c r="Y77" s="43">
        <v>100518.25303041843</v>
      </c>
      <c r="Z77" s="43">
        <v>100550.63802106059</v>
      </c>
      <c r="AA77" s="43">
        <v>105238.68</v>
      </c>
      <c r="AB77" s="43">
        <v>108653.17</v>
      </c>
      <c r="AC77" s="43">
        <v>115217.03</v>
      </c>
      <c r="AD77" s="43">
        <v>119148.65</v>
      </c>
      <c r="AE77" s="43">
        <v>77709.09</v>
      </c>
      <c r="AF77" s="43">
        <v>71286.64</v>
      </c>
      <c r="AG77" s="43">
        <v>73112.460000000006</v>
      </c>
      <c r="AH77" s="43">
        <v>64691.72</v>
      </c>
      <c r="AI77" s="43">
        <v>67635.11</v>
      </c>
      <c r="AJ77" s="43">
        <v>66363.55</v>
      </c>
      <c r="AK77" s="43">
        <v>81420.320000000007</v>
      </c>
      <c r="AL77" s="44"/>
      <c r="AM77" s="45">
        <f>VLOOKUP($B77,'[2]E.U.'!$R$9:$AZ$205,11,FALSE)</f>
        <v>6207.9</v>
      </c>
      <c r="AN77" s="45">
        <f>VLOOKUP($B77,'[3]E.U.'!$R9:$AZ$225,11,FALSE)</f>
        <v>7151.21</v>
      </c>
      <c r="AO77" s="45">
        <f>VLOOKUP($B77,'[4]E.U.'!$R$9:$BZ$225,11,FALSE)</f>
        <v>6029.4006131860406</v>
      </c>
      <c r="AP77" s="45">
        <f>VLOOKUP($B77,'[5]E.U.'!$R$9:$BZ$225,11,FALSE)</f>
        <v>6316.7177459460445</v>
      </c>
      <c r="AQ77" s="45">
        <f>VLOOKUP($B77,'[6]E.U.'!$R$9:$CA$225,11,FALSE)</f>
        <v>6649.6638925136531</v>
      </c>
      <c r="AR77" s="45">
        <f>VLOOKUP($B77,'[7]E.U.'!$R$9:$AZ$225,11,FALSE)</f>
        <v>5937.4084143057953</v>
      </c>
      <c r="AS77" s="45">
        <f>VLOOKUP($B77,'[8]E.U.'!$R$9:$AZ$225,11,FALSE)</f>
        <v>6221.1414178094037</v>
      </c>
      <c r="AT77" s="45">
        <f>VLOOKUP($B77,'[9]E.U.'!$R$9:$AZ$221,11,FALSE)</f>
        <v>4986.2017193500669</v>
      </c>
      <c r="AU77" s="45"/>
      <c r="AV77" s="45">
        <f>VLOOKUP($B77,'[10]E.U.'!$R$9:$AZ$221,11,FALSE)</f>
        <v>5293.0476994333221</v>
      </c>
      <c r="AW77" s="45">
        <f>VLOOKUP($B77,'[11]E.U.'!$R$9:$AZ$220,11,FALSE)</f>
        <v>5340.4278715309965</v>
      </c>
      <c r="AX77" s="252"/>
      <c r="AY77" s="45">
        <f>VLOOKUP($B77,'[12]E.U.'!$R$9:$AZ$220,11,FALSE)</f>
        <v>5268.5860807468871</v>
      </c>
      <c r="AZ77" s="45"/>
      <c r="BA77" s="45">
        <f>VLOOKUP($B77,'[13]E.U.'!$R$9:$AZ$221,11,FALSE)</f>
        <v>5344.767675061029</v>
      </c>
      <c r="BB77" s="46">
        <f t="shared" si="6"/>
        <v>70746.473129883248</v>
      </c>
      <c r="BC77" s="47" t="e">
        <f>SUM(#REF!)</f>
        <v>#REF!</v>
      </c>
      <c r="BD77" s="43" t="e">
        <f>VLOOKUP(V77,[14]ELECTRIC!$C$1:$H$4000,6,FALSE)</f>
        <v>#N/A</v>
      </c>
      <c r="BE77" s="43" t="e">
        <f t="shared" si="10"/>
        <v>#N/A</v>
      </c>
      <c r="BF77" s="48">
        <f t="shared" si="14"/>
        <v>70746.473129883248</v>
      </c>
      <c r="BG77" s="49">
        <f t="shared" si="9"/>
        <v>123250.46283127517</v>
      </c>
      <c r="BH77" s="43" t="e">
        <f t="shared" si="11"/>
        <v>#REF!</v>
      </c>
      <c r="BI77" s="50" t="e">
        <f t="shared" si="12"/>
        <v>#REF!</v>
      </c>
      <c r="BJ77" s="51">
        <f t="shared" si="13"/>
        <v>-0.13109561433947636</v>
      </c>
      <c r="BK77" s="52"/>
      <c r="BL77" s="52"/>
      <c r="BM77" s="52"/>
      <c r="BN77" s="52"/>
      <c r="BO77" s="72"/>
      <c r="BP77" s="52"/>
      <c r="BQ77" s="52"/>
      <c r="BR77" s="50"/>
      <c r="BS77" s="53"/>
      <c r="BT77" s="53"/>
      <c r="BU77" s="65"/>
      <c r="BV77" s="55"/>
      <c r="BW77" s="55"/>
      <c r="BX77" s="56"/>
      <c r="BY77" s="67"/>
      <c r="BZ77" s="58"/>
    </row>
    <row r="78" spans="1:79" ht="15.6" x14ac:dyDescent="0.3">
      <c r="A78" s="81" t="s">
        <v>739</v>
      </c>
      <c r="B78" s="38" t="s">
        <v>214</v>
      </c>
      <c r="C78" s="1" t="s">
        <v>215</v>
      </c>
      <c r="D78" s="39"/>
      <c r="E78" s="40" t="s">
        <v>216</v>
      </c>
      <c r="F78" s="41">
        <v>0</v>
      </c>
      <c r="G78" s="42" t="s">
        <v>1704</v>
      </c>
      <c r="H78" s="42" t="s">
        <v>1704</v>
      </c>
      <c r="I78" s="42" t="s">
        <v>1704</v>
      </c>
      <c r="J78" s="42" t="s">
        <v>1705</v>
      </c>
      <c r="K78" s="42" t="s">
        <v>1706</v>
      </c>
      <c r="L78" s="42" t="s">
        <v>1707</v>
      </c>
      <c r="M78" s="42" t="s">
        <v>1708</v>
      </c>
      <c r="N78" s="42" t="s">
        <v>1709</v>
      </c>
      <c r="O78" s="42" t="s">
        <v>1710</v>
      </c>
      <c r="P78" s="41">
        <v>0</v>
      </c>
      <c r="Q78" s="42"/>
      <c r="R78" s="42"/>
      <c r="S78" s="42"/>
      <c r="T78" s="42"/>
      <c r="U78" s="42"/>
      <c r="V78" s="42"/>
      <c r="W78" s="43">
        <v>42369.487748407446</v>
      </c>
      <c r="X78" s="43">
        <v>38257.60619182462</v>
      </c>
      <c r="Y78" s="43">
        <v>44969.076393758842</v>
      </c>
      <c r="Z78" s="43">
        <v>57375.800973721649</v>
      </c>
      <c r="AA78" s="43">
        <v>56780.53</v>
      </c>
      <c r="AB78" s="43">
        <v>61157.66</v>
      </c>
      <c r="AC78" s="43">
        <v>61062.63</v>
      </c>
      <c r="AD78" s="43">
        <v>70441.600000000006</v>
      </c>
      <c r="AE78" s="43">
        <v>46398.67</v>
      </c>
      <c r="AF78" s="43">
        <v>0</v>
      </c>
      <c r="AG78" s="43">
        <v>0</v>
      </c>
      <c r="AH78" s="43">
        <v>0</v>
      </c>
      <c r="AI78" s="43">
        <v>0</v>
      </c>
      <c r="AJ78" s="43"/>
      <c r="AK78" s="43"/>
      <c r="AL78" s="44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6"/>
      <c r="BC78" s="47"/>
      <c r="BD78" s="43"/>
      <c r="BE78" s="43"/>
      <c r="BF78" s="48">
        <f t="shared" si="14"/>
        <v>0</v>
      </c>
      <c r="BG78" s="49"/>
      <c r="BH78" s="43"/>
      <c r="BI78" s="50">
        <f t="shared" si="12"/>
        <v>0</v>
      </c>
      <c r="BJ78" s="51">
        <f t="shared" si="13"/>
        <v>0</v>
      </c>
      <c r="BK78" s="52"/>
      <c r="BL78" s="52"/>
      <c r="BM78" s="52"/>
      <c r="BN78" s="52"/>
      <c r="BO78" s="72"/>
      <c r="BP78" s="52"/>
      <c r="BQ78" s="52"/>
      <c r="BR78" s="50"/>
      <c r="BS78" s="53"/>
      <c r="BT78" s="53"/>
      <c r="BU78" s="54" t="s">
        <v>1711</v>
      </c>
      <c r="BV78" s="55"/>
      <c r="BW78" s="55"/>
      <c r="BX78" s="56"/>
      <c r="BY78" s="80" t="s">
        <v>1712</v>
      </c>
      <c r="BZ78" s="58"/>
    </row>
    <row r="79" spans="1:79" s="70" customFormat="1" ht="15.6" x14ac:dyDescent="0.3">
      <c r="A79" s="91" t="s">
        <v>739</v>
      </c>
      <c r="B79" s="38" t="s">
        <v>217</v>
      </c>
      <c r="C79" s="1" t="s">
        <v>218</v>
      </c>
      <c r="D79" s="39"/>
      <c r="E79" s="40" t="s">
        <v>219</v>
      </c>
      <c r="F79" s="41">
        <v>0</v>
      </c>
      <c r="G79" s="42" t="s">
        <v>1713</v>
      </c>
      <c r="H79" s="42" t="s">
        <v>1713</v>
      </c>
      <c r="I79" s="42" t="s">
        <v>1713</v>
      </c>
      <c r="J79" s="42" t="s">
        <v>1714</v>
      </c>
      <c r="K79" s="42" t="s">
        <v>1715</v>
      </c>
      <c r="L79" s="42" t="s">
        <v>1716</v>
      </c>
      <c r="M79" s="42" t="s">
        <v>1717</v>
      </c>
      <c r="N79" s="42" t="s">
        <v>1718</v>
      </c>
      <c r="O79" s="42" t="s">
        <v>1719</v>
      </c>
      <c r="P79" s="41">
        <v>0</v>
      </c>
      <c r="Q79" s="42"/>
      <c r="R79" s="42"/>
      <c r="S79" s="42"/>
      <c r="T79" s="42"/>
      <c r="U79" s="42"/>
      <c r="V79" s="42"/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/>
      <c r="AK79" s="43"/>
      <c r="AL79" s="44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6"/>
      <c r="BC79" s="47"/>
      <c r="BD79" s="43"/>
      <c r="BE79" s="43"/>
      <c r="BF79" s="48">
        <f t="shared" si="14"/>
        <v>0</v>
      </c>
      <c r="BG79" s="43"/>
      <c r="BH79" s="43"/>
      <c r="BI79" s="52">
        <f t="shared" si="12"/>
        <v>0</v>
      </c>
      <c r="BJ79" s="51">
        <f t="shared" si="13"/>
        <v>0</v>
      </c>
      <c r="BK79" s="52"/>
      <c r="BL79" s="52"/>
      <c r="BM79" s="52"/>
      <c r="BN79" s="52"/>
      <c r="BO79" s="72"/>
      <c r="BP79" s="52"/>
      <c r="BQ79" s="71"/>
      <c r="BR79" s="71"/>
      <c r="BS79" s="92"/>
      <c r="BT79" s="92"/>
      <c r="BU79" s="93"/>
      <c r="BV79" s="94"/>
      <c r="BW79" s="94"/>
      <c r="BX79" s="95"/>
      <c r="BY79" s="96" t="s">
        <v>1720</v>
      </c>
      <c r="BZ79" s="97"/>
      <c r="CA79" s="98"/>
    </row>
    <row r="80" spans="1:79" ht="15.6" x14ac:dyDescent="0.3">
      <c r="A80" s="81" t="s">
        <v>694</v>
      </c>
      <c r="B80" s="38" t="s">
        <v>220</v>
      </c>
      <c r="C80" s="63" t="s">
        <v>221</v>
      </c>
      <c r="D80" s="39" t="s">
        <v>1721</v>
      </c>
      <c r="E80" s="40" t="s">
        <v>222</v>
      </c>
      <c r="F80" s="41">
        <v>0</v>
      </c>
      <c r="G80" s="42" t="s">
        <v>1722</v>
      </c>
      <c r="H80" s="42" t="s">
        <v>1722</v>
      </c>
      <c r="I80" s="42" t="s">
        <v>1722</v>
      </c>
      <c r="J80" s="42" t="s">
        <v>1723</v>
      </c>
      <c r="K80" s="42" t="s">
        <v>1724</v>
      </c>
      <c r="L80" s="42" t="s">
        <v>1725</v>
      </c>
      <c r="M80" s="42" t="s">
        <v>1726</v>
      </c>
      <c r="N80" s="42" t="s">
        <v>1727</v>
      </c>
      <c r="O80" s="42" t="s">
        <v>1728</v>
      </c>
      <c r="P80" s="42" t="s">
        <v>1729</v>
      </c>
      <c r="Q80" s="42" t="s">
        <v>1730</v>
      </c>
      <c r="R80" s="42" t="s">
        <v>1731</v>
      </c>
      <c r="S80" s="42" t="s">
        <v>1732</v>
      </c>
      <c r="T80" s="42" t="s">
        <v>1733</v>
      </c>
      <c r="U80" s="42" t="s">
        <v>1734</v>
      </c>
      <c r="V80" s="42" t="str">
        <f>VLOOKUP(D80,[1]ALL!$A$15:$Z$983,3,FALSE)</f>
        <v>JHH-EGW</v>
      </c>
      <c r="W80" s="43">
        <v>46959.600883277992</v>
      </c>
      <c r="X80" s="43">
        <v>48410.88405559551</v>
      </c>
      <c r="Y80" s="43">
        <v>41783.8929165515</v>
      </c>
      <c r="Z80" s="43">
        <v>45703.493087984156</v>
      </c>
      <c r="AA80" s="43">
        <v>44511.13</v>
      </c>
      <c r="AB80" s="43">
        <v>53896.6</v>
      </c>
      <c r="AC80" s="43">
        <v>60922.98</v>
      </c>
      <c r="AD80" s="43">
        <v>74767.55</v>
      </c>
      <c r="AE80" s="43">
        <v>85196.18</v>
      </c>
      <c r="AF80" s="43">
        <v>91302.52</v>
      </c>
      <c r="AG80" s="43">
        <v>84839.82</v>
      </c>
      <c r="AH80" s="43">
        <v>82606.899999999994</v>
      </c>
      <c r="AI80" s="43">
        <v>86111.67</v>
      </c>
      <c r="AJ80" s="43">
        <v>84931.24</v>
      </c>
      <c r="AK80" s="43">
        <v>80594.86</v>
      </c>
      <c r="AL80" s="44"/>
      <c r="AM80" s="45">
        <f>VLOOKUP($B80,'[2]E.U.'!$R$9:$AZ$205,11,FALSE)</f>
        <v>6100.25</v>
      </c>
      <c r="AN80" s="45">
        <f>VLOOKUP($B80,'[3]E.U.'!$R9:$AZ$225,11,FALSE)</f>
        <v>8384.02</v>
      </c>
      <c r="AO80" s="45">
        <f>VLOOKUP($B80,'[4]E.U.'!$R$9:$BZ$225,11,FALSE)</f>
        <v>5319.9699237272425</v>
      </c>
      <c r="AP80" s="45">
        <f>VLOOKUP($B80,'[5]E.U.'!$R$9:$BZ$225,11,FALSE)</f>
        <v>5037.3872856736243</v>
      </c>
      <c r="AQ80" s="45">
        <f>VLOOKUP($B80,'[6]E.U.'!$R$9:$CA$225,11,FALSE)</f>
        <v>5315.020022407457</v>
      </c>
      <c r="AR80" s="45">
        <f>VLOOKUP($B80,'[7]E.U.'!$R$9:$AZ$225,11,FALSE)</f>
        <v>4692.416487860286</v>
      </c>
      <c r="AS80" s="45">
        <f>VLOOKUP($B80,'[8]E.U.'!$R$9:$AZ$225,11,FALSE)</f>
        <v>8476.5081486286927</v>
      </c>
      <c r="AT80" s="45">
        <f>VLOOKUP($B80,'[9]E.U.'!$R$9:$AZ$221,11,FALSE)</f>
        <v>4724.2037355661105</v>
      </c>
      <c r="AU80" s="45"/>
      <c r="AV80" s="45">
        <f>VLOOKUP($B80,'[10]E.U.'!$R$9:$AZ$221,11,FALSE)</f>
        <v>4712.5706890338924</v>
      </c>
      <c r="AW80" s="45">
        <f>VLOOKUP($B80,'[11]E.U.'!$R$9:$AZ$220,11,FALSE)</f>
        <v>4956.9517127678009</v>
      </c>
      <c r="AX80" s="252"/>
      <c r="AY80" s="45">
        <f>VLOOKUP($B80,'[12]E.U.'!$R$9:$AZ$220,11,FALSE)</f>
        <v>4918.6681300506534</v>
      </c>
      <c r="AZ80" s="45"/>
      <c r="BA80" s="45">
        <f>VLOOKUP($B80,'[13]E.U.'!$R$9:$AZ$221,11,FALSE)</f>
        <v>4396.9825607172024</v>
      </c>
      <c r="BB80" s="46">
        <f t="shared" ref="BB80:BB145" si="15">SUM(AM80:BA80)</f>
        <v>67034.94869643297</v>
      </c>
      <c r="BC80" s="47" t="e">
        <f>SUM(#REF!)</f>
        <v>#REF!</v>
      </c>
      <c r="BD80" s="43" t="e">
        <f>VLOOKUP(V80,[14]ELECTRIC!$C$1:$H$4000,6,FALSE)</f>
        <v>#N/A</v>
      </c>
      <c r="BE80" s="43" t="e">
        <f t="shared" si="10"/>
        <v>#N/A</v>
      </c>
      <c r="BF80" s="48">
        <f t="shared" si="14"/>
        <v>67034.94869643297</v>
      </c>
      <c r="BG80" s="49">
        <f t="shared" si="9"/>
        <v>116784.45705042858</v>
      </c>
      <c r="BH80" s="43" t="e">
        <f>IF(BC80=0,0,(BB80*(AK80/BC80)))</f>
        <v>#REF!</v>
      </c>
      <c r="BI80" s="50" t="e">
        <f t="shared" si="12"/>
        <v>#REF!</v>
      </c>
      <c r="BJ80" s="51">
        <f t="shared" si="13"/>
        <v>-0.16824784240045865</v>
      </c>
      <c r="BK80" s="52"/>
      <c r="BL80" s="52"/>
      <c r="BM80" s="52"/>
      <c r="BN80" s="52"/>
      <c r="BO80" s="72"/>
      <c r="BP80" s="52"/>
      <c r="BQ80" s="52"/>
      <c r="BR80" s="71" t="s">
        <v>1735</v>
      </c>
      <c r="BS80" s="53"/>
      <c r="BT80" s="53"/>
      <c r="BU80" s="65"/>
      <c r="BV80" s="55"/>
      <c r="BW80" s="55"/>
      <c r="BX80" s="56" t="s">
        <v>1736</v>
      </c>
      <c r="BY80" s="57" t="s">
        <v>1737</v>
      </c>
      <c r="BZ80" s="58"/>
    </row>
    <row r="81" spans="1:78" ht="15.6" x14ac:dyDescent="0.3">
      <c r="A81" s="81" t="s">
        <v>739</v>
      </c>
      <c r="B81" s="38" t="s">
        <v>223</v>
      </c>
      <c r="C81" s="1" t="s">
        <v>224</v>
      </c>
      <c r="D81" s="39"/>
      <c r="E81" s="40" t="s">
        <v>225</v>
      </c>
      <c r="F81" s="41">
        <v>0</v>
      </c>
      <c r="G81" s="42" t="s">
        <v>1738</v>
      </c>
      <c r="H81" s="42" t="s">
        <v>1738</v>
      </c>
      <c r="I81" s="42" t="s">
        <v>1738</v>
      </c>
      <c r="J81" s="42" t="s">
        <v>1739</v>
      </c>
      <c r="K81" s="42" t="s">
        <v>1740</v>
      </c>
      <c r="L81" s="42" t="s">
        <v>1741</v>
      </c>
      <c r="M81" s="42" t="s">
        <v>1742</v>
      </c>
      <c r="N81" s="42" t="s">
        <v>1743</v>
      </c>
      <c r="O81" s="42" t="s">
        <v>1744</v>
      </c>
      <c r="P81" s="41">
        <v>0</v>
      </c>
      <c r="Q81" s="42"/>
      <c r="R81" s="42"/>
      <c r="S81" s="42"/>
      <c r="T81" s="42">
        <v>0</v>
      </c>
      <c r="U81" s="42"/>
      <c r="V81" s="42"/>
      <c r="W81" s="43">
        <v>169185.60528090913</v>
      </c>
      <c r="X81" s="43">
        <v>165582.99518532731</v>
      </c>
      <c r="Y81" s="43">
        <v>161148.66291420706</v>
      </c>
      <c r="Z81" s="43">
        <v>160338.57743687485</v>
      </c>
      <c r="AA81" s="43">
        <v>163025.81</v>
      </c>
      <c r="AB81" s="43">
        <v>159663.17000000001</v>
      </c>
      <c r="AC81" s="43">
        <v>188529.03</v>
      </c>
      <c r="AD81" s="43">
        <v>179840.25</v>
      </c>
      <c r="AE81" s="43">
        <v>8191.01</v>
      </c>
      <c r="AF81" s="43">
        <v>0</v>
      </c>
      <c r="AG81" s="43">
        <v>0</v>
      </c>
      <c r="AH81" s="43">
        <v>0</v>
      </c>
      <c r="AI81" s="43">
        <v>0</v>
      </c>
      <c r="AJ81" s="43"/>
      <c r="AK81" s="43"/>
      <c r="AL81" s="44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6"/>
      <c r="BC81" s="47"/>
      <c r="BD81" s="43"/>
      <c r="BE81" s="43"/>
      <c r="BF81" s="48">
        <f t="shared" si="14"/>
        <v>0</v>
      </c>
      <c r="BG81" s="49"/>
      <c r="BH81" s="43"/>
      <c r="BI81" s="50">
        <f t="shared" si="12"/>
        <v>0</v>
      </c>
      <c r="BJ81" s="51">
        <f t="shared" si="13"/>
        <v>0</v>
      </c>
      <c r="BK81" s="52"/>
      <c r="BL81" s="52"/>
      <c r="BM81" s="52"/>
      <c r="BN81" s="52"/>
      <c r="BO81" s="72"/>
      <c r="BP81" s="52"/>
      <c r="BQ81" s="52"/>
      <c r="BR81" s="71" t="s">
        <v>1735</v>
      </c>
      <c r="BS81" s="53"/>
      <c r="BT81" s="53"/>
      <c r="BU81" s="65"/>
      <c r="BV81" s="55"/>
      <c r="BW81" s="55"/>
      <c r="BX81" s="56"/>
      <c r="BY81" s="67"/>
      <c r="BZ81" s="58"/>
    </row>
    <row r="82" spans="1:78" ht="15.6" x14ac:dyDescent="0.3">
      <c r="A82" s="81" t="s">
        <v>694</v>
      </c>
      <c r="B82" s="38" t="s">
        <v>226</v>
      </c>
      <c r="C82" s="1" t="s">
        <v>227</v>
      </c>
      <c r="D82" s="39" t="s">
        <v>1745</v>
      </c>
      <c r="E82" s="40" t="s">
        <v>228</v>
      </c>
      <c r="F82" s="41" t="s">
        <v>758</v>
      </c>
      <c r="G82" s="42" t="s">
        <v>1746</v>
      </c>
      <c r="H82" s="42" t="s">
        <v>1746</v>
      </c>
      <c r="I82" s="42" t="s">
        <v>1746</v>
      </c>
      <c r="J82" s="42" t="s">
        <v>1747</v>
      </c>
      <c r="K82" s="42" t="s">
        <v>1748</v>
      </c>
      <c r="L82" s="42" t="s">
        <v>1749</v>
      </c>
      <c r="M82" s="42" t="s">
        <v>1750</v>
      </c>
      <c r="N82" s="42" t="s">
        <v>1751</v>
      </c>
      <c r="O82" s="42" t="s">
        <v>1752</v>
      </c>
      <c r="P82" s="42" t="s">
        <v>1753</v>
      </c>
      <c r="Q82" s="42" t="s">
        <v>1754</v>
      </c>
      <c r="R82" s="42" t="s">
        <v>1755</v>
      </c>
      <c r="S82" s="42" t="s">
        <v>1756</v>
      </c>
      <c r="T82" s="42" t="s">
        <v>1757</v>
      </c>
      <c r="U82" s="42" t="s">
        <v>1758</v>
      </c>
      <c r="V82" s="42" t="str">
        <f>VLOOKUP(D82,[1]ALL!$A$15:$Z$983,3,FALSE)</f>
        <v>MTS-EGW</v>
      </c>
      <c r="W82" s="43">
        <v>7745.1769496422021</v>
      </c>
      <c r="X82" s="43">
        <v>6469.364046370607</v>
      </c>
      <c r="Y82" s="43">
        <v>3942.1233151422875</v>
      </c>
      <c r="Z82" s="43">
        <v>4253.9556203224511</v>
      </c>
      <c r="AA82" s="43">
        <v>4319.1899999999996</v>
      </c>
      <c r="AB82" s="43">
        <v>5172.33</v>
      </c>
      <c r="AC82" s="43">
        <v>4601.8500000000004</v>
      </c>
      <c r="AD82" s="43">
        <v>9266.17</v>
      </c>
      <c r="AE82" s="43">
        <v>20226.52</v>
      </c>
      <c r="AF82" s="43">
        <v>17754.89</v>
      </c>
      <c r="AG82" s="43">
        <v>20233.59</v>
      </c>
      <c r="AH82" s="43">
        <v>20899.96</v>
      </c>
      <c r="AI82" s="43">
        <v>22000.99</v>
      </c>
      <c r="AJ82" s="43">
        <v>20967.05</v>
      </c>
      <c r="AK82" s="43">
        <v>17872.36</v>
      </c>
      <c r="AL82" s="44"/>
      <c r="AM82" s="45">
        <f>VLOOKUP($B82,'[2]E.U.'!$R$9:$AZ$205,11,FALSE)</f>
        <v>1616.7</v>
      </c>
      <c r="AN82" s="45">
        <f>VLOOKUP($B82,'[3]E.U.'!$R9:$AZ$225,11,FALSE)</f>
        <v>2.46</v>
      </c>
      <c r="AO82" s="45">
        <f>VLOOKUP($B82,'[4]E.U.'!$R$9:$BZ$225,11,FALSE)</f>
        <v>1446.9805225733878</v>
      </c>
      <c r="AP82" s="45">
        <f>VLOOKUP($B82,'[5]E.U.'!$R$9:$BZ$225,11,FALSE)</f>
        <v>1370.1258096863833</v>
      </c>
      <c r="AQ82" s="45">
        <f>VLOOKUP($B82,'[6]E.U.'!$R$9:$CA$225,11,FALSE)</f>
        <v>1445.6390409603073</v>
      </c>
      <c r="AR82" s="45">
        <f>VLOOKUP($B82,'[7]E.U.'!$R$9:$AZ$225,11,FALSE)</f>
        <v>1276.2936473771304</v>
      </c>
      <c r="AS82" s="45">
        <f>VLOOKUP($B82,'[8]E.U.'!$R$9:$AZ$225,11,FALSE)</f>
        <v>1410.0644759974007</v>
      </c>
      <c r="AT82" s="45">
        <f>VLOOKUP($B82,'[9]E.U.'!$R$9:$AZ$221,11,FALSE)</f>
        <v>1284.5617893640606</v>
      </c>
      <c r="AU82" s="45"/>
      <c r="AV82" s="45">
        <f>VLOOKUP($B82,'[10]E.U.'!$R$9:$AZ$221,11,FALSE)</f>
        <v>1325.8910883021917</v>
      </c>
      <c r="AW82" s="45">
        <f>VLOOKUP($B82,'[11]E.U.'!$R$9:$AZ$220,11,FALSE)</f>
        <v>1219.524157919685</v>
      </c>
      <c r="AX82" s="252"/>
      <c r="AY82" s="45">
        <f>VLOOKUP($B82,'[12]E.U.'!$R$9:$AZ$220,11,FALSE)</f>
        <v>0</v>
      </c>
      <c r="AZ82" s="45"/>
      <c r="BA82" s="45">
        <f>VLOOKUP($B82,'[13]E.U.'!$R$9:$AZ$221,11,FALSE)</f>
        <v>183.23401522603538</v>
      </c>
      <c r="BB82" s="46">
        <f t="shared" si="15"/>
        <v>12581.47454740658</v>
      </c>
      <c r="BC82" s="47" t="e">
        <f>SUM(#REF!)</f>
        <v>#REF!</v>
      </c>
      <c r="BD82" s="43" t="e">
        <f>VLOOKUP(V82,[14]ELECTRIC!$C$1:$H$4000,6,FALSE)</f>
        <v>#N/A</v>
      </c>
      <c r="BE82" s="43" t="e">
        <f t="shared" si="10"/>
        <v>#N/A</v>
      </c>
      <c r="BF82" s="48">
        <f t="shared" si="14"/>
        <v>12581.47454740658</v>
      </c>
      <c r="BG82" s="49">
        <f t="shared" si="9"/>
        <v>21918.726015089036</v>
      </c>
      <c r="BH82" s="43" t="e">
        <f t="shared" ref="BH82:BH91" si="16">IF(BC82=0,0,(BB82*(AK82/BC82)))</f>
        <v>#REF!</v>
      </c>
      <c r="BI82" s="50" t="e">
        <f t="shared" si="12"/>
        <v>#REF!</v>
      </c>
      <c r="BJ82" s="51">
        <f t="shared" si="13"/>
        <v>-0.2960373141875734</v>
      </c>
      <c r="BK82" s="52"/>
      <c r="BL82" s="52"/>
      <c r="BM82" s="52"/>
      <c r="BN82" s="52"/>
      <c r="BO82" s="72"/>
      <c r="BP82" s="52"/>
      <c r="BQ82" s="52"/>
      <c r="BR82" s="71"/>
      <c r="BS82" s="53"/>
      <c r="BT82" s="53"/>
      <c r="BU82" s="65"/>
      <c r="BV82" s="55"/>
      <c r="BW82" s="55"/>
      <c r="BX82" s="56"/>
      <c r="BY82" s="67"/>
      <c r="BZ82" s="58"/>
    </row>
    <row r="83" spans="1:78" ht="15.6" x14ac:dyDescent="0.3">
      <c r="A83" s="81" t="s">
        <v>1359</v>
      </c>
      <c r="B83" s="38" t="s">
        <v>229</v>
      </c>
      <c r="C83" s="1" t="s">
        <v>230</v>
      </c>
      <c r="D83" t="s">
        <v>1759</v>
      </c>
      <c r="E83" s="40" t="s">
        <v>231</v>
      </c>
      <c r="F83" s="41">
        <v>0</v>
      </c>
      <c r="G83" s="42" t="s">
        <v>1760</v>
      </c>
      <c r="H83" s="42" t="s">
        <v>1761</v>
      </c>
      <c r="I83" s="42" t="s">
        <v>1762</v>
      </c>
      <c r="J83" s="42" t="s">
        <v>1763</v>
      </c>
      <c r="K83" s="42" t="s">
        <v>1764</v>
      </c>
      <c r="L83" s="42" t="s">
        <v>1765</v>
      </c>
      <c r="M83" s="42" t="s">
        <v>1766</v>
      </c>
      <c r="N83" s="42" t="s">
        <v>1767</v>
      </c>
      <c r="O83" s="42" t="s">
        <v>1768</v>
      </c>
      <c r="P83" s="42" t="s">
        <v>1769</v>
      </c>
      <c r="Q83" s="42" t="s">
        <v>1770</v>
      </c>
      <c r="R83" s="42" t="s">
        <v>1771</v>
      </c>
      <c r="S83" s="42" t="s">
        <v>1772</v>
      </c>
      <c r="T83" s="42" t="s">
        <v>1773</v>
      </c>
      <c r="U83" s="42" t="s">
        <v>1774</v>
      </c>
      <c r="V83" s="42" t="str">
        <f>VLOOKUP(D83,[1]ALL!$A$15:$Z$983,3,FALSE)</f>
        <v>DXM-ELC</v>
      </c>
      <c r="W83" s="43">
        <v>15057.422874901002</v>
      </c>
      <c r="X83" s="43">
        <v>14324.795509550695</v>
      </c>
      <c r="Y83" s="43">
        <v>14145.773183580568</v>
      </c>
      <c r="Z83" s="43">
        <v>15982.449965859498</v>
      </c>
      <c r="AA83" s="43">
        <v>15545.28</v>
      </c>
      <c r="AB83" s="43">
        <v>13772.89</v>
      </c>
      <c r="AC83" s="43">
        <v>14896.33</v>
      </c>
      <c r="AD83" s="43">
        <v>15700.78</v>
      </c>
      <c r="AE83" s="43">
        <v>17549.060000000001</v>
      </c>
      <c r="AF83" s="43">
        <v>17258.04</v>
      </c>
      <c r="AG83" s="43">
        <v>20044.37</v>
      </c>
      <c r="AH83" s="43">
        <v>19343.46</v>
      </c>
      <c r="AI83" s="43">
        <v>20843.59</v>
      </c>
      <c r="AJ83" s="43">
        <v>23583.65</v>
      </c>
      <c r="AK83" s="43">
        <v>25839.63</v>
      </c>
      <c r="AL83" s="44"/>
      <c r="AM83" s="45">
        <f>VLOOKUP($B83,'[2]E.U.'!$R$9:$AZ$205,11,FALSE)</f>
        <v>1916.69</v>
      </c>
      <c r="AN83" s="45">
        <f>VLOOKUP($B83,'[3]E.U.'!$R9:$AZ$225,11,FALSE)</f>
        <v>1728.57</v>
      </c>
      <c r="AO83" s="45">
        <f>VLOOKUP($B83,'[4]E.U.'!$R$9:$BZ$225,11,FALSE)</f>
        <v>1954.7000940525638</v>
      </c>
      <c r="AP83" s="45">
        <f>VLOOKUP($B83,'[5]E.U.'!$R$9:$BZ$225,11,FALSE)</f>
        <v>2112.2479842312255</v>
      </c>
      <c r="AQ83" s="45">
        <f>VLOOKUP($B83,'[6]E.U.'!$R$9:$CA$225,11,FALSE)</f>
        <v>3265.9769525081429</v>
      </c>
      <c r="AR83" s="45">
        <f>VLOOKUP($B83,'[7]E.U.'!$R$9:$AZ$225,11,FALSE)</f>
        <v>2954.6284090728277</v>
      </c>
      <c r="AS83" s="45">
        <f>VLOOKUP($B83,'[8]E.U.'!$R$9:$AZ$225,11,FALSE)</f>
        <v>2576.1018386291335</v>
      </c>
      <c r="AT83" s="45">
        <f>VLOOKUP($B83,'[9]E.U.'!$R$9:$AZ$221,11,FALSE)</f>
        <v>1878.200759601383</v>
      </c>
      <c r="AU83" s="45"/>
      <c r="AV83" s="45">
        <f>VLOOKUP($B83,'[10]E.U.'!$R$9:$AZ$221,11,FALSE)</f>
        <v>1920.7892054393853</v>
      </c>
      <c r="AW83" s="45">
        <f>VLOOKUP($B83,'[11]E.U.'!$R$9:$AZ$220,11,FALSE)</f>
        <v>2189.6796238520651</v>
      </c>
      <c r="AX83" s="252"/>
      <c r="AY83" s="45">
        <f>VLOOKUP($B83,'[12]E.U.'!$R$9:$AZ$220,11,FALSE)</f>
        <v>2049.8700372466628</v>
      </c>
      <c r="AZ83" s="45"/>
      <c r="BA83" s="45">
        <f>VLOOKUP($B83,'[13]E.U.'!$R$9:$AZ$221,11,FALSE)</f>
        <v>2208.1654893446039</v>
      </c>
      <c r="BB83" s="46">
        <f t="shared" si="15"/>
        <v>26755.620393977992</v>
      </c>
      <c r="BC83" s="47" t="e">
        <f>SUM(#REF!)</f>
        <v>#REF!</v>
      </c>
      <c r="BD83" s="43" t="e">
        <f>VLOOKUP(V83,[14]ELECTRIC!$C$1:$H$4000,6,FALSE)</f>
        <v>#N/A</v>
      </c>
      <c r="BE83" s="43" t="e">
        <f t="shared" si="10"/>
        <v>#N/A</v>
      </c>
      <c r="BF83" s="48">
        <f t="shared" si="14"/>
        <v>26755.620393977992</v>
      </c>
      <c r="BG83" s="49">
        <f t="shared" si="9"/>
        <v>46612.11295779451</v>
      </c>
      <c r="BH83" s="43" t="e">
        <f t="shared" si="16"/>
        <v>#REF!</v>
      </c>
      <c r="BI83" s="50" t="e">
        <f t="shared" si="12"/>
        <v>#REF!</v>
      </c>
      <c r="BJ83" s="51">
        <f t="shared" si="13"/>
        <v>3.544905224950945E-2</v>
      </c>
      <c r="BK83" s="52"/>
      <c r="BL83" s="52"/>
      <c r="BM83" s="52"/>
      <c r="BN83" s="52"/>
      <c r="BO83" s="72"/>
      <c r="BP83" s="52"/>
      <c r="BQ83" s="52"/>
      <c r="BR83" s="50"/>
      <c r="BS83" s="53"/>
      <c r="BT83" s="53"/>
      <c r="BU83" s="65"/>
      <c r="BV83" s="55"/>
      <c r="BW83" s="55"/>
      <c r="BX83" s="56"/>
      <c r="BY83" s="57" t="s">
        <v>1775</v>
      </c>
      <c r="BZ83" s="58"/>
    </row>
    <row r="84" spans="1:78" ht="15.6" x14ac:dyDescent="0.3">
      <c r="A84" s="59" t="s">
        <v>1222</v>
      </c>
      <c r="B84" s="38" t="s">
        <v>232</v>
      </c>
      <c r="C84" s="1" t="s">
        <v>233</v>
      </c>
      <c r="D84" s="39" t="s">
        <v>1776</v>
      </c>
      <c r="E84" s="40" t="s">
        <v>234</v>
      </c>
      <c r="F84" s="41" t="s">
        <v>758</v>
      </c>
      <c r="G84" s="42" t="s">
        <v>1777</v>
      </c>
      <c r="H84" s="42" t="s">
        <v>1777</v>
      </c>
      <c r="I84" s="42" t="s">
        <v>1777</v>
      </c>
      <c r="J84" s="42" t="s">
        <v>1778</v>
      </c>
      <c r="K84" s="42" t="s">
        <v>1779</v>
      </c>
      <c r="L84" s="42" t="s">
        <v>1780</v>
      </c>
      <c r="M84" s="42" t="s">
        <v>1781</v>
      </c>
      <c r="N84" s="42" t="s">
        <v>1782</v>
      </c>
      <c r="O84" s="42" t="s">
        <v>1783</v>
      </c>
      <c r="P84" s="42" t="s">
        <v>1784</v>
      </c>
      <c r="Q84" s="42" t="s">
        <v>1785</v>
      </c>
      <c r="R84" s="42" t="s">
        <v>1786</v>
      </c>
      <c r="S84" s="42" t="s">
        <v>1787</v>
      </c>
      <c r="T84" s="42" t="s">
        <v>1788</v>
      </c>
      <c r="U84" s="42" t="s">
        <v>1789</v>
      </c>
      <c r="V84" s="42" t="str">
        <f>VLOOKUP(D84,[1]ALL!$A$15:$Z$983,3,FALSE)</f>
        <v>KCH-EGW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3">
        <v>0</v>
      </c>
      <c r="AK84" s="43">
        <v>0</v>
      </c>
      <c r="AL84" s="44"/>
      <c r="AM84" s="45">
        <f>VLOOKUP($B84,'[2]E.U.'!$R$9:$AZ$205,11,FALSE)</f>
        <v>0</v>
      </c>
      <c r="AN84" s="45">
        <f>VLOOKUP($B84,'[3]E.U.'!$R9:$AZ$225,11,FALSE)</f>
        <v>0</v>
      </c>
      <c r="AO84" s="45">
        <f>VLOOKUP($B84,'[4]E.U.'!$R$9:$BZ$225,11,FALSE)</f>
        <v>0</v>
      </c>
      <c r="AP84" s="45">
        <f>VLOOKUP($B84,'[5]E.U.'!$R$9:$BZ$225,11,FALSE)</f>
        <v>0</v>
      </c>
      <c r="AQ84" s="45">
        <f>VLOOKUP($B84,'[6]E.U.'!$R$9:$CA$225,11,FALSE)</f>
        <v>0</v>
      </c>
      <c r="AR84" s="45">
        <f>VLOOKUP($B84,'[7]E.U.'!$R$9:$AZ$225,11,FALSE)</f>
        <v>0</v>
      </c>
      <c r="AS84" s="45">
        <f>VLOOKUP($B84,'[8]E.U.'!$R$9:$AZ$225,11,FALSE)</f>
        <v>0</v>
      </c>
      <c r="AT84" s="45">
        <f>VLOOKUP($B84,'[9]E.U.'!$R$9:$AZ$221,11,FALSE)</f>
        <v>0</v>
      </c>
      <c r="AU84" s="45"/>
      <c r="AV84" s="45">
        <f>VLOOKUP($B84,'[10]E.U.'!$R$9:$AZ$221,11,FALSE)</f>
        <v>0</v>
      </c>
      <c r="AW84" s="45">
        <f>VLOOKUP($B84,'[11]E.U.'!$R$9:$AZ$220,11,FALSE)</f>
        <v>0</v>
      </c>
      <c r="AX84" s="45"/>
      <c r="AY84" s="45">
        <f>VLOOKUP($B84,'[12]E.U.'!$R$9:$AZ$220,11,FALSE)</f>
        <v>0</v>
      </c>
      <c r="AZ84" s="45"/>
      <c r="BA84" s="45">
        <f>VLOOKUP($B84,'[13]E.U.'!$R$9:$AZ$221,11,FALSE)</f>
        <v>0</v>
      </c>
      <c r="BB84" s="46">
        <f t="shared" si="15"/>
        <v>0</v>
      </c>
      <c r="BC84" s="47" t="e">
        <f>SUM(#REF!)</f>
        <v>#REF!</v>
      </c>
      <c r="BD84" s="43"/>
      <c r="BE84" s="43">
        <f t="shared" si="10"/>
        <v>0</v>
      </c>
      <c r="BF84" s="48">
        <f t="shared" si="14"/>
        <v>0</v>
      </c>
      <c r="BG84" s="49">
        <f t="shared" si="9"/>
        <v>0</v>
      </c>
      <c r="BH84" s="43" t="e">
        <f t="shared" si="16"/>
        <v>#REF!</v>
      </c>
      <c r="BI84" s="50" t="e">
        <f t="shared" si="12"/>
        <v>#REF!</v>
      </c>
      <c r="BJ84" s="51">
        <f t="shared" si="13"/>
        <v>0</v>
      </c>
      <c r="BK84" s="52"/>
      <c r="BL84" s="52"/>
      <c r="BM84" s="52"/>
      <c r="BN84" s="52"/>
      <c r="BO84" s="72"/>
      <c r="BP84" s="52"/>
      <c r="BQ84" s="52"/>
      <c r="BR84" s="50"/>
      <c r="BS84" s="53"/>
      <c r="BT84" s="53"/>
      <c r="BU84" s="65"/>
      <c r="BV84" s="55"/>
      <c r="BW84" s="55"/>
      <c r="BX84" s="56"/>
      <c r="BY84" s="67"/>
      <c r="BZ84" s="58"/>
    </row>
    <row r="85" spans="1:78" ht="15.6" x14ac:dyDescent="0.3">
      <c r="A85" s="59" t="s">
        <v>1359</v>
      </c>
      <c r="B85" s="38" t="s">
        <v>235</v>
      </c>
      <c r="C85" s="1" t="s">
        <v>236</v>
      </c>
      <c r="D85" t="s">
        <v>1790</v>
      </c>
      <c r="E85" s="40" t="s">
        <v>237</v>
      </c>
      <c r="F85" s="41">
        <v>0</v>
      </c>
      <c r="G85" s="42" t="s">
        <v>1791</v>
      </c>
      <c r="H85" s="42" t="s">
        <v>1792</v>
      </c>
      <c r="I85" s="42" t="s">
        <v>1793</v>
      </c>
      <c r="J85" s="42" t="s">
        <v>1794</v>
      </c>
      <c r="K85" s="42" t="s">
        <v>1795</v>
      </c>
      <c r="L85" s="42" t="s">
        <v>1796</v>
      </c>
      <c r="M85" s="42" t="s">
        <v>1797</v>
      </c>
      <c r="N85" s="42" t="s">
        <v>1798</v>
      </c>
      <c r="O85" s="42" t="s">
        <v>1799</v>
      </c>
      <c r="P85" s="42" t="s">
        <v>1800</v>
      </c>
      <c r="Q85" s="42" t="s">
        <v>1801</v>
      </c>
      <c r="R85" s="42" t="s">
        <v>1802</v>
      </c>
      <c r="S85" s="42" t="s">
        <v>1803</v>
      </c>
      <c r="T85" s="42" t="s">
        <v>1804</v>
      </c>
      <c r="U85" s="42" t="s">
        <v>1805</v>
      </c>
      <c r="V85" s="42" t="str">
        <f>VLOOKUP(D85,[1]ALL!$A$15:$Z$983,3,FALSE)</f>
        <v>EVK-ELC</v>
      </c>
      <c r="W85" s="43">
        <v>23738.872718157803</v>
      </c>
      <c r="X85" s="43">
        <v>22410.749788876325</v>
      </c>
      <c r="Y85" s="43">
        <v>22046.306530275804</v>
      </c>
      <c r="Z85" s="43">
        <v>22351.200734886712</v>
      </c>
      <c r="AA85" s="43">
        <v>22419.69</v>
      </c>
      <c r="AB85" s="43">
        <v>23003.360000000001</v>
      </c>
      <c r="AC85" s="43">
        <v>24285.29</v>
      </c>
      <c r="AD85" s="43">
        <v>25490.959999999999</v>
      </c>
      <c r="AE85" s="43">
        <v>26789.64</v>
      </c>
      <c r="AF85" s="43">
        <v>28632.080000000002</v>
      </c>
      <c r="AG85" s="43">
        <v>30390.15</v>
      </c>
      <c r="AH85" s="43">
        <v>30855.57</v>
      </c>
      <c r="AI85" s="43">
        <v>30145.07</v>
      </c>
      <c r="AJ85" s="43">
        <v>31502.560000000001</v>
      </c>
      <c r="AK85" s="43">
        <v>41404.61</v>
      </c>
      <c r="AL85" s="44"/>
      <c r="AM85" s="45">
        <f>VLOOKUP($B85,'[2]E.U.'!$R$9:$AZ$205,11,FALSE)</f>
        <v>3295.48</v>
      </c>
      <c r="AN85" s="45">
        <f>VLOOKUP($B85,'[3]E.U.'!$R9:$AZ$225,11,FALSE)</f>
        <v>3292.29</v>
      </c>
      <c r="AO85" s="45">
        <f>VLOOKUP($B85,'[4]E.U.'!$R$9:$BZ$225,11,FALSE)</f>
        <v>3248.3362792805515</v>
      </c>
      <c r="AP85" s="45">
        <f>VLOOKUP($B85,'[5]E.U.'!$R$9:$BZ$225,11,FALSE)</f>
        <v>3552.6123581607053</v>
      </c>
      <c r="AQ85" s="45">
        <f>VLOOKUP($B85,'[6]E.U.'!$R$9:$CA$225,11,FALSE)</f>
        <v>5662.8048910836733</v>
      </c>
      <c r="AR85" s="45">
        <f>VLOOKUP($B85,'[7]E.U.'!$R$9:$AZ$225,11,FALSE)</f>
        <v>4898.0932913800252</v>
      </c>
      <c r="AS85" s="45">
        <f>VLOOKUP($B85,'[8]E.U.'!$R$9:$AZ$225,11,FALSE)</f>
        <v>4387.4076830265994</v>
      </c>
      <c r="AT85" s="45">
        <f>VLOOKUP($B85,'[9]E.U.'!$R$9:$AZ$221,11,FALSE)</f>
        <v>4216.8006999964218</v>
      </c>
      <c r="AU85" s="45"/>
      <c r="AV85" s="45">
        <f>VLOOKUP($B85,'[10]E.U.'!$R$9:$AZ$221,11,FALSE)</f>
        <v>3574.499638510249</v>
      </c>
      <c r="AW85" s="45">
        <f>VLOOKUP($B85,'[11]E.U.'!$R$9:$AZ$220,11,FALSE)</f>
        <v>2327.7196725106091</v>
      </c>
      <c r="AX85" s="252"/>
      <c r="AY85" s="45">
        <f>VLOOKUP($B85,'[12]E.U.'!$R$9:$AZ$220,11,FALSE)</f>
        <v>2039.9282135094272</v>
      </c>
      <c r="AZ85" s="45"/>
      <c r="BA85" s="45">
        <f>VLOOKUP($B85,'[13]E.U.'!$R$9:$AZ$221,11,FALSE)</f>
        <v>2224.7512059152664</v>
      </c>
      <c r="BB85" s="46">
        <f t="shared" si="15"/>
        <v>42720.723933373527</v>
      </c>
      <c r="BC85" s="47" t="e">
        <f>SUM(#REF!)</f>
        <v>#REF!</v>
      </c>
      <c r="BD85" s="43" t="e">
        <f>VLOOKUP(V85,[14]ELECTRIC!$C$1:$H$4000,6,FALSE)</f>
        <v>#N/A</v>
      </c>
      <c r="BE85" s="43" t="e">
        <f t="shared" si="10"/>
        <v>#N/A</v>
      </c>
      <c r="BF85" s="48">
        <f t="shared" si="14"/>
        <v>42720.723933373527</v>
      </c>
      <c r="BG85" s="49">
        <f t="shared" si="9"/>
        <v>74425.604052498587</v>
      </c>
      <c r="BH85" s="43" t="e">
        <f t="shared" si="16"/>
        <v>#REF!</v>
      </c>
      <c r="BI85" s="50" t="e">
        <f t="shared" si="12"/>
        <v>#REF!</v>
      </c>
      <c r="BJ85" s="51">
        <f t="shared" si="13"/>
        <v>3.1786652099211388E-2</v>
      </c>
      <c r="BK85" s="52"/>
      <c r="BL85" s="52"/>
      <c r="BM85" s="52"/>
      <c r="BN85" s="52"/>
      <c r="BO85" s="72"/>
      <c r="BP85" s="52"/>
      <c r="BQ85" s="52"/>
      <c r="BR85" s="50"/>
      <c r="BS85" s="53"/>
      <c r="BT85" s="53"/>
      <c r="BU85" s="65"/>
      <c r="BV85" s="55"/>
      <c r="BW85" s="55"/>
      <c r="BX85" s="56"/>
      <c r="BY85" s="67"/>
      <c r="BZ85" s="58"/>
    </row>
    <row r="86" spans="1:78" ht="15.6" x14ac:dyDescent="0.3">
      <c r="A86" s="59" t="s">
        <v>1359</v>
      </c>
      <c r="B86" s="38" t="s">
        <v>238</v>
      </c>
      <c r="C86" s="1" t="s">
        <v>239</v>
      </c>
      <c r="D86" t="s">
        <v>1806</v>
      </c>
      <c r="E86" s="40" t="s">
        <v>240</v>
      </c>
      <c r="F86" s="41">
        <v>0</v>
      </c>
      <c r="G86" s="42" t="s">
        <v>1807</v>
      </c>
      <c r="H86" s="42" t="s">
        <v>1808</v>
      </c>
      <c r="I86" s="42" t="s">
        <v>1809</v>
      </c>
      <c r="J86" s="42" t="s">
        <v>1810</v>
      </c>
      <c r="K86" s="42" t="s">
        <v>1811</v>
      </c>
      <c r="L86" s="42" t="s">
        <v>1812</v>
      </c>
      <c r="M86" s="42" t="s">
        <v>1813</v>
      </c>
      <c r="N86" s="42" t="s">
        <v>1814</v>
      </c>
      <c r="O86" s="42" t="s">
        <v>1815</v>
      </c>
      <c r="P86" s="42" t="s">
        <v>1816</v>
      </c>
      <c r="Q86" s="42" t="s">
        <v>1817</v>
      </c>
      <c r="R86" s="42" t="s">
        <v>1818</v>
      </c>
      <c r="S86" s="42" t="s">
        <v>1819</v>
      </c>
      <c r="T86" s="42" t="s">
        <v>1820</v>
      </c>
      <c r="U86" s="42" t="s">
        <v>1821</v>
      </c>
      <c r="V86" s="42" t="str">
        <f>VLOOKUP(D86,[1]ALL!$A$15:$Z$983,3,FALSE)</f>
        <v>HRH-ELC</v>
      </c>
      <c r="W86" s="43">
        <v>28104.091880355103</v>
      </c>
      <c r="X86" s="43">
        <v>26481.290053520504</v>
      </c>
      <c r="Y86" s="43">
        <v>26053.049020459428</v>
      </c>
      <c r="Z86" s="43">
        <v>26412.871586757989</v>
      </c>
      <c r="AA86" s="43">
        <v>26493.86</v>
      </c>
      <c r="AB86" s="43">
        <v>27183.46</v>
      </c>
      <c r="AC86" s="43">
        <v>28698.6</v>
      </c>
      <c r="AD86" s="43">
        <v>30123.13</v>
      </c>
      <c r="AE86" s="43">
        <v>31657.53</v>
      </c>
      <c r="AF86" s="43">
        <v>33834.65</v>
      </c>
      <c r="AG86" s="43">
        <v>35912.36</v>
      </c>
      <c r="AH86" s="43">
        <v>36462.43</v>
      </c>
      <c r="AI86" s="43">
        <v>35619.96</v>
      </c>
      <c r="AJ86" s="43">
        <v>37223.93</v>
      </c>
      <c r="AK86" s="43">
        <v>48926.85</v>
      </c>
      <c r="AL86" s="44"/>
      <c r="AM86" s="45">
        <f>VLOOKUP($B86,'[2]E.U.'!$R$9:$AZ$205,11,FALSE)</f>
        <v>3894.21</v>
      </c>
      <c r="AN86" s="45">
        <f>VLOOKUP($B86,'[3]E.U.'!$R9:$AZ$225,11,FALSE)</f>
        <v>3890.4</v>
      </c>
      <c r="AO86" s="45">
        <f>VLOOKUP($B86,'[4]E.U.'!$R$9:$BZ$225,11,FALSE)</f>
        <v>3838.9483318330949</v>
      </c>
      <c r="AP86" s="45">
        <f>VLOOKUP($B86,'[5]E.U.'!$R$9:$BZ$225,11,FALSE)</f>
        <v>4198.5408682711668</v>
      </c>
      <c r="AQ86" s="45">
        <f>VLOOKUP($B86,'[6]E.U.'!$R$9:$CA$225,11,FALSE)</f>
        <v>6692.4077854327315</v>
      </c>
      <c r="AR86" s="45">
        <f>VLOOKUP($B86,'[7]E.U.'!$R$9:$AZ$225,11,FALSE)</f>
        <v>5788.6626364387339</v>
      </c>
      <c r="AS86" s="45">
        <f>VLOOKUP($B86,'[8]E.U.'!$R$9:$AZ$225,11,FALSE)</f>
        <v>5185.1268031457748</v>
      </c>
      <c r="AT86" s="45">
        <f>VLOOKUP($B86,'[9]E.U.'!$R$9:$AZ$221,11,FALSE)</f>
        <v>4983.4926692279078</v>
      </c>
      <c r="AU86" s="45"/>
      <c r="AV86" s="45">
        <f>VLOOKUP($B86,'[10]E.U.'!$R$9:$AZ$221,11,FALSE)</f>
        <v>4224.4077028301781</v>
      </c>
      <c r="AW86" s="45">
        <f>VLOOKUP($B86,'[11]E.U.'!$R$9:$AZ$220,11,FALSE)</f>
        <v>2750.9374923336622</v>
      </c>
      <c r="AX86" s="252"/>
      <c r="AY86" s="45">
        <f>VLOOKUP($B86,'[12]E.U.'!$R$9:$AZ$220,11,FALSE)</f>
        <v>2410.8350048091402</v>
      </c>
      <c r="AZ86" s="45"/>
      <c r="BA86" s="45">
        <f>VLOOKUP($B86,'[13]E.U.'!$R$9:$AZ$221,11,FALSE)</f>
        <v>2629.2582612788337</v>
      </c>
      <c r="BB86" s="46">
        <f t="shared" si="15"/>
        <v>50487.227555601225</v>
      </c>
      <c r="BC86" s="47" t="e">
        <f>SUM(#REF!)</f>
        <v>#REF!</v>
      </c>
      <c r="BD86" s="43" t="e">
        <f>VLOOKUP(V86,[14]ELECTRIC!$C$1:$H$4000,6,FALSE)</f>
        <v>#N/A</v>
      </c>
      <c r="BE86" s="43" t="e">
        <f t="shared" si="10"/>
        <v>#N/A</v>
      </c>
      <c r="BF86" s="48">
        <f t="shared" si="14"/>
        <v>50487.227555601225</v>
      </c>
      <c r="BG86" s="49">
        <f t="shared" si="9"/>
        <v>87955.962862936707</v>
      </c>
      <c r="BH86" s="43" t="e">
        <f t="shared" si="16"/>
        <v>#REF!</v>
      </c>
      <c r="BI86" s="50" t="e">
        <f t="shared" si="12"/>
        <v>#REF!</v>
      </c>
      <c r="BJ86" s="51">
        <f t="shared" si="13"/>
        <v>3.1892050185148291E-2</v>
      </c>
      <c r="BK86" s="52"/>
      <c r="BL86" s="52"/>
      <c r="BM86" s="52"/>
      <c r="BN86" s="52"/>
      <c r="BO86" s="72"/>
      <c r="BP86" s="52"/>
      <c r="BQ86" s="52"/>
      <c r="BR86" s="50"/>
      <c r="BS86" s="53"/>
      <c r="BT86" s="53"/>
      <c r="BU86" s="65"/>
      <c r="BV86" s="55"/>
      <c r="BW86" s="55"/>
      <c r="BX86" s="56"/>
      <c r="BY86" s="67"/>
      <c r="BZ86" s="58"/>
    </row>
    <row r="87" spans="1:78" ht="15.6" x14ac:dyDescent="0.3">
      <c r="A87" s="59" t="s">
        <v>694</v>
      </c>
      <c r="B87" s="38" t="s">
        <v>241</v>
      </c>
      <c r="C87" s="1" t="s">
        <v>242</v>
      </c>
      <c r="D87" t="s">
        <v>1822</v>
      </c>
      <c r="E87" s="40" t="s">
        <v>243</v>
      </c>
      <c r="F87" s="41">
        <v>0</v>
      </c>
      <c r="G87" s="42" t="s">
        <v>1823</v>
      </c>
      <c r="H87" s="42" t="s">
        <v>1824</v>
      </c>
      <c r="I87" s="42" t="s">
        <v>1825</v>
      </c>
      <c r="J87" s="42" t="s">
        <v>1826</v>
      </c>
      <c r="K87" s="42" t="s">
        <v>1827</v>
      </c>
      <c r="L87" s="42" t="s">
        <v>1828</v>
      </c>
      <c r="M87" s="42" t="s">
        <v>1829</v>
      </c>
      <c r="N87" s="42" t="s">
        <v>1830</v>
      </c>
      <c r="O87" s="42" t="s">
        <v>1831</v>
      </c>
      <c r="P87" s="42" t="s">
        <v>1832</v>
      </c>
      <c r="Q87" s="42" t="s">
        <v>1833</v>
      </c>
      <c r="R87" s="42" t="s">
        <v>1834</v>
      </c>
      <c r="S87" s="42" t="s">
        <v>1835</v>
      </c>
      <c r="T87" s="42" t="s">
        <v>1836</v>
      </c>
      <c r="U87" s="42" t="s">
        <v>1837</v>
      </c>
      <c r="V87" s="42" t="str">
        <f>VLOOKUP(D87,[1]ALL!$A$15:$Z$983,3,FALSE)</f>
        <v>COL-ELC</v>
      </c>
      <c r="W87" s="43">
        <v>67939.168841457766</v>
      </c>
      <c r="X87" s="43">
        <v>63963.491657119012</v>
      </c>
      <c r="Y87" s="43">
        <v>62947.727784233633</v>
      </c>
      <c r="Z87" s="43">
        <v>62122.000500600894</v>
      </c>
      <c r="AA87" s="43">
        <v>64008.82</v>
      </c>
      <c r="AB87" s="43">
        <v>65676.38</v>
      </c>
      <c r="AC87" s="43">
        <v>69335.649999999994</v>
      </c>
      <c r="AD87" s="43">
        <v>72778.19</v>
      </c>
      <c r="AE87" s="43">
        <v>76482.14</v>
      </c>
      <c r="AF87" s="43">
        <v>81741.429999999993</v>
      </c>
      <c r="AG87" s="43">
        <v>86762.57</v>
      </c>
      <c r="AH87" s="43">
        <v>88091.99</v>
      </c>
      <c r="AI87" s="43">
        <v>86034.64</v>
      </c>
      <c r="AJ87" s="43">
        <v>89908.61</v>
      </c>
      <c r="AK87" s="43">
        <v>118193.39</v>
      </c>
      <c r="AL87" s="44"/>
      <c r="AM87" s="45">
        <f>VLOOKUP($B87,'[2]E.U.'!$R$9:$AZ$205,11,FALSE)</f>
        <v>9407.5300000000007</v>
      </c>
      <c r="AN87" s="45">
        <f>VLOOKUP($B87,'[3]E.U.'!$R9:$AZ$225,11,FALSE)</f>
        <v>9398.31</v>
      </c>
      <c r="AO87" s="45">
        <f>VLOOKUP($B87,'[4]E.U.'!$R$9:$BZ$225,11,FALSE)</f>
        <v>9277.4568013878452</v>
      </c>
      <c r="AP87" s="45">
        <f>VLOOKUP($B87,'[5]E.U.'!$R$9:$BZ$225,11,FALSE)</f>
        <v>10146.480242967351</v>
      </c>
      <c r="AQ87" s="45">
        <f>VLOOKUP($B87,'[6]E.U.'!$R$9:$CA$225,11,FALSE)</f>
        <v>16173.31421986404</v>
      </c>
      <c r="AR87" s="45">
        <f>VLOOKUP($B87,'[7]E.U.'!$R$9:$AZ$225,11,FALSE)</f>
        <v>13989.267130764014</v>
      </c>
      <c r="AS87" s="45">
        <f>VLOOKUP($B87,'[8]E.U.'!$R$9:$AZ$225,11,FALSE)</f>
        <v>12530.717832310193</v>
      </c>
      <c r="AT87" s="45">
        <f>VLOOKUP($B87,'[9]E.U.'!$R$9:$AZ$221,11,FALSE)</f>
        <v>12043.451733983728</v>
      </c>
      <c r="AU87" s="45"/>
      <c r="AV87" s="45">
        <f>VLOOKUP($B87,'[10]E.U.'!$R$9:$AZ$221,11,FALSE)</f>
        <v>10208.986162631369</v>
      </c>
      <c r="AW87" s="45">
        <f>VLOOKUP($B87,'[11]E.U.'!$R$9:$AZ$220,11,FALSE)</f>
        <v>6648.1115768385762</v>
      </c>
      <c r="AX87" s="252"/>
      <c r="AY87" s="45">
        <f>VLOOKUP($B87,'[12]E.U.'!$R$9:$AZ$220,11,FALSE)</f>
        <v>5826.1774266355442</v>
      </c>
      <c r="AZ87" s="45"/>
      <c r="BA87" s="45">
        <f>VLOOKUP($B87,'[13]E.U.'!$R$9:$AZ$221,11,FALSE)</f>
        <v>6354.0318460466215</v>
      </c>
      <c r="BB87" s="46">
        <f t="shared" si="15"/>
        <v>122003.8349734293</v>
      </c>
      <c r="BC87" s="47" t="e">
        <f>SUM(#REF!)</f>
        <v>#REF!</v>
      </c>
      <c r="BD87" s="43" t="e">
        <f>VLOOKUP(V87,[14]ELECTRIC!$C$1:$H$4000,6,FALSE)</f>
        <v>#N/A</v>
      </c>
      <c r="BE87" s="43" t="e">
        <f t="shared" si="10"/>
        <v>#N/A</v>
      </c>
      <c r="BF87" s="48">
        <f t="shared" si="14"/>
        <v>122003.8349734293</v>
      </c>
      <c r="BG87" s="49">
        <f t="shared" si="9"/>
        <v>212548.10964299575</v>
      </c>
      <c r="BH87" s="43" t="e">
        <f t="shared" si="16"/>
        <v>#REF!</v>
      </c>
      <c r="BI87" s="50" t="e">
        <f t="shared" si="12"/>
        <v>#REF!</v>
      </c>
      <c r="BJ87" s="51">
        <f t="shared" si="13"/>
        <v>3.2239069997309411E-2</v>
      </c>
      <c r="BK87" s="52"/>
      <c r="BL87" s="52"/>
      <c r="BM87" s="52"/>
      <c r="BN87" s="52"/>
      <c r="BO87" s="72"/>
      <c r="BP87" s="52"/>
      <c r="BQ87" s="52"/>
      <c r="BR87" s="50"/>
      <c r="BS87" s="53"/>
      <c r="BT87" s="53"/>
      <c r="BU87" s="65"/>
      <c r="BV87" s="55"/>
      <c r="BW87" s="55"/>
      <c r="BX87" s="56"/>
      <c r="BY87" s="67"/>
      <c r="BZ87" s="58"/>
    </row>
    <row r="88" spans="1:78" ht="15.6" x14ac:dyDescent="0.3">
      <c r="A88" s="81" t="s">
        <v>694</v>
      </c>
      <c r="B88" s="38" t="s">
        <v>245</v>
      </c>
      <c r="C88" s="1" t="s">
        <v>246</v>
      </c>
      <c r="D88" s="39" t="s">
        <v>1838</v>
      </c>
      <c r="E88" s="40" t="s">
        <v>247</v>
      </c>
      <c r="F88" s="41">
        <v>0</v>
      </c>
      <c r="G88" s="42" t="s">
        <v>1659</v>
      </c>
      <c r="H88" s="42" t="s">
        <v>1659</v>
      </c>
      <c r="I88" s="42" t="s">
        <v>1659</v>
      </c>
      <c r="J88" s="42" t="s">
        <v>1839</v>
      </c>
      <c r="K88" s="42" t="s">
        <v>1840</v>
      </c>
      <c r="L88" s="42" t="s">
        <v>1841</v>
      </c>
      <c r="M88" s="42" t="s">
        <v>1842</v>
      </c>
      <c r="N88" s="42" t="s">
        <v>1843</v>
      </c>
      <c r="O88" s="42" t="s">
        <v>1844</v>
      </c>
      <c r="P88" s="42" t="s">
        <v>1845</v>
      </c>
      <c r="Q88" s="42" t="s">
        <v>1846</v>
      </c>
      <c r="R88" s="42" t="s">
        <v>1847</v>
      </c>
      <c r="S88" s="42" t="s">
        <v>1848</v>
      </c>
      <c r="T88" s="42" t="s">
        <v>1849</v>
      </c>
      <c r="U88" s="42" t="s">
        <v>1850</v>
      </c>
      <c r="V88" s="42" t="str">
        <f>VLOOKUP(D88,[1]ALL!$A$15:$Z$983,3,FALSE)</f>
        <v>CWO-EGW</v>
      </c>
      <c r="W88" s="43">
        <v>12110.544333590198</v>
      </c>
      <c r="X88" s="43">
        <v>11556.976438068796</v>
      </c>
      <c r="Y88" s="43">
        <v>12836.999929778853</v>
      </c>
      <c r="Z88" s="43">
        <v>13488.64001254283</v>
      </c>
      <c r="AA88" s="43">
        <v>11728.71</v>
      </c>
      <c r="AB88" s="43">
        <v>12736.18</v>
      </c>
      <c r="AC88" s="43">
        <v>14694.31</v>
      </c>
      <c r="AD88" s="43">
        <v>14604.58</v>
      </c>
      <c r="AE88" s="43">
        <v>8602.09</v>
      </c>
      <c r="AF88" s="43">
        <v>10159.25</v>
      </c>
      <c r="AG88" s="43">
        <v>10959.05</v>
      </c>
      <c r="AH88" s="43">
        <v>13220.64</v>
      </c>
      <c r="AI88" s="43">
        <v>13729.78</v>
      </c>
      <c r="AJ88" s="43">
        <v>14309.66</v>
      </c>
      <c r="AK88" s="43">
        <v>2763.85</v>
      </c>
      <c r="AL88" s="44"/>
      <c r="AM88" s="45">
        <f>VLOOKUP($B88,'[2]E.U.'!$R$9:$AZ$205,11,FALSE)</f>
        <v>0</v>
      </c>
      <c r="AN88" s="45">
        <f>VLOOKUP($B88,'[3]E.U.'!$R9:$AZ$225,11,FALSE)</f>
        <v>0</v>
      </c>
      <c r="AO88" s="45">
        <f>VLOOKUP($B88,'[4]E.U.'!$R$9:$BZ$225,11,FALSE)</f>
        <v>0</v>
      </c>
      <c r="AP88" s="45">
        <f>VLOOKUP($B88,'[5]E.U.'!$R$9:$BZ$225,11,FALSE)</f>
        <v>0</v>
      </c>
      <c r="AQ88" s="45">
        <f>VLOOKUP($B88,'[6]E.U.'!$R$9:$CA$225,11,FALSE)</f>
        <v>0</v>
      </c>
      <c r="AR88" s="45">
        <f>VLOOKUP($B88,'[7]E.U.'!$R$9:$AZ$225,11,FALSE)</f>
        <v>0</v>
      </c>
      <c r="AS88" s="45">
        <f>VLOOKUP($B88,'[8]E.U.'!$R$9:$AZ$225,11,FALSE)</f>
        <v>0</v>
      </c>
      <c r="AT88" s="45">
        <f>VLOOKUP($B88,'[9]E.U.'!$R$9:$AZ$221,11,FALSE)</f>
        <v>0</v>
      </c>
      <c r="AU88" s="45"/>
      <c r="AV88" s="45">
        <f>VLOOKUP($B88,'[10]E.U.'!$R$9:$AZ$221,11,FALSE)</f>
        <v>0</v>
      </c>
      <c r="AW88" s="45" t="e">
        <f>VLOOKUP($B88,'[11]E.U.'!$R$9:$AZ$220,11,FALSE)</f>
        <v>#REF!</v>
      </c>
      <c r="AX88" s="252"/>
      <c r="AY88" s="45" t="e">
        <f>VLOOKUP($B88,'[12]E.U.'!$R$9:$AZ$220,11,FALSE)</f>
        <v>#REF!</v>
      </c>
      <c r="AZ88" s="45"/>
      <c r="BA88" s="45">
        <f>VLOOKUP($B88,'[13]E.U.'!$R$9:$AZ$221,11,FALSE)</f>
        <v>0</v>
      </c>
      <c r="BB88" s="46" t="e">
        <f t="shared" si="15"/>
        <v>#REF!</v>
      </c>
      <c r="BC88" s="47" t="e">
        <f>SUM(#REF!)</f>
        <v>#REF!</v>
      </c>
      <c r="BD88" s="43" t="e">
        <f>VLOOKUP(V88,[14]ELECTRIC!$C$1:$H$4000,6,FALSE)</f>
        <v>#N/A</v>
      </c>
      <c r="BE88" s="43" t="e">
        <f t="shared" si="10"/>
        <v>#REF!</v>
      </c>
      <c r="BF88" s="48" t="e">
        <f t="shared" si="14"/>
        <v>#REF!</v>
      </c>
      <c r="BG88" s="49" t="e">
        <f t="shared" si="9"/>
        <v>#REF!</v>
      </c>
      <c r="BH88" s="43" t="e">
        <f t="shared" si="16"/>
        <v>#REF!</v>
      </c>
      <c r="BI88" s="50" t="e">
        <f t="shared" si="12"/>
        <v>#REF!</v>
      </c>
      <c r="BJ88" s="51" t="e">
        <f t="shared" si="13"/>
        <v>#REF!</v>
      </c>
      <c r="BK88" s="52"/>
      <c r="BL88" s="52"/>
      <c r="BM88" s="52"/>
      <c r="BN88" s="52"/>
      <c r="BO88" s="72"/>
      <c r="BP88" s="52"/>
      <c r="BQ88" s="52"/>
      <c r="BR88" s="71"/>
      <c r="BS88" s="53"/>
      <c r="BT88" s="53"/>
      <c r="BU88" s="65"/>
      <c r="BV88" s="55"/>
      <c r="BW88" s="55"/>
      <c r="BX88" s="56"/>
      <c r="BY88" s="67"/>
      <c r="BZ88" s="58"/>
    </row>
    <row r="89" spans="1:78" ht="15.6" x14ac:dyDescent="0.3">
      <c r="A89" s="81" t="s">
        <v>739</v>
      </c>
      <c r="B89" s="38" t="s">
        <v>248</v>
      </c>
      <c r="C89" s="1" t="s">
        <v>249</v>
      </c>
      <c r="D89" s="39"/>
      <c r="E89" s="40" t="s">
        <v>250</v>
      </c>
      <c r="F89" s="41">
        <v>0</v>
      </c>
      <c r="G89" s="42" t="s">
        <v>1851</v>
      </c>
      <c r="H89" s="42" t="s">
        <v>1851</v>
      </c>
      <c r="I89" s="42" t="s">
        <v>1851</v>
      </c>
      <c r="J89" s="42" t="s">
        <v>1852</v>
      </c>
      <c r="K89" s="42" t="s">
        <v>1853</v>
      </c>
      <c r="L89" s="42" t="s">
        <v>1854</v>
      </c>
      <c r="M89" s="42" t="s">
        <v>1855</v>
      </c>
      <c r="N89" s="42" t="s">
        <v>1856</v>
      </c>
      <c r="O89" s="42" t="s">
        <v>1857</v>
      </c>
      <c r="P89" s="41">
        <v>0</v>
      </c>
      <c r="Q89" s="42"/>
      <c r="R89" s="42"/>
      <c r="S89" s="42"/>
      <c r="T89" s="42">
        <v>0</v>
      </c>
      <c r="U89" s="42"/>
      <c r="V89" s="42"/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>
        <v>0</v>
      </c>
      <c r="AJ89" s="43"/>
      <c r="AK89" s="43"/>
      <c r="AL89" s="44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6">
        <f t="shared" si="15"/>
        <v>0</v>
      </c>
      <c r="BC89" s="47" t="e">
        <f>SUM(#REF!)</f>
        <v>#REF!</v>
      </c>
      <c r="BD89" s="43"/>
      <c r="BE89" s="43">
        <f t="shared" si="10"/>
        <v>0</v>
      </c>
      <c r="BF89" s="48">
        <f t="shared" si="14"/>
        <v>0</v>
      </c>
      <c r="BG89" s="49">
        <f t="shared" si="9"/>
        <v>0</v>
      </c>
      <c r="BH89" s="43" t="e">
        <f t="shared" si="16"/>
        <v>#REF!</v>
      </c>
      <c r="BI89" s="50" t="e">
        <f t="shared" si="12"/>
        <v>#REF!</v>
      </c>
      <c r="BJ89" s="51">
        <f t="shared" si="13"/>
        <v>0</v>
      </c>
      <c r="BK89" s="52"/>
      <c r="BL89" s="52"/>
      <c r="BM89" s="52"/>
      <c r="BN89" s="52"/>
      <c r="BO89" s="72"/>
      <c r="BP89" s="52"/>
      <c r="BQ89" s="52"/>
      <c r="BR89" s="50"/>
      <c r="BS89" s="53"/>
      <c r="BT89" s="53"/>
      <c r="BU89" s="65"/>
      <c r="BV89" s="55"/>
      <c r="BW89" s="55"/>
      <c r="BX89" s="56"/>
      <c r="BY89" s="80" t="s">
        <v>1720</v>
      </c>
      <c r="BZ89" s="58"/>
    </row>
    <row r="90" spans="1:78" ht="15.6" x14ac:dyDescent="0.3">
      <c r="A90" s="81" t="s">
        <v>694</v>
      </c>
      <c r="B90" s="38" t="s">
        <v>251</v>
      </c>
      <c r="C90" s="1" t="s">
        <v>252</v>
      </c>
      <c r="D90" s="39" t="s">
        <v>1858</v>
      </c>
      <c r="E90" s="40" t="s">
        <v>253</v>
      </c>
      <c r="F90" s="41">
        <v>0</v>
      </c>
      <c r="G90" s="42" t="s">
        <v>1859</v>
      </c>
      <c r="H90" s="42" t="s">
        <v>1859</v>
      </c>
      <c r="I90" s="42" t="s">
        <v>1859</v>
      </c>
      <c r="J90" s="42" t="s">
        <v>1860</v>
      </c>
      <c r="K90" s="42" t="s">
        <v>1861</v>
      </c>
      <c r="L90" s="42" t="s">
        <v>1862</v>
      </c>
      <c r="M90" s="42" t="s">
        <v>1863</v>
      </c>
      <c r="N90" s="42" t="s">
        <v>1864</v>
      </c>
      <c r="O90" s="42" t="s">
        <v>1865</v>
      </c>
      <c r="P90" s="42" t="s">
        <v>1866</v>
      </c>
      <c r="Q90" s="42" t="s">
        <v>1867</v>
      </c>
      <c r="R90" s="42" t="s">
        <v>1868</v>
      </c>
      <c r="S90" s="42" t="s">
        <v>1869</v>
      </c>
      <c r="T90" s="42" t="s">
        <v>1870</v>
      </c>
      <c r="U90" s="42" t="s">
        <v>1871</v>
      </c>
      <c r="V90" s="42" t="str">
        <f>VLOOKUP(D90,[1]ALL!$A$15:$Z$983,3,FALSE)</f>
        <v>HSH-EGW</v>
      </c>
      <c r="W90" s="43">
        <v>44174.54957751662</v>
      </c>
      <c r="X90" s="43">
        <v>34622.249306662357</v>
      </c>
      <c r="Y90" s="43">
        <v>36515.741127288718</v>
      </c>
      <c r="Z90" s="43">
        <v>41746.194914207568</v>
      </c>
      <c r="AA90" s="43">
        <v>43510.03</v>
      </c>
      <c r="AB90" s="43">
        <v>38257.910000000003</v>
      </c>
      <c r="AC90" s="43">
        <v>43755.78</v>
      </c>
      <c r="AD90" s="43">
        <v>35731.51</v>
      </c>
      <c r="AE90" s="43">
        <v>35151.19</v>
      </c>
      <c r="AF90" s="43">
        <v>29534.75</v>
      </c>
      <c r="AG90" s="43">
        <v>28895.93</v>
      </c>
      <c r="AH90" s="43">
        <v>29581.47</v>
      </c>
      <c r="AI90" s="43">
        <v>27282.25</v>
      </c>
      <c r="AJ90" s="43">
        <v>22610.41</v>
      </c>
      <c r="AK90" s="43">
        <v>30515.47</v>
      </c>
      <c r="AL90" s="44"/>
      <c r="AM90" s="45">
        <f>VLOOKUP($B90,'[2]E.U.'!$R$9:$AZ$205,11,FALSE)</f>
        <v>2271.89</v>
      </c>
      <c r="AN90" s="45">
        <f>VLOOKUP($B90,'[3]E.U.'!$R9:$AZ$225,11,FALSE)</f>
        <v>3000.61</v>
      </c>
      <c r="AO90" s="45">
        <f>VLOOKUP($B90,'[4]E.U.'!$R$9:$BZ$225,11,FALSE)</f>
        <v>2424.9785435407848</v>
      </c>
      <c r="AP90" s="45">
        <f>VLOOKUP($B90,'[5]E.U.'!$R$9:$BZ$225,11,FALSE)</f>
        <v>2356.2481473344337</v>
      </c>
      <c r="AQ90" s="45">
        <f>VLOOKUP($B90,'[6]E.U.'!$R$9:$CA$225,11,FALSE)</f>
        <v>2708.2490853318723</v>
      </c>
      <c r="AR90" s="45">
        <f>VLOOKUP($B90,'[7]E.U.'!$R$9:$AZ$225,11,FALSE)</f>
        <v>2406.7049438802478</v>
      </c>
      <c r="AS90" s="45">
        <f>VLOOKUP($B90,'[8]E.U.'!$R$9:$AZ$225,11,FALSE)</f>
        <v>2065.1396978503471</v>
      </c>
      <c r="AT90" s="45">
        <f>VLOOKUP($B90,'[9]E.U.'!$R$9:$AZ$221,11,FALSE)</f>
        <v>1598.1753872179409</v>
      </c>
      <c r="AU90" s="45"/>
      <c r="AV90" s="45">
        <f>VLOOKUP($B90,'[10]E.U.'!$R$9:$AZ$221,11,FALSE)</f>
        <v>1615.2628943967941</v>
      </c>
      <c r="AW90" s="45">
        <f>VLOOKUP($B90,'[11]E.U.'!$R$9:$AZ$220,11,FALSE)</f>
        <v>1920.0237388414878</v>
      </c>
      <c r="AX90" s="45"/>
      <c r="AY90" s="45">
        <f>VLOOKUP($B90,'[12]E.U.'!$R$9:$AZ$220,11,FALSE)</f>
        <v>1835.7601267374616</v>
      </c>
      <c r="AZ90" s="45"/>
      <c r="BA90" s="45">
        <f>VLOOKUP($B90,'[13]E.U.'!$R$9:$AZ$221,11,FALSE)</f>
        <v>1847.7770567499954</v>
      </c>
      <c r="BB90" s="46">
        <f t="shared" si="15"/>
        <v>26050.819621881361</v>
      </c>
      <c r="BC90" s="47" t="e">
        <f>SUM(#REF!)</f>
        <v>#REF!</v>
      </c>
      <c r="BD90" s="43" t="e">
        <f>VLOOKUP(V90,[14]ELECTRIC!$C$1:$H$4000,6,FALSE)</f>
        <v>#N/A</v>
      </c>
      <c r="BE90" s="43" t="e">
        <f t="shared" si="10"/>
        <v>#N/A</v>
      </c>
      <c r="BF90" s="48">
        <f t="shared" si="14"/>
        <v>26050.819621881361</v>
      </c>
      <c r="BG90" s="49">
        <f t="shared" si="9"/>
        <v>45384.249326977602</v>
      </c>
      <c r="BH90" s="43" t="e">
        <f t="shared" si="16"/>
        <v>#REF!</v>
      </c>
      <c r="BI90" s="50" t="e">
        <f t="shared" si="12"/>
        <v>#REF!</v>
      </c>
      <c r="BJ90" s="51">
        <f t="shared" si="13"/>
        <v>-0.14630777039051468</v>
      </c>
      <c r="BK90" s="52"/>
      <c r="BL90" s="52"/>
      <c r="BM90" s="52"/>
      <c r="BN90" s="52"/>
      <c r="BO90" s="72"/>
      <c r="BP90" s="52"/>
      <c r="BQ90" s="52"/>
      <c r="BR90" s="50" t="s">
        <v>1872</v>
      </c>
      <c r="BS90" s="53"/>
      <c r="BT90" s="53"/>
      <c r="BU90" s="65"/>
      <c r="BV90" s="55"/>
      <c r="BW90" s="55"/>
      <c r="BX90" s="56"/>
      <c r="BY90" s="67"/>
      <c r="BZ90" s="58"/>
    </row>
    <row r="91" spans="1:78" ht="15.75" customHeight="1" x14ac:dyDescent="0.3">
      <c r="A91" s="81" t="s">
        <v>694</v>
      </c>
      <c r="B91" s="38" t="s">
        <v>254</v>
      </c>
      <c r="C91" s="1" t="s">
        <v>255</v>
      </c>
      <c r="D91" s="39" t="s">
        <v>1873</v>
      </c>
      <c r="E91" s="40" t="s">
        <v>256</v>
      </c>
      <c r="F91" s="41" t="s">
        <v>758</v>
      </c>
      <c r="G91" s="42" t="s">
        <v>1874</v>
      </c>
      <c r="H91" s="42" t="s">
        <v>1874</v>
      </c>
      <c r="I91" s="42" t="s">
        <v>1874</v>
      </c>
      <c r="J91" s="42" t="s">
        <v>1875</v>
      </c>
      <c r="K91" s="42" t="s">
        <v>1876</v>
      </c>
      <c r="L91" s="42" t="s">
        <v>1877</v>
      </c>
      <c r="M91" s="42" t="s">
        <v>1878</v>
      </c>
      <c r="N91" s="42" t="s">
        <v>1879</v>
      </c>
      <c r="O91" s="42" t="s">
        <v>1880</v>
      </c>
      <c r="P91" s="42" t="s">
        <v>1881</v>
      </c>
      <c r="Q91" s="42" t="s">
        <v>1882</v>
      </c>
      <c r="R91" s="42" t="s">
        <v>1883</v>
      </c>
      <c r="S91" s="42" t="s">
        <v>1884</v>
      </c>
      <c r="T91" s="42" t="s">
        <v>1885</v>
      </c>
      <c r="U91" s="42" t="s">
        <v>1886</v>
      </c>
      <c r="V91" s="42" t="str">
        <f>VLOOKUP(D91,[1]ALL!$A$15:$Z$983,3,FALSE)</f>
        <v>SGM-EGW</v>
      </c>
      <c r="W91" s="43">
        <v>303703.10358252143</v>
      </c>
      <c r="X91" s="43">
        <v>282229.01289392769</v>
      </c>
      <c r="Y91" s="43">
        <v>276794.00678909867</v>
      </c>
      <c r="Z91" s="43">
        <v>302115.68951663288</v>
      </c>
      <c r="AA91" s="43">
        <v>307875.99</v>
      </c>
      <c r="AB91" s="43">
        <v>278519.31</v>
      </c>
      <c r="AC91" s="43">
        <v>281417.49</v>
      </c>
      <c r="AD91" s="43">
        <v>295370.23999999999</v>
      </c>
      <c r="AE91" s="43">
        <v>319586.03000000003</v>
      </c>
      <c r="AF91" s="43">
        <v>268734.56</v>
      </c>
      <c r="AG91" s="43">
        <v>285312.96000000002</v>
      </c>
      <c r="AH91" s="43">
        <v>338581.39</v>
      </c>
      <c r="AI91" s="43">
        <v>356576.75</v>
      </c>
      <c r="AJ91" s="43">
        <v>412715.59</v>
      </c>
      <c r="AK91" s="43">
        <v>270349.88</v>
      </c>
      <c r="AL91" s="44"/>
      <c r="AM91" s="45">
        <f>VLOOKUP($B91,'[2]E.U.'!$R$9:$AZ$205,11,FALSE)</f>
        <v>27229.83</v>
      </c>
      <c r="AN91" s="45">
        <f>VLOOKUP($B91,'[3]E.U.'!$R9:$AZ$225,11,FALSE)</f>
        <v>33363.870000000003</v>
      </c>
      <c r="AO91" s="45">
        <f>VLOOKUP($B91,'[4]E.U.'!$R$9:$BZ$225,11,FALSE)</f>
        <v>40746.815617264794</v>
      </c>
      <c r="AP91" s="45">
        <f>VLOOKUP($B91,'[5]E.U.'!$R$9:$BZ$225,11,FALSE)</f>
        <v>39795.597479952245</v>
      </c>
      <c r="AQ91" s="45">
        <f>VLOOKUP($B91,'[6]E.U.'!$R$9:$CA$225,11,FALSE)</f>
        <v>47129.718950603805</v>
      </c>
      <c r="AR91" s="45">
        <f>VLOOKUP($B91,'[7]E.U.'!$R$9:$AZ$225,11,FALSE)</f>
        <v>40406.241529379629</v>
      </c>
      <c r="AS91" s="45">
        <f>VLOOKUP($B91,'[8]E.U.'!$R$9:$AZ$225,11,FALSE)</f>
        <v>33169.690102768691</v>
      </c>
      <c r="AT91" s="45">
        <f>VLOOKUP($B91,'[9]E.U.'!$R$9:$AZ$221,11,FALSE)</f>
        <v>28022.271631663883</v>
      </c>
      <c r="AU91" s="45"/>
      <c r="AV91" s="45">
        <f>VLOOKUP($B91,'[10]E.U.'!$R$9:$AZ$221,11,FALSE)</f>
        <v>36412.240435189953</v>
      </c>
      <c r="AW91" s="45">
        <f>VLOOKUP($B91,'[11]E.U.'!$R$9:$AZ$220,11,FALSE)</f>
        <v>37066.292309880337</v>
      </c>
      <c r="AX91" s="252"/>
      <c r="AY91" s="45">
        <f>VLOOKUP($B91,'[12]E.U.'!$R$9:$AZ$220,11,FALSE)</f>
        <v>28230.074438185224</v>
      </c>
      <c r="AZ91" s="45"/>
      <c r="BA91" s="45">
        <f>VLOOKUP($B91,'[13]E.U.'!$R$9:$AZ$221,11,FALSE)</f>
        <v>28418.351420663668</v>
      </c>
      <c r="BB91" s="46">
        <f t="shared" si="15"/>
        <v>419990.99391555216</v>
      </c>
      <c r="BC91" s="47" t="e">
        <f>SUM(#REF!)</f>
        <v>#REF!</v>
      </c>
      <c r="BD91" s="43" t="e">
        <f>VLOOKUP(V91,[14]ELECTRIC!$C$1:$H$4000,6,FALSE)</f>
        <v>#N/A</v>
      </c>
      <c r="BE91" s="43" t="e">
        <f t="shared" si="10"/>
        <v>#N/A</v>
      </c>
      <c r="BF91" s="48">
        <f t="shared" si="14"/>
        <v>419990.99391555216</v>
      </c>
      <c r="BG91" s="49">
        <f t="shared" si="9"/>
        <v>731684.31011430838</v>
      </c>
      <c r="BH91" s="43" t="e">
        <f t="shared" si="16"/>
        <v>#REF!</v>
      </c>
      <c r="BI91" s="50" t="e">
        <f t="shared" si="12"/>
        <v>#REF!</v>
      </c>
      <c r="BJ91" s="51">
        <f t="shared" si="13"/>
        <v>0.55350908206636573</v>
      </c>
      <c r="BK91" s="52"/>
      <c r="BL91" s="52"/>
      <c r="BM91" s="52"/>
      <c r="BN91" s="52"/>
      <c r="BO91" s="105" t="s">
        <v>1887</v>
      </c>
      <c r="BP91" s="52"/>
      <c r="BQ91" s="52"/>
      <c r="BR91" s="50"/>
      <c r="BS91" s="53"/>
      <c r="BT91" s="53"/>
      <c r="BU91" s="65" t="s">
        <v>1888</v>
      </c>
      <c r="BV91" s="55"/>
      <c r="BW91" s="55"/>
      <c r="BX91" s="56"/>
      <c r="BY91" s="67"/>
      <c r="BZ91" s="58"/>
    </row>
    <row r="92" spans="1:78" ht="15.6" x14ac:dyDescent="0.3">
      <c r="A92" s="81" t="s">
        <v>739</v>
      </c>
      <c r="B92" s="38" t="s">
        <v>257</v>
      </c>
      <c r="C92" s="1" t="s">
        <v>258</v>
      </c>
      <c r="D92" s="39"/>
      <c r="E92" s="40" t="s">
        <v>259</v>
      </c>
      <c r="F92" s="41">
        <v>0</v>
      </c>
      <c r="G92" s="42" t="s">
        <v>1889</v>
      </c>
      <c r="H92" s="42" t="s">
        <v>1889</v>
      </c>
      <c r="I92" s="42" t="s">
        <v>1889</v>
      </c>
      <c r="J92" s="42" t="s">
        <v>1890</v>
      </c>
      <c r="K92" s="42" t="s">
        <v>1891</v>
      </c>
      <c r="L92" s="42" t="s">
        <v>1892</v>
      </c>
      <c r="M92" s="42" t="s">
        <v>1893</v>
      </c>
      <c r="N92" s="42" t="s">
        <v>1894</v>
      </c>
      <c r="O92" s="42" t="s">
        <v>1895</v>
      </c>
      <c r="P92" s="42" t="s">
        <v>1896</v>
      </c>
      <c r="Q92" s="42" t="s">
        <v>1897</v>
      </c>
      <c r="R92" s="42"/>
      <c r="S92" s="42"/>
      <c r="T92" s="42">
        <v>0</v>
      </c>
      <c r="U92" s="42"/>
      <c r="V92" s="42"/>
      <c r="W92" s="43">
        <v>12366.067245280072</v>
      </c>
      <c r="X92" s="43">
        <v>12122.692061630758</v>
      </c>
      <c r="Y92" s="43">
        <v>9414.7802059072055</v>
      </c>
      <c r="Z92" s="43">
        <v>11386.997652176864</v>
      </c>
      <c r="AA92" s="43">
        <v>10251.700000000001</v>
      </c>
      <c r="AB92" s="43">
        <v>12487.13</v>
      </c>
      <c r="AC92" s="43">
        <v>13926.66</v>
      </c>
      <c r="AD92" s="43">
        <v>13784.67</v>
      </c>
      <c r="AE92" s="43">
        <v>11686.33</v>
      </c>
      <c r="AF92" s="43">
        <v>0</v>
      </c>
      <c r="AG92" s="43">
        <v>0</v>
      </c>
      <c r="AH92" s="43">
        <v>0</v>
      </c>
      <c r="AI92" s="43">
        <v>0</v>
      </c>
      <c r="AJ92" s="43"/>
      <c r="AK92" s="43"/>
      <c r="AL92" s="260" t="s">
        <v>1898</v>
      </c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6"/>
      <c r="BC92" s="47"/>
      <c r="BD92" s="43"/>
      <c r="BE92" s="43"/>
      <c r="BF92" s="48">
        <f t="shared" si="14"/>
        <v>0</v>
      </c>
      <c r="BG92" s="49"/>
      <c r="BH92" s="43"/>
      <c r="BI92" s="50">
        <f t="shared" si="12"/>
        <v>0</v>
      </c>
      <c r="BJ92" s="51">
        <f t="shared" si="13"/>
        <v>0</v>
      </c>
      <c r="BK92" s="52"/>
      <c r="BL92" s="52"/>
      <c r="BM92" s="52"/>
      <c r="BN92" s="52"/>
      <c r="BO92" s="72"/>
      <c r="BP92" s="52"/>
      <c r="BQ92" s="52"/>
      <c r="BR92" s="50"/>
      <c r="BS92" s="53"/>
      <c r="BT92" s="53"/>
      <c r="BU92" s="65"/>
      <c r="BV92" s="55"/>
      <c r="BW92" s="55"/>
      <c r="BX92" s="56"/>
      <c r="BY92" s="67"/>
      <c r="BZ92" s="58"/>
    </row>
    <row r="93" spans="1:78" ht="15.6" x14ac:dyDescent="0.3">
      <c r="A93" s="81" t="s">
        <v>694</v>
      </c>
      <c r="B93" s="38" t="s">
        <v>260</v>
      </c>
      <c r="C93" s="1" t="s">
        <v>261</v>
      </c>
      <c r="D93" s="39" t="s">
        <v>1899</v>
      </c>
      <c r="E93" s="40" t="s">
        <v>262</v>
      </c>
      <c r="F93" s="41" t="s">
        <v>758</v>
      </c>
      <c r="G93" s="42" t="s">
        <v>1900</v>
      </c>
      <c r="H93" s="42" t="s">
        <v>1900</v>
      </c>
      <c r="I93" s="42" t="s">
        <v>1900</v>
      </c>
      <c r="J93" s="42" t="s">
        <v>1901</v>
      </c>
      <c r="K93" s="42" t="s">
        <v>1902</v>
      </c>
      <c r="L93" s="42" t="s">
        <v>1903</v>
      </c>
      <c r="M93" s="42" t="s">
        <v>1904</v>
      </c>
      <c r="N93" s="42" t="s">
        <v>1905</v>
      </c>
      <c r="O93" s="42" t="s">
        <v>1906</v>
      </c>
      <c r="P93" s="42" t="s">
        <v>1907</v>
      </c>
      <c r="Q93" s="42" t="s">
        <v>1908</v>
      </c>
      <c r="R93" s="42" t="s">
        <v>1909</v>
      </c>
      <c r="S93" s="42" t="s">
        <v>1910</v>
      </c>
      <c r="T93" s="42" t="s">
        <v>1911</v>
      </c>
      <c r="U93" s="42" t="s">
        <v>1912</v>
      </c>
      <c r="V93" s="42" t="str">
        <f>VLOOKUP(D93,[1]ALL!$A$15:$Z$983,3,FALSE)</f>
        <v>DRB-EGW</v>
      </c>
      <c r="W93" s="43">
        <v>120096.18948778842</v>
      </c>
      <c r="X93" s="43">
        <v>117659.94783195919</v>
      </c>
      <c r="Y93" s="43">
        <v>117159.78208238792</v>
      </c>
      <c r="Z93" s="43">
        <v>118037.12784754272</v>
      </c>
      <c r="AA93" s="43">
        <v>122399.91</v>
      </c>
      <c r="AB93" s="43">
        <v>133845.95000000001</v>
      </c>
      <c r="AC93" s="43">
        <v>150886.46</v>
      </c>
      <c r="AD93" s="43">
        <v>150523.95000000001</v>
      </c>
      <c r="AE93" s="43">
        <v>175775.88</v>
      </c>
      <c r="AF93" s="43">
        <v>183584.68</v>
      </c>
      <c r="AG93" s="43">
        <v>183366.89</v>
      </c>
      <c r="AH93" s="43">
        <v>175533.11</v>
      </c>
      <c r="AI93" s="43">
        <v>185707.36</v>
      </c>
      <c r="AJ93" s="43">
        <v>235224.45</v>
      </c>
      <c r="AK93" s="43">
        <v>227564.62</v>
      </c>
      <c r="AL93" s="44"/>
      <c r="AM93" s="45">
        <f>VLOOKUP($B93,'[2]E.U.'!$R$9:$AZ$205,11,FALSE)</f>
        <v>18521.3</v>
      </c>
      <c r="AN93" s="45">
        <f>VLOOKUP($B93,'[3]E.U.'!$R9:$AZ$225,11,FALSE)</f>
        <v>23071.53</v>
      </c>
      <c r="AO93" s="45">
        <f>VLOOKUP($B93,'[4]E.U.'!$R$9:$BZ$225,11,FALSE)</f>
        <v>19307.604845714952</v>
      </c>
      <c r="AP93" s="45">
        <f>VLOOKUP($B93,'[5]E.U.'!$R$9:$BZ$225,11,FALSE)</f>
        <v>19667.977644199087</v>
      </c>
      <c r="AQ93" s="45">
        <f>VLOOKUP($B93,'[6]E.U.'!$R$9:$CA$225,11,FALSE)</f>
        <v>21752.25076496246</v>
      </c>
      <c r="AR93" s="45">
        <f>VLOOKUP($B93,'[7]E.U.'!$R$9:$AZ$225,11,FALSE)</f>
        <v>19271.051141686101</v>
      </c>
      <c r="AS93" s="45">
        <f>VLOOKUP($B93,'[8]E.U.'!$R$9:$AZ$225,11,FALSE)</f>
        <v>17160.496738997619</v>
      </c>
      <c r="AT93" s="45">
        <f>VLOOKUP($B93,'[9]E.U.'!$R$9:$AZ$221,11,FALSE)</f>
        <v>14216.055580023656</v>
      </c>
      <c r="AU93" s="45"/>
      <c r="AV93" s="45">
        <f>VLOOKUP($B93,'[10]E.U.'!$R$9:$AZ$221,11,FALSE)</f>
        <v>14499.250127442485</v>
      </c>
      <c r="AW93" s="45">
        <f>VLOOKUP($B93,'[11]E.U.'!$R$9:$AZ$220,11,FALSE)</f>
        <v>16783.666827019715</v>
      </c>
      <c r="AX93" s="252"/>
      <c r="AY93" s="45">
        <f>VLOOKUP($B93,'[12]E.U.'!$R$9:$AZ$220,11,FALSE)</f>
        <v>17560.092830456684</v>
      </c>
      <c r="AZ93" s="45"/>
      <c r="BA93" s="45">
        <f>VLOOKUP($B93,'[13]E.U.'!$R$9:$AZ$221,11,FALSE)</f>
        <v>16754.911797635217</v>
      </c>
      <c r="BB93" s="46">
        <f t="shared" si="15"/>
        <v>218566.18829813795</v>
      </c>
      <c r="BC93" s="47" t="e">
        <f>SUM(#REF!)</f>
        <v>#REF!</v>
      </c>
      <c r="BD93" s="43" t="e">
        <f>VLOOKUP(V93,[14]ELECTRIC!$C$1:$H$4000,6,FALSE)</f>
        <v>#N/A</v>
      </c>
      <c r="BE93" s="43" t="e">
        <f t="shared" si="10"/>
        <v>#N/A</v>
      </c>
      <c r="BF93" s="48">
        <f t="shared" si="14"/>
        <v>218566.18829813795</v>
      </c>
      <c r="BG93" s="49">
        <f t="shared" si="9"/>
        <v>380773.52375654172</v>
      </c>
      <c r="BH93" s="43" t="e">
        <f t="shared" ref="BH93:BH105" si="17">IF(BC93=0,0,(BB93*(AK93/BC93)))</f>
        <v>#REF!</v>
      </c>
      <c r="BI93" s="50" t="e">
        <f t="shared" si="12"/>
        <v>#REF!</v>
      </c>
      <c r="BJ93" s="51">
        <f t="shared" si="13"/>
        <v>-3.954231418689802E-2</v>
      </c>
      <c r="BK93" s="52"/>
      <c r="BL93" s="52"/>
      <c r="BM93" s="52"/>
      <c r="BN93" s="52"/>
      <c r="BO93" s="72"/>
      <c r="BP93" s="52"/>
      <c r="BQ93" s="52"/>
      <c r="BR93" s="71"/>
      <c r="BS93" s="53"/>
      <c r="BT93" s="53"/>
      <c r="BU93" s="65"/>
      <c r="BV93" s="55"/>
      <c r="BW93" s="55"/>
      <c r="BX93" s="56"/>
      <c r="BY93" s="67"/>
      <c r="BZ93" s="58"/>
    </row>
    <row r="94" spans="1:78" ht="15.6" x14ac:dyDescent="0.3">
      <c r="A94" s="59" t="s">
        <v>694</v>
      </c>
      <c r="B94" s="38" t="s">
        <v>263</v>
      </c>
      <c r="C94" s="63" t="s">
        <v>1913</v>
      </c>
      <c r="D94" s="39" t="s">
        <v>1914</v>
      </c>
      <c r="E94" s="40" t="s">
        <v>265</v>
      </c>
      <c r="F94" s="41">
        <v>0</v>
      </c>
      <c r="G94" s="42" t="s">
        <v>1915</v>
      </c>
      <c r="H94" s="42" t="s">
        <v>1915</v>
      </c>
      <c r="I94" s="42" t="s">
        <v>1915</v>
      </c>
      <c r="J94" s="42" t="s">
        <v>1916</v>
      </c>
      <c r="K94" s="42" t="s">
        <v>1917</v>
      </c>
      <c r="L94" s="42" t="s">
        <v>1918</v>
      </c>
      <c r="M94" s="42" t="s">
        <v>1919</v>
      </c>
      <c r="N94" s="42" t="s">
        <v>1920</v>
      </c>
      <c r="O94" s="42" t="s">
        <v>1921</v>
      </c>
      <c r="P94" s="42" t="s">
        <v>1922</v>
      </c>
      <c r="Q94" s="42" t="s">
        <v>1923</v>
      </c>
      <c r="R94" s="42" t="s">
        <v>1924</v>
      </c>
      <c r="S94" s="42" t="s">
        <v>1925</v>
      </c>
      <c r="T94" s="42" t="s">
        <v>1926</v>
      </c>
      <c r="U94" s="42" t="s">
        <v>1927</v>
      </c>
      <c r="V94" s="42" t="str">
        <f>VLOOKUP(D94,[1]ALL!$A$15:$Z$983,3,FALSE)</f>
        <v>TGF-EGW</v>
      </c>
      <c r="W94" s="43">
        <v>4044.0122312044964</v>
      </c>
      <c r="X94" s="43">
        <v>3317.7286262573639</v>
      </c>
      <c r="Y94" s="43">
        <v>2921.7876772291711</v>
      </c>
      <c r="Z94" s="43">
        <v>2515.1873287185012</v>
      </c>
      <c r="AA94" s="43">
        <v>2606.0300000000002</v>
      </c>
      <c r="AB94" s="43">
        <v>2385.96</v>
      </c>
      <c r="AC94" s="43">
        <v>1911.2370360000002</v>
      </c>
      <c r="AD94" s="43">
        <v>4725.624468</v>
      </c>
      <c r="AE94" s="43">
        <v>4896.8918469999999</v>
      </c>
      <c r="AF94" s="43">
        <v>5248.1579010000014</v>
      </c>
      <c r="AG94" s="43">
        <v>4856.9609600000003</v>
      </c>
      <c r="AH94" s="43">
        <v>4591.54</v>
      </c>
      <c r="AI94" s="43">
        <v>4788.41</v>
      </c>
      <c r="AJ94" s="43">
        <v>4567.53</v>
      </c>
      <c r="AK94" s="43">
        <v>5548.65</v>
      </c>
      <c r="AL94" s="44"/>
      <c r="AM94" s="45">
        <f>VLOOKUP($B94,'[2]E.U.'!$R$9:$AZ$205,11,FALSE)</f>
        <v>470.96588800000006</v>
      </c>
      <c r="AN94" s="45">
        <f>VLOOKUP($B94,'[3]E.U.'!$R9:$AZ$225,11,FALSE)</f>
        <v>647.17088000000001</v>
      </c>
      <c r="AO94" s="45">
        <f>VLOOKUP($B94,'[4]E.U.'!$R$9:$BZ$225,11,FALSE)</f>
        <v>410.4663375847764</v>
      </c>
      <c r="AP94" s="45">
        <f>VLOOKUP($B94,'[5]E.U.'!$R$9:$BZ$225,11,FALSE)</f>
        <v>388.66265938054022</v>
      </c>
      <c r="AQ94" s="45">
        <f>VLOOKUP($B94,'[6]E.U.'!$R$9:$CA$225,11,FALSE)</f>
        <v>410.0845381303555</v>
      </c>
      <c r="AR94" s="45">
        <f>VLOOKUP($B94,'[7]E.U.'!$R$9:$AZ$225,11,FALSE)</f>
        <v>362.04636103406472</v>
      </c>
      <c r="AS94" s="45">
        <f>VLOOKUP($B94,'[8]E.U.'!$R$9:$AZ$225,11,FALSE)</f>
        <v>654.01062570570889</v>
      </c>
      <c r="AT94" s="45">
        <f>VLOOKUP($B94,'[9]E.U.'!$R$9:$AZ$221,11,FALSE)</f>
        <v>364.49799824961946</v>
      </c>
      <c r="AU94" s="45"/>
      <c r="AV94" s="45">
        <f>VLOOKUP($B94,'[10]E.U.'!$R$9:$AZ$221,11,FALSE)</f>
        <v>363.60112610662924</v>
      </c>
      <c r="AW94" s="45">
        <f>VLOOKUP($B94,'[11]E.U.'!$R$9:$AZ$220,11,FALSE)</f>
        <v>382.45636326066239</v>
      </c>
      <c r="AX94" s="252"/>
      <c r="AY94" s="45">
        <f>VLOOKUP($B94,'[12]E.U.'!$R$9:$AZ$220,11,FALSE)</f>
        <v>379.50197958635391</v>
      </c>
      <c r="AZ94" s="45"/>
      <c r="BA94" s="45">
        <f>VLOOKUP($B94,'[13]E.U.'!$R$9:$AZ$221,11,FALSE)</f>
        <v>339.2522242687279</v>
      </c>
      <c r="BB94" s="46">
        <f t="shared" si="15"/>
        <v>5172.7169813074388</v>
      </c>
      <c r="BC94" s="47" t="e">
        <f>SUM(#REF!)</f>
        <v>#REF!</v>
      </c>
      <c r="BD94" s="43" t="e">
        <f>VLOOKUP(V94,[14]ELECTRIC!$C$1:$H$4000,6,FALSE)</f>
        <v>#N/A</v>
      </c>
      <c r="BE94" s="43" t="e">
        <f t="shared" si="10"/>
        <v>#N/A</v>
      </c>
      <c r="BF94" s="48">
        <f t="shared" si="14"/>
        <v>5172.7169813074388</v>
      </c>
      <c r="BG94" s="49">
        <f t="shared" si="9"/>
        <v>9011.6119410063166</v>
      </c>
      <c r="BH94" s="43" t="e">
        <f t="shared" si="17"/>
        <v>#REF!</v>
      </c>
      <c r="BI94" s="50" t="e">
        <f t="shared" si="12"/>
        <v>#REF!</v>
      </c>
      <c r="BJ94" s="51">
        <f t="shared" si="13"/>
        <v>-6.7752159298669179E-2</v>
      </c>
      <c r="BK94" s="52"/>
      <c r="BL94" s="52"/>
      <c r="BM94" s="52"/>
      <c r="BN94" s="52"/>
      <c r="BO94" s="72"/>
      <c r="BP94" s="52"/>
      <c r="BQ94" s="52"/>
      <c r="BR94" s="71" t="s">
        <v>1928</v>
      </c>
      <c r="BS94" s="53"/>
      <c r="BT94" s="53"/>
      <c r="BU94" s="65"/>
      <c r="BV94" s="55"/>
      <c r="BW94" s="55"/>
      <c r="BX94" s="56"/>
      <c r="BY94" s="67"/>
      <c r="BZ94" s="58"/>
    </row>
    <row r="95" spans="1:78" ht="15.6" x14ac:dyDescent="0.3">
      <c r="A95" s="59" t="s">
        <v>1359</v>
      </c>
      <c r="B95" s="38" t="s">
        <v>266</v>
      </c>
      <c r="C95" s="63" t="s">
        <v>1929</v>
      </c>
      <c r="D95" t="s">
        <v>1930</v>
      </c>
      <c r="E95" s="40" t="s">
        <v>268</v>
      </c>
      <c r="F95" s="41">
        <v>0</v>
      </c>
      <c r="G95" s="42" t="s">
        <v>1931</v>
      </c>
      <c r="H95" s="42" t="s">
        <v>1932</v>
      </c>
      <c r="I95" s="42" t="s">
        <v>1933</v>
      </c>
      <c r="J95" s="42" t="s">
        <v>1934</v>
      </c>
      <c r="K95" s="42" t="s">
        <v>1935</v>
      </c>
      <c r="L95" s="42" t="s">
        <v>1936</v>
      </c>
      <c r="M95" s="42" t="s">
        <v>1937</v>
      </c>
      <c r="N95" s="42" t="s">
        <v>1938</v>
      </c>
      <c r="O95" s="42" t="s">
        <v>1939</v>
      </c>
      <c r="P95" s="42" t="s">
        <v>1940</v>
      </c>
      <c r="Q95" s="42" t="s">
        <v>1941</v>
      </c>
      <c r="R95" s="42" t="s">
        <v>1942</v>
      </c>
      <c r="S95" s="42" t="s">
        <v>1943</v>
      </c>
      <c r="T95" s="42" t="s">
        <v>1944</v>
      </c>
      <c r="U95" s="42" t="s">
        <v>1945</v>
      </c>
      <c r="V95" s="42" t="str">
        <f>VLOOKUP(D95,[1]ALL!$A$15:$Z$983,3,FALSE)</f>
        <v>TGF-ELC</v>
      </c>
      <c r="W95" s="43">
        <v>15038.037262630602</v>
      </c>
      <c r="X95" s="43">
        <v>13320.830181452584</v>
      </c>
      <c r="Y95" s="43">
        <v>11731.109400148815</v>
      </c>
      <c r="Z95" s="43">
        <v>10098.590648806578</v>
      </c>
      <c r="AA95" s="43">
        <v>10463.34</v>
      </c>
      <c r="AB95" s="43">
        <v>9579.76</v>
      </c>
      <c r="AC95" s="43">
        <v>7673.702964000001</v>
      </c>
      <c r="AD95" s="43">
        <v>18973.595531999999</v>
      </c>
      <c r="AE95" s="43">
        <v>19780.065167999997</v>
      </c>
      <c r="AF95" s="43">
        <v>21198.617008800004</v>
      </c>
      <c r="AG95" s="43">
        <v>19623.689040000001</v>
      </c>
      <c r="AH95" s="43">
        <v>18551.32</v>
      </c>
      <c r="AI95" s="43">
        <v>19346.7</v>
      </c>
      <c r="AJ95" s="43">
        <v>19402.21</v>
      </c>
      <c r="AK95" s="43">
        <v>22418.33</v>
      </c>
      <c r="AL95" s="44"/>
      <c r="AM95" s="45">
        <f>VLOOKUP($B95,'[2]E.U.'!$R$9:$AZ$205,11,FALSE)</f>
        <v>1902.854112</v>
      </c>
      <c r="AN95" s="45">
        <f>VLOOKUP($B95,'[3]E.U.'!$R9:$AZ$225,11,FALSE)</f>
        <v>2614.7791199999997</v>
      </c>
      <c r="AO95" s="45">
        <f>VLOOKUP($B95,'[4]E.U.'!$R$9:$BZ$225,11,FALSE)</f>
        <v>1658.4164123384915</v>
      </c>
      <c r="AP95" s="45">
        <f>VLOOKUP($B95,'[5]E.U.'!$R$9:$BZ$225,11,FALSE)</f>
        <v>1570.3225189487955</v>
      </c>
      <c r="AQ95" s="45">
        <f>VLOOKUP($B95,'[6]E.U.'!$R$9:$CA$225,11,FALSE)</f>
        <v>1656.8738193815168</v>
      </c>
      <c r="AR95" s="45">
        <f>VLOOKUP($B95,'[7]E.U.'!$R$9:$AZ$225,11,FALSE)</f>
        <v>1462.784087726342</v>
      </c>
      <c r="AS95" s="45">
        <f>VLOOKUP($B95,'[8]E.U.'!$R$9:$AZ$225,11,FALSE)</f>
        <v>2642.4138990206461</v>
      </c>
      <c r="AT95" s="45">
        <f>VLOOKUP($B95,'[9]E.U.'!$R$9:$AZ$221,11,FALSE)</f>
        <v>1472.6894929278976</v>
      </c>
      <c r="AU95" s="45"/>
      <c r="AV95" s="45">
        <f>VLOOKUP($B95,'[10]E.U.'!$R$9:$AZ$221,11,FALSE)</f>
        <v>1469.0658401566227</v>
      </c>
      <c r="AW95" s="45">
        <f>VLOOKUP($B95,'[11]E.U.'!$R$9:$AZ$220,11,FALSE)</f>
        <v>1545.2470805934827</v>
      </c>
      <c r="AX95" s="45"/>
      <c r="AY95" s="45">
        <f>VLOOKUP($B95,'[12]E.U.'!$R$9:$AZ$220,11,FALSE)</f>
        <v>1533.3104175222845</v>
      </c>
      <c r="AZ95" s="45"/>
      <c r="BA95" s="45">
        <f>VLOOKUP($B95,'[13]E.U.'!$R$9:$AZ$221,11,FALSE)</f>
        <v>1370.6884222470376</v>
      </c>
      <c r="BB95" s="46">
        <f t="shared" si="15"/>
        <v>20899.445222863116</v>
      </c>
      <c r="BC95" s="47" t="e">
        <f>SUM(#REF!)</f>
        <v>#REF!</v>
      </c>
      <c r="BD95" s="43" t="e">
        <f>VLOOKUP(V95,[14]ELECTRIC!$C$1:$H$4000,6,FALSE)</f>
        <v>#N/A</v>
      </c>
      <c r="BE95" s="43" t="e">
        <f t="shared" si="10"/>
        <v>#N/A</v>
      </c>
      <c r="BF95" s="48">
        <f t="shared" si="14"/>
        <v>20899.445222863116</v>
      </c>
      <c r="BG95" s="49">
        <f t="shared" si="9"/>
        <v>36409.819213259383</v>
      </c>
      <c r="BH95" s="43" t="e">
        <f t="shared" si="17"/>
        <v>#REF!</v>
      </c>
      <c r="BI95" s="50" t="e">
        <f t="shared" si="12"/>
        <v>#REF!</v>
      </c>
      <c r="BJ95" s="51">
        <f t="shared" si="13"/>
        <v>-6.7751914488585308E-2</v>
      </c>
      <c r="BK95" s="52"/>
      <c r="BL95" s="52"/>
      <c r="BM95" s="52"/>
      <c r="BN95" s="52"/>
      <c r="BO95" s="72"/>
      <c r="BP95" s="52"/>
      <c r="BQ95" s="52"/>
      <c r="BR95" s="71" t="s">
        <v>1928</v>
      </c>
      <c r="BS95" s="53"/>
      <c r="BT95" s="53"/>
      <c r="BU95" s="65"/>
      <c r="BV95" s="55"/>
      <c r="BW95" s="55"/>
      <c r="BX95" s="56"/>
      <c r="BY95" s="67"/>
      <c r="BZ95" s="58"/>
    </row>
    <row r="96" spans="1:78" ht="15.6" x14ac:dyDescent="0.3">
      <c r="A96" s="81" t="s">
        <v>1222</v>
      </c>
      <c r="B96" s="38" t="s">
        <v>269</v>
      </c>
      <c r="C96" s="1" t="s">
        <v>270</v>
      </c>
      <c r="D96" s="39" t="s">
        <v>1946</v>
      </c>
      <c r="E96" s="40" t="s">
        <v>271</v>
      </c>
      <c r="F96" s="41">
        <v>0</v>
      </c>
      <c r="G96" s="42" t="s">
        <v>1947</v>
      </c>
      <c r="H96" s="42" t="s">
        <v>1947</v>
      </c>
      <c r="I96" s="42" t="s">
        <v>1947</v>
      </c>
      <c r="J96" s="42" t="s">
        <v>1948</v>
      </c>
      <c r="K96" s="42" t="s">
        <v>1949</v>
      </c>
      <c r="L96" s="42" t="s">
        <v>1950</v>
      </c>
      <c r="M96" s="42" t="s">
        <v>1951</v>
      </c>
      <c r="N96" s="42" t="s">
        <v>1952</v>
      </c>
      <c r="O96" s="42" t="s">
        <v>1953</v>
      </c>
      <c r="P96" s="42" t="s">
        <v>1954</v>
      </c>
      <c r="Q96" s="42" t="s">
        <v>1955</v>
      </c>
      <c r="R96" s="42" t="s">
        <v>1956</v>
      </c>
      <c r="S96" s="42" t="s">
        <v>1957</v>
      </c>
      <c r="T96" s="42" t="s">
        <v>1958</v>
      </c>
      <c r="U96" s="42" t="s">
        <v>1959</v>
      </c>
      <c r="V96" s="42" t="str">
        <f>VLOOKUP(D96,[1]ALL!$A$15:$Z$983,3,FALSE)</f>
        <v>ABA-EGW</v>
      </c>
      <c r="W96" s="43">
        <v>15497.05</v>
      </c>
      <c r="X96" s="43">
        <v>14770.59</v>
      </c>
      <c r="Y96" s="43">
        <v>15816.31</v>
      </c>
      <c r="Z96" s="43">
        <v>18701.96</v>
      </c>
      <c r="AA96" s="43">
        <v>19040.86</v>
      </c>
      <c r="AB96" s="43">
        <v>20204.68</v>
      </c>
      <c r="AC96" s="43">
        <v>19823.490000000002</v>
      </c>
      <c r="AD96" s="43">
        <v>18563.490000000002</v>
      </c>
      <c r="AE96" s="43">
        <v>22055.119999999999</v>
      </c>
      <c r="AF96" s="43">
        <v>22156.97</v>
      </c>
      <c r="AG96" s="43">
        <v>23958.52</v>
      </c>
      <c r="AH96" s="43">
        <v>23274.32</v>
      </c>
      <c r="AI96" s="43">
        <v>25677.46</v>
      </c>
      <c r="AJ96" s="43">
        <v>26390.13</v>
      </c>
      <c r="AK96" s="43">
        <v>30159.93</v>
      </c>
      <c r="AL96" s="44"/>
      <c r="AM96" s="45">
        <f>VLOOKUP($B96,'[2]E.U.'!$R$9:$AZ$205,11,FALSE)</f>
        <v>2008.38</v>
      </c>
      <c r="AN96" s="45">
        <f>VLOOKUP($B96,'[3]E.U.'!$R9:$AZ$225,11,FALSE)</f>
        <v>3010.01</v>
      </c>
      <c r="AO96" s="45">
        <f>VLOOKUP($B96,'[4]E.U.'!$R$9:$BZ$225,11,FALSE)</f>
        <v>3208.81</v>
      </c>
      <c r="AP96" s="45">
        <f>VLOOKUP($B96,'[5]E.U.'!$R$9:$BZ$225,11,FALSE)</f>
        <v>3498.75</v>
      </c>
      <c r="AQ96" s="45">
        <f>VLOOKUP($B96,'[6]E.U.'!$R$9:$CA$225,11,FALSE)</f>
        <v>3569.21</v>
      </c>
      <c r="AR96" s="45">
        <f>VLOOKUP($B96,'[7]E.U.'!$R$9:$AZ$225,11,FALSE)</f>
        <v>2665.46</v>
      </c>
      <c r="AS96" s="45">
        <f>VLOOKUP($B96,'[8]E.U.'!$R$9:$AZ$225,11,FALSE)</f>
        <v>2322.27</v>
      </c>
      <c r="AT96" s="45">
        <f>VLOOKUP($B96,'[9]E.U.'!$R$9:$AZ$221,11,FALSE)</f>
        <v>0</v>
      </c>
      <c r="AU96" s="45"/>
      <c r="AV96" s="45">
        <f>VLOOKUP($B96,'[10]E.U.'!$R$9:$AZ$221,11,FALSE)</f>
        <v>4160.32</v>
      </c>
      <c r="AW96" s="45">
        <f>VLOOKUP($B96,'[11]E.U.'!$R$9:$AZ$220,11,FALSE)</f>
        <v>2191.44</v>
      </c>
      <c r="AX96" s="45"/>
      <c r="AY96" s="45">
        <f>VLOOKUP($B96,'[12]E.U.'!$R$9:$AZ$220,11,FALSE)</f>
        <v>2069.5</v>
      </c>
      <c r="AZ96" s="45"/>
      <c r="BA96" s="45">
        <f>VLOOKUP($B96,'[13]E.U.'!$R$9:$AZ$221,11,FALSE)</f>
        <v>2144.8200000000002</v>
      </c>
      <c r="BB96" s="46">
        <f t="shared" si="15"/>
        <v>30848.969999999998</v>
      </c>
      <c r="BC96" s="47" t="e">
        <f>SUM(#REF!)</f>
        <v>#REF!</v>
      </c>
      <c r="BD96" s="43" t="e">
        <f>VLOOKUP(V96,[14]ELECTRIC!$C$1:$H$4000,6,FALSE)</f>
        <v>#N/A</v>
      </c>
      <c r="BE96" s="43" t="e">
        <f t="shared" si="10"/>
        <v>#N/A</v>
      </c>
      <c r="BF96" s="48">
        <f t="shared" si="14"/>
        <v>30848.969999999998</v>
      </c>
      <c r="BG96" s="49">
        <f t="shared" si="9"/>
        <v>53743.31273571428</v>
      </c>
      <c r="BH96" s="43" t="e">
        <f t="shared" si="17"/>
        <v>#REF!</v>
      </c>
      <c r="BI96" s="50" t="e">
        <f t="shared" si="12"/>
        <v>#REF!</v>
      </c>
      <c r="BJ96" s="51">
        <f t="shared" si="13"/>
        <v>2.2846206871169672E-2</v>
      </c>
      <c r="BK96" s="52"/>
      <c r="BL96" s="52"/>
      <c r="BM96" s="52"/>
      <c r="BN96" s="52"/>
      <c r="BO96" s="72"/>
      <c r="BP96" s="52"/>
      <c r="BQ96" s="52"/>
      <c r="BR96" s="50"/>
      <c r="BS96" s="53"/>
      <c r="BT96" s="53"/>
      <c r="BU96" s="65"/>
      <c r="BV96" s="55"/>
      <c r="BW96" s="55"/>
      <c r="BX96" s="56" t="s">
        <v>1960</v>
      </c>
      <c r="BY96" s="67"/>
      <c r="BZ96" s="58"/>
    </row>
    <row r="97" spans="1:78" ht="15.6" x14ac:dyDescent="0.3">
      <c r="A97" s="81" t="s">
        <v>694</v>
      </c>
      <c r="B97" s="38" t="s">
        <v>272</v>
      </c>
      <c r="C97" s="1" t="s">
        <v>273</v>
      </c>
      <c r="D97" s="39" t="s">
        <v>1961</v>
      </c>
      <c r="E97" s="40" t="s">
        <v>274</v>
      </c>
      <c r="F97" s="41">
        <v>0</v>
      </c>
      <c r="G97" s="42" t="s">
        <v>1962</v>
      </c>
      <c r="H97" s="42" t="s">
        <v>1962</v>
      </c>
      <c r="I97" s="42" t="s">
        <v>1962</v>
      </c>
      <c r="J97" s="42" t="s">
        <v>1963</v>
      </c>
      <c r="K97" s="42" t="s">
        <v>1964</v>
      </c>
      <c r="L97" s="42" t="s">
        <v>1965</v>
      </c>
      <c r="M97" s="42" t="s">
        <v>1966</v>
      </c>
      <c r="N97" s="42" t="s">
        <v>1967</v>
      </c>
      <c r="O97" s="42" t="s">
        <v>1968</v>
      </c>
      <c r="P97" s="42" t="s">
        <v>1969</v>
      </c>
      <c r="Q97" s="42" t="s">
        <v>1970</v>
      </c>
      <c r="R97" s="42" t="s">
        <v>1971</v>
      </c>
      <c r="S97" s="42" t="s">
        <v>1972</v>
      </c>
      <c r="T97" s="42" t="s">
        <v>1973</v>
      </c>
      <c r="U97" s="42" t="s">
        <v>1974</v>
      </c>
      <c r="V97" s="42" t="str">
        <f>VLOOKUP(D97,[1]ALL!$A$15:$Z$983,3,FALSE)</f>
        <v>STO-EGW</v>
      </c>
      <c r="W97" s="43">
        <v>57781.329716460612</v>
      </c>
      <c r="X97" s="43">
        <v>50503.6195885653</v>
      </c>
      <c r="Y97" s="43">
        <v>52477.36132583845</v>
      </c>
      <c r="Z97" s="43">
        <v>50546.216969278503</v>
      </c>
      <c r="AA97" s="43">
        <v>48418.26</v>
      </c>
      <c r="AB97" s="43">
        <v>53800.72</v>
      </c>
      <c r="AC97" s="43">
        <v>51768.74</v>
      </c>
      <c r="AD97" s="43">
        <v>48585.15</v>
      </c>
      <c r="AE97" s="43">
        <v>50699.95</v>
      </c>
      <c r="AF97" s="43">
        <v>26094.97</v>
      </c>
      <c r="AG97" s="43">
        <v>27831.81</v>
      </c>
      <c r="AH97" s="43">
        <v>28066.22</v>
      </c>
      <c r="AI97" s="43">
        <v>27430.98</v>
      </c>
      <c r="AJ97" s="43">
        <v>22688.03</v>
      </c>
      <c r="AK97" s="43">
        <v>37784.589999999997</v>
      </c>
      <c r="AL97" s="44"/>
      <c r="AM97" s="45">
        <f>VLOOKUP($B97,'[2]E.U.'!$R$9:$AZ$205,11,FALSE)</f>
        <v>3438.38</v>
      </c>
      <c r="AN97" s="45">
        <f>VLOOKUP($B97,'[3]E.U.'!$R9:$AZ$225,11,FALSE)</f>
        <v>3858.37</v>
      </c>
      <c r="AO97" s="45">
        <f>VLOOKUP($B97,'[4]E.U.'!$R$9:$BZ$225,11,FALSE)</f>
        <v>3520.9949411894413</v>
      </c>
      <c r="AP97" s="45">
        <f>VLOOKUP($B97,'[5]E.U.'!$R$9:$BZ$225,11,FALSE)</f>
        <v>3719.6664727930734</v>
      </c>
      <c r="AQ97" s="45">
        <f>VLOOKUP($B97,'[6]E.U.'!$R$9:$CA$225,11,FALSE)</f>
        <v>3873.1304457382967</v>
      </c>
      <c r="AR97" s="45">
        <f>VLOOKUP($B97,'[7]E.U.'!$R$9:$AZ$225,11,FALSE)</f>
        <v>3322.8927061049058</v>
      </c>
      <c r="AS97" s="45">
        <f>VLOOKUP($B97,'[8]E.U.'!$R$9:$AZ$225,11,FALSE)</f>
        <v>3765.5668013762138</v>
      </c>
      <c r="AT97" s="45">
        <f>VLOOKUP($B97,'[9]E.U.'!$R$9:$AZ$221,11,FALSE)</f>
        <v>3143.3703737513852</v>
      </c>
      <c r="AU97" s="45"/>
      <c r="AV97" s="45">
        <f>VLOOKUP($B97,'[10]E.U.'!$R$9:$AZ$221,11,FALSE)</f>
        <v>3352.4027080746482</v>
      </c>
      <c r="AW97" s="45">
        <f>VLOOKUP($B97,'[11]E.U.'!$R$9:$AZ$220,11,FALSE)</f>
        <v>3220.060234362134</v>
      </c>
      <c r="AX97" s="252"/>
      <c r="AY97" s="45">
        <f>VLOOKUP($B97,'[12]E.U.'!$R$9:$AZ$220,11,FALSE)</f>
        <v>3228.6901246769121</v>
      </c>
      <c r="AZ97" s="45"/>
      <c r="BA97" s="45">
        <f>VLOOKUP($B97,'[13]E.U.'!$R$9:$AZ$221,11,FALSE)</f>
        <v>3081.7840800861704</v>
      </c>
      <c r="BB97" s="46">
        <f t="shared" si="15"/>
        <v>41525.308888153188</v>
      </c>
      <c r="BC97" s="47" t="e">
        <f>SUM(#REF!)</f>
        <v>#REF!</v>
      </c>
      <c r="BD97" s="43" t="e">
        <f>VLOOKUP(V97,[14]ELECTRIC!$C$1:$H$4000,6,FALSE)</f>
        <v>#N/A</v>
      </c>
      <c r="BE97" s="43" t="e">
        <f t="shared" si="10"/>
        <v>#N/A</v>
      </c>
      <c r="BF97" s="48">
        <f t="shared" si="14"/>
        <v>41525.308888153188</v>
      </c>
      <c r="BG97" s="49">
        <f t="shared" si="9"/>
        <v>72343.020270146866</v>
      </c>
      <c r="BH97" s="43" t="e">
        <f t="shared" si="17"/>
        <v>#REF!</v>
      </c>
      <c r="BI97" s="50" t="e">
        <f t="shared" si="12"/>
        <v>#REF!</v>
      </c>
      <c r="BJ97" s="51">
        <f t="shared" si="13"/>
        <v>9.9001177150610742E-2</v>
      </c>
      <c r="BK97" s="52"/>
      <c r="BL97" s="52"/>
      <c r="BM97" s="52"/>
      <c r="BN97" s="52"/>
      <c r="BO97" s="72"/>
      <c r="BP97" s="52"/>
      <c r="BQ97" s="52"/>
      <c r="BR97" s="50"/>
      <c r="BS97" s="53"/>
      <c r="BT97" s="53"/>
      <c r="BU97" s="65"/>
      <c r="BV97" s="55"/>
      <c r="BW97" s="55"/>
      <c r="BX97" s="56"/>
      <c r="BY97" s="57"/>
      <c r="BZ97" s="58"/>
    </row>
    <row r="98" spans="1:78" ht="15.6" x14ac:dyDescent="0.3">
      <c r="A98" s="59" t="s">
        <v>739</v>
      </c>
      <c r="B98" s="38" t="s">
        <v>275</v>
      </c>
      <c r="C98" s="1" t="s">
        <v>276</v>
      </c>
      <c r="D98" s="39" t="s">
        <v>1975</v>
      </c>
      <c r="E98" s="40" t="s">
        <v>277</v>
      </c>
      <c r="F98" s="41">
        <v>0</v>
      </c>
      <c r="G98" s="42" t="s">
        <v>1976</v>
      </c>
      <c r="H98" s="42" t="s">
        <v>1976</v>
      </c>
      <c r="I98" s="42" t="s">
        <v>1976</v>
      </c>
      <c r="J98" s="42" t="s">
        <v>1977</v>
      </c>
      <c r="K98" s="42" t="s">
        <v>1978</v>
      </c>
      <c r="L98" s="42" t="s">
        <v>1979</v>
      </c>
      <c r="M98" s="42" t="s">
        <v>1980</v>
      </c>
      <c r="N98" s="42" t="s">
        <v>1981</v>
      </c>
      <c r="O98" s="42" t="s">
        <v>1982</v>
      </c>
      <c r="P98" s="42" t="s">
        <v>1983</v>
      </c>
      <c r="Q98" s="42" t="s">
        <v>1984</v>
      </c>
      <c r="R98" s="42" t="s">
        <v>1985</v>
      </c>
      <c r="S98" s="42" t="s">
        <v>1986</v>
      </c>
      <c r="T98" s="42" t="s">
        <v>1987</v>
      </c>
      <c r="U98" s="42" t="s">
        <v>1988</v>
      </c>
      <c r="V98" s="42" t="str">
        <f>VLOOKUP(D98,[1]ALL!$A$15:$Z$983,3,FALSE)</f>
        <v>FAC-EGW</v>
      </c>
      <c r="W98" s="43">
        <v>35543.317577557951</v>
      </c>
      <c r="X98" s="43">
        <v>37016.029134923934</v>
      </c>
      <c r="Y98" s="43">
        <v>36929.498540428278</v>
      </c>
      <c r="Z98" s="43">
        <v>36092.001262695761</v>
      </c>
      <c r="AA98" s="43">
        <v>34633.11</v>
      </c>
      <c r="AB98" s="43">
        <v>27557.52</v>
      </c>
      <c r="AC98" s="43">
        <v>30442.82</v>
      </c>
      <c r="AD98" s="43">
        <v>31266.76</v>
      </c>
      <c r="AE98" s="43">
        <v>33798.28</v>
      </c>
      <c r="AF98" s="43">
        <v>34765.370000000003</v>
      </c>
      <c r="AG98" s="43">
        <v>36763.54</v>
      </c>
      <c r="AH98" s="43">
        <v>36797.410000000003</v>
      </c>
      <c r="AI98" s="43">
        <v>6762.61</v>
      </c>
      <c r="AJ98" s="43"/>
      <c r="AK98" s="43"/>
      <c r="AL98" s="260" t="s">
        <v>1898</v>
      </c>
      <c r="AM98" s="45">
        <f>VLOOKUP($B98,'[2]E.U.'!$R$9:$AZ$205,11,FALSE)</f>
        <v>0</v>
      </c>
      <c r="AN98" s="45">
        <f>VLOOKUP($B98,'[3]E.U.'!$R9:$AZ$225,11,FALSE)</f>
        <v>0</v>
      </c>
      <c r="AO98" s="45">
        <f>VLOOKUP($B98,'[4]E.U.'!$R$9:$BZ$225,11,FALSE)</f>
        <v>0</v>
      </c>
      <c r="AP98" s="45">
        <f>VLOOKUP($B98,'[5]E.U.'!$R$9:$BZ$225,11,FALSE)</f>
        <v>0</v>
      </c>
      <c r="AQ98" s="45">
        <f>VLOOKUP($B98,'[6]E.U.'!$R$9:$CA$225,11,FALSE)</f>
        <v>0</v>
      </c>
      <c r="AR98" s="45">
        <f>VLOOKUP($B98,'[7]E.U.'!$R$9:$AZ$225,11,FALSE)</f>
        <v>0</v>
      </c>
      <c r="AS98" s="45">
        <f>VLOOKUP($B98,'[8]E.U.'!$R$9:$AZ$225,11,FALSE)</f>
        <v>0</v>
      </c>
      <c r="AT98" s="45">
        <f>VLOOKUP($B98,'[9]E.U.'!$R$9:$AZ$221,11,FALSE)</f>
        <v>0</v>
      </c>
      <c r="AU98" s="45"/>
      <c r="AV98" s="45">
        <f>VLOOKUP($B98,'[10]E.U.'!$R$9:$AZ$221,11,FALSE)</f>
        <v>0</v>
      </c>
      <c r="AW98" s="45" t="e">
        <f>VLOOKUP($B98,'[11]E.U.'!$R$9:$AZ$220,11,FALSE)</f>
        <v>#REF!</v>
      </c>
      <c r="AX98" s="45"/>
      <c r="AY98" s="45" t="e">
        <f>VLOOKUP($B98,'[12]E.U.'!$R$9:$AZ$220,11,FALSE)</f>
        <v>#REF!</v>
      </c>
      <c r="AZ98" s="45"/>
      <c r="BA98" s="45">
        <f>VLOOKUP($B98,'[13]E.U.'!$R$9:$AZ$221,11,FALSE)</f>
        <v>0</v>
      </c>
      <c r="BB98" s="46" t="e">
        <f t="shared" si="15"/>
        <v>#REF!</v>
      </c>
      <c r="BC98" s="47" t="e">
        <f>SUM(#REF!)</f>
        <v>#REF!</v>
      </c>
      <c r="BD98" s="43" t="e">
        <f>VLOOKUP(V98,[14]ELECTRIC!$C$1:$H$4000,6,FALSE)</f>
        <v>#N/A</v>
      </c>
      <c r="BE98" s="43" t="e">
        <f t="shared" si="10"/>
        <v>#REF!</v>
      </c>
      <c r="BF98" s="48" t="e">
        <f t="shared" si="14"/>
        <v>#REF!</v>
      </c>
      <c r="BG98" s="49" t="e">
        <f t="shared" ref="BG98:BG164" si="18">(BB98*9/7)+((BB98*3/7)*1.065)</f>
        <v>#REF!</v>
      </c>
      <c r="BH98" s="43" t="e">
        <f t="shared" si="17"/>
        <v>#REF!</v>
      </c>
      <c r="BI98" s="50" t="e">
        <f t="shared" si="12"/>
        <v>#REF!</v>
      </c>
      <c r="BJ98" s="51" t="e">
        <f t="shared" si="13"/>
        <v>#REF!</v>
      </c>
      <c r="BK98" s="52"/>
      <c r="BL98" s="52"/>
      <c r="BM98" s="52"/>
      <c r="BN98" s="52"/>
      <c r="BO98" s="72"/>
      <c r="BP98" s="52"/>
      <c r="BQ98" s="52"/>
      <c r="BR98" s="50"/>
      <c r="BS98" s="53"/>
      <c r="BT98" s="53"/>
      <c r="BU98" s="65"/>
      <c r="BV98" s="55"/>
      <c r="BW98" s="55"/>
      <c r="BX98" s="56"/>
      <c r="BY98" s="57"/>
      <c r="BZ98" s="58"/>
    </row>
    <row r="99" spans="1:78" ht="15.6" x14ac:dyDescent="0.3">
      <c r="A99" s="59" t="s">
        <v>1359</v>
      </c>
      <c r="B99" s="38" t="s">
        <v>278</v>
      </c>
      <c r="C99" s="63" t="s">
        <v>1989</v>
      </c>
      <c r="D99" t="s">
        <v>1990</v>
      </c>
      <c r="E99" s="40" t="s">
        <v>280</v>
      </c>
      <c r="F99" s="41">
        <v>0</v>
      </c>
      <c r="G99" s="42" t="s">
        <v>1991</v>
      </c>
      <c r="H99" s="42" t="s">
        <v>1992</v>
      </c>
      <c r="I99" s="42" t="s">
        <v>1993</v>
      </c>
      <c r="J99" s="42" t="s">
        <v>1994</v>
      </c>
      <c r="K99" s="42" t="s">
        <v>1995</v>
      </c>
      <c r="L99" s="42" t="s">
        <v>1996</v>
      </c>
      <c r="M99" s="42" t="s">
        <v>1997</v>
      </c>
      <c r="N99" s="42" t="s">
        <v>1998</v>
      </c>
      <c r="O99" s="42" t="s">
        <v>1999</v>
      </c>
      <c r="P99" s="42" t="s">
        <v>2000</v>
      </c>
      <c r="Q99" s="42" t="s">
        <v>2001</v>
      </c>
      <c r="R99" s="42" t="s">
        <v>2002</v>
      </c>
      <c r="S99" s="42" t="s">
        <v>2003</v>
      </c>
      <c r="T99" s="42" t="s">
        <v>2004</v>
      </c>
      <c r="U99" s="42" t="s">
        <v>2005</v>
      </c>
      <c r="V99" s="42" t="str">
        <f>VLOOKUP(D99,[1]ALL!$A$15:$Z$983,3,FALSE)</f>
        <v>PKS-ELC</v>
      </c>
      <c r="W99" s="43">
        <v>28887.580002159008</v>
      </c>
      <c r="X99" s="43">
        <v>31263.504803854739</v>
      </c>
      <c r="Y99" s="43">
        <v>47051.249366309894</v>
      </c>
      <c r="Z99" s="43">
        <v>46918.504904621506</v>
      </c>
      <c r="AA99" s="43">
        <v>47206.83</v>
      </c>
      <c r="AB99" s="43">
        <v>43376.95</v>
      </c>
      <c r="AC99" s="43">
        <v>51953.81</v>
      </c>
      <c r="AD99" s="43">
        <v>46499.08</v>
      </c>
      <c r="AE99" s="43">
        <v>48179.29</v>
      </c>
      <c r="AF99" s="43">
        <v>42388.23</v>
      </c>
      <c r="AG99" s="43">
        <v>43163.63</v>
      </c>
      <c r="AH99" s="43">
        <v>44382.12</v>
      </c>
      <c r="AI99" s="43">
        <v>43152.78</v>
      </c>
      <c r="AJ99" s="43">
        <v>43243.17</v>
      </c>
      <c r="AK99" s="43">
        <v>52844</v>
      </c>
      <c r="AL99" s="44"/>
      <c r="AM99" s="45">
        <f>VLOOKUP($B99,'[2]E.U.'!$R$9:$AZ$205,11,FALSE)</f>
        <v>3756.11</v>
      </c>
      <c r="AN99" s="45">
        <f>VLOOKUP($B99,'[3]E.U.'!$R9:$AZ$225,11,FALSE)</f>
        <v>2951.41</v>
      </c>
      <c r="AO99" s="45">
        <f>VLOOKUP($B99,'[4]E.U.'!$R$9:$BZ$225,11,FALSE)</f>
        <v>3045.2402374294238</v>
      </c>
      <c r="AP99" s="45">
        <f>VLOOKUP($B99,'[5]E.U.'!$R$9:$BZ$225,11,FALSE)</f>
        <v>3427.2690229313275</v>
      </c>
      <c r="AQ99" s="45">
        <f>VLOOKUP($B99,'[6]E.U.'!$R$9:$CA$225,11,FALSE)</f>
        <v>4921.9438306614102</v>
      </c>
      <c r="AR99" s="45">
        <f>VLOOKUP($B99,'[7]E.U.'!$R$9:$AZ$225,11,FALSE)</f>
        <v>4357.3410918980035</v>
      </c>
      <c r="AS99" s="45">
        <f>VLOOKUP($B99,'[8]E.U.'!$R$9:$AZ$225,11,FALSE)</f>
        <v>4727.1681457386812</v>
      </c>
      <c r="AT99" s="45">
        <f>VLOOKUP($B99,'[9]E.U.'!$R$9:$AZ$221,11,FALSE)</f>
        <v>3855.0091084927822</v>
      </c>
      <c r="AU99" s="45"/>
      <c r="AV99" s="45">
        <f>VLOOKUP($B99,'[10]E.U.'!$R$9:$AZ$221,11,FALSE)</f>
        <v>4468.2038193974249</v>
      </c>
      <c r="AW99" s="45">
        <f>VLOOKUP($B99,'[11]E.U.'!$R$9:$AZ$220,11,FALSE)</f>
        <v>4134.4542227380171</v>
      </c>
      <c r="AX99" s="252"/>
      <c r="AY99" s="45">
        <f>VLOOKUP($B99,'[12]E.U.'!$R$9:$AZ$220,11,FALSE)</f>
        <v>3829.8397663056808</v>
      </c>
      <c r="AZ99" s="45"/>
      <c r="BA99" s="45">
        <f>VLOOKUP($B99,'[13]E.U.'!$R$9:$AZ$221,11,FALSE)</f>
        <v>3768.323487900012</v>
      </c>
      <c r="BB99" s="46">
        <f t="shared" si="15"/>
        <v>47242.312733492756</v>
      </c>
      <c r="BC99" s="47" t="e">
        <f>SUM(#REF!)</f>
        <v>#REF!</v>
      </c>
      <c r="BD99" s="43" t="e">
        <f>VLOOKUP(V99,[14]ELECTRIC!$C$1:$H$4000,6,FALSE)</f>
        <v>#N/A</v>
      </c>
      <c r="BE99" s="43" t="e">
        <f t="shared" si="10"/>
        <v>#N/A</v>
      </c>
      <c r="BF99" s="48">
        <f t="shared" si="14"/>
        <v>47242.312733492756</v>
      </c>
      <c r="BG99" s="49">
        <f t="shared" si="18"/>
        <v>82302.857683563445</v>
      </c>
      <c r="BH99" s="43" t="e">
        <f t="shared" si="17"/>
        <v>#REF!</v>
      </c>
      <c r="BI99" s="50" t="e">
        <f t="shared" si="12"/>
        <v>#REF!</v>
      </c>
      <c r="BJ99" s="51">
        <f t="shared" si="13"/>
        <v>-0.10600422501149132</v>
      </c>
      <c r="BK99" s="52"/>
      <c r="BL99" s="52"/>
      <c r="BM99" s="52"/>
      <c r="BN99" s="52"/>
      <c r="BO99" s="72"/>
      <c r="BP99" s="52"/>
      <c r="BQ99" s="52"/>
      <c r="BR99" s="71"/>
      <c r="BS99" s="53"/>
      <c r="BT99" s="53"/>
      <c r="BU99" s="65"/>
      <c r="BV99" s="65" t="s">
        <v>2006</v>
      </c>
      <c r="BW99" s="55"/>
      <c r="BX99" s="87" t="s">
        <v>2007</v>
      </c>
      <c r="BY99" s="99" t="s">
        <v>2008</v>
      </c>
      <c r="BZ99" s="58"/>
    </row>
    <row r="100" spans="1:78" ht="15.6" x14ac:dyDescent="0.3">
      <c r="A100" s="81" t="s">
        <v>694</v>
      </c>
      <c r="B100" s="38" t="s">
        <v>281</v>
      </c>
      <c r="C100" s="1" t="s">
        <v>282</v>
      </c>
      <c r="D100" t="s">
        <v>2009</v>
      </c>
      <c r="E100" s="40" t="s">
        <v>283</v>
      </c>
      <c r="F100" s="41" t="s">
        <v>758</v>
      </c>
      <c r="G100" s="42" t="s">
        <v>1761</v>
      </c>
      <c r="H100" s="42" t="s">
        <v>1761</v>
      </c>
      <c r="I100" s="42" t="s">
        <v>1761</v>
      </c>
      <c r="J100" s="42" t="s">
        <v>2010</v>
      </c>
      <c r="K100" s="42" t="s">
        <v>2011</v>
      </c>
      <c r="L100" s="42" t="s">
        <v>2012</v>
      </c>
      <c r="M100" s="42" t="s">
        <v>2013</v>
      </c>
      <c r="N100" s="42" t="s">
        <v>2014</v>
      </c>
      <c r="O100" s="42" t="s">
        <v>2015</v>
      </c>
      <c r="P100" s="42" t="s">
        <v>2016</v>
      </c>
      <c r="Q100" s="42" t="s">
        <v>2017</v>
      </c>
      <c r="R100" s="42" t="s">
        <v>2018</v>
      </c>
      <c r="S100" s="42" t="s">
        <v>2019</v>
      </c>
      <c r="T100" s="42" t="s">
        <v>2020</v>
      </c>
      <c r="U100" s="42" t="s">
        <v>2021</v>
      </c>
      <c r="V100" s="42" t="str">
        <f>VLOOKUP(D100,[1]ALL!$A$15:$Z$983,3,FALSE)</f>
        <v>RRB-EGW</v>
      </c>
      <c r="W100" s="43">
        <v>44957.912654960062</v>
      </c>
      <c r="X100" s="43">
        <v>42122.060970134044</v>
      </c>
      <c r="Y100" s="43">
        <v>41070.116700938466</v>
      </c>
      <c r="Z100" s="43">
        <v>44974.275068408031</v>
      </c>
      <c r="AA100" s="43">
        <v>45061.34</v>
      </c>
      <c r="AB100" s="43">
        <v>43315.05</v>
      </c>
      <c r="AC100" s="43">
        <v>50187.02</v>
      </c>
      <c r="AD100" s="43">
        <v>46610.18</v>
      </c>
      <c r="AE100" s="43">
        <v>48081.33</v>
      </c>
      <c r="AF100" s="43">
        <v>55708.17</v>
      </c>
      <c r="AG100" s="43">
        <v>65290.73</v>
      </c>
      <c r="AH100" s="43">
        <v>65196.47</v>
      </c>
      <c r="AI100" s="43">
        <v>67597.09</v>
      </c>
      <c r="AJ100" s="43">
        <v>70563.320000000007</v>
      </c>
      <c r="AK100" s="43">
        <v>82439.58</v>
      </c>
      <c r="AL100" s="44"/>
      <c r="AM100" s="45">
        <f>VLOOKUP($B100,'[2]E.U.'!$R$9:$AZ$205,11,FALSE)</f>
        <v>6147.1</v>
      </c>
      <c r="AN100" s="45">
        <f>VLOOKUP($B100,'[3]E.U.'!$R9:$AZ$225,11,FALSE)</f>
        <v>5970.16</v>
      </c>
      <c r="AO100" s="45">
        <f>VLOOKUP($B100,'[4]E.U.'!$R$9:$BZ$225,11,FALSE)</f>
        <v>6371.231768293007</v>
      </c>
      <c r="AP100" s="45">
        <f>VLOOKUP($B100,'[5]E.U.'!$R$9:$BZ$225,11,FALSE)</f>
        <v>7501.9768504349922</v>
      </c>
      <c r="AQ100" s="45">
        <f>VLOOKUP($B100,'[6]E.U.'!$R$9:$CA$225,11,FALSE)</f>
        <v>8875.8752318739334</v>
      </c>
      <c r="AR100" s="45">
        <f>VLOOKUP($B100,'[7]E.U.'!$R$9:$AZ$225,11,FALSE)</f>
        <v>7271.1448024256142</v>
      </c>
      <c r="AS100" s="45">
        <f>VLOOKUP($B100,'[8]E.U.'!$R$9:$AZ$225,11,FALSE)</f>
        <v>7004.0580683082007</v>
      </c>
      <c r="AT100" s="45">
        <f>VLOOKUP($B100,'[9]E.U.'!$R$9:$AZ$221,11,FALSE)</f>
        <v>5745.8542628853356</v>
      </c>
      <c r="AU100" s="45"/>
      <c r="AV100" s="45">
        <f>VLOOKUP($B100,'[10]E.U.'!$R$9:$AZ$221,11,FALSE)</f>
        <v>5503.5287479601648</v>
      </c>
      <c r="AW100" s="45">
        <f>VLOOKUP($B100,'[11]E.U.'!$R$9:$AZ$220,11,FALSE)</f>
        <v>5787.9412884533313</v>
      </c>
      <c r="AX100" s="252"/>
      <c r="AY100" s="45">
        <f>VLOOKUP($B100,'[12]E.U.'!$R$9:$AZ$220,11,FALSE)</f>
        <v>6044.1839549324477</v>
      </c>
      <c r="AZ100" s="45"/>
      <c r="BA100" s="45">
        <f>VLOOKUP($B100,'[13]E.U.'!$R$9:$AZ$221,11,FALSE)</f>
        <v>5979.6573704279708</v>
      </c>
      <c r="BB100" s="46">
        <f t="shared" si="15"/>
        <v>78202.712345995009</v>
      </c>
      <c r="BC100" s="47" t="e">
        <f>SUM(#REF!)</f>
        <v>#REF!</v>
      </c>
      <c r="BD100" s="43" t="e">
        <f>VLOOKUP(V100,[14]ELECTRIC!$C$1:$H$4000,6,FALSE)</f>
        <v>#N/A</v>
      </c>
      <c r="BE100" s="43" t="e">
        <f t="shared" si="10"/>
        <v>#N/A</v>
      </c>
      <c r="BF100" s="48">
        <f t="shared" si="14"/>
        <v>78202.712345995009</v>
      </c>
      <c r="BG100" s="49">
        <f t="shared" si="18"/>
        <v>136240.29672277273</v>
      </c>
      <c r="BH100" s="43" t="e">
        <f t="shared" si="17"/>
        <v>#REF!</v>
      </c>
      <c r="BI100" s="50" t="e">
        <f t="shared" si="12"/>
        <v>#REF!</v>
      </c>
      <c r="BJ100" s="51">
        <f t="shared" si="13"/>
        <v>-5.1393610375077059E-2</v>
      </c>
      <c r="BK100" s="52"/>
      <c r="BL100" s="52"/>
      <c r="BM100" s="52"/>
      <c r="BN100" s="52"/>
      <c r="BO100" s="72"/>
      <c r="BP100" s="52"/>
      <c r="BQ100" s="52"/>
      <c r="BR100" s="71"/>
      <c r="BS100" s="53"/>
      <c r="BT100" s="53"/>
      <c r="BU100" s="65"/>
      <c r="BV100" s="55"/>
      <c r="BW100" s="55"/>
      <c r="BX100" s="56"/>
      <c r="BY100" s="67"/>
      <c r="BZ100" s="58"/>
    </row>
    <row r="101" spans="1:78" ht="15.6" x14ac:dyDescent="0.3">
      <c r="A101" s="59" t="s">
        <v>694</v>
      </c>
      <c r="B101" s="38" t="s">
        <v>284</v>
      </c>
      <c r="C101" s="63" t="s">
        <v>285</v>
      </c>
      <c r="D101" s="39" t="s">
        <v>2022</v>
      </c>
      <c r="E101" s="40" t="s">
        <v>286</v>
      </c>
      <c r="F101" s="41">
        <v>0</v>
      </c>
      <c r="G101" s="42" t="s">
        <v>2023</v>
      </c>
      <c r="H101" s="42" t="s">
        <v>2023</v>
      </c>
      <c r="I101" s="42" t="s">
        <v>2023</v>
      </c>
      <c r="J101" s="42" t="s">
        <v>2024</v>
      </c>
      <c r="K101" s="42" t="s">
        <v>2025</v>
      </c>
      <c r="L101" s="42" t="s">
        <v>2026</v>
      </c>
      <c r="M101" s="42" t="s">
        <v>2027</v>
      </c>
      <c r="N101" s="42" t="s">
        <v>2028</v>
      </c>
      <c r="O101" s="42" t="s">
        <v>2029</v>
      </c>
      <c r="P101" s="42" t="s">
        <v>2030</v>
      </c>
      <c r="Q101" s="42" t="s">
        <v>2031</v>
      </c>
      <c r="R101" s="42" t="s">
        <v>2032</v>
      </c>
      <c r="S101" s="42" t="s">
        <v>2033</v>
      </c>
      <c r="T101" s="42" t="s">
        <v>2034</v>
      </c>
      <c r="U101" s="42" t="s">
        <v>2035</v>
      </c>
      <c r="V101" s="42" t="str">
        <f>VLOOKUP(D101,[1]ALL!$A$15:$Z$983,3,FALSE)</f>
        <v>TRO-EGW</v>
      </c>
      <c r="W101" s="43">
        <v>559.13197916240892</v>
      </c>
      <c r="X101" s="43">
        <v>538.96313954323773</v>
      </c>
      <c r="Y101" s="43">
        <v>541.27198866771471</v>
      </c>
      <c r="Z101" s="43">
        <v>617.9296609398931</v>
      </c>
      <c r="AA101" s="43">
        <v>545.72</v>
      </c>
      <c r="AB101" s="43">
        <v>530.77</v>
      </c>
      <c r="AC101" s="43">
        <v>570.54999999999995</v>
      </c>
      <c r="AD101" s="43">
        <v>640.16999999999996</v>
      </c>
      <c r="AE101" s="43">
        <v>667.68</v>
      </c>
      <c r="AF101" s="43">
        <v>735.07</v>
      </c>
      <c r="AG101" s="43">
        <v>768.93</v>
      </c>
      <c r="AH101" s="43">
        <v>742.49</v>
      </c>
      <c r="AI101" s="43">
        <v>817.45</v>
      </c>
      <c r="AJ101" s="43">
        <v>919.69</v>
      </c>
      <c r="AK101" s="43">
        <v>10731.57</v>
      </c>
      <c r="AL101" s="44"/>
      <c r="AM101" s="45">
        <f>VLOOKUP($B101,'[2]E.U.'!$R$9:$AZ$205,11,FALSE)</f>
        <v>74.42</v>
      </c>
      <c r="AN101" s="45">
        <f>VLOOKUP($B101,'[3]E.U.'!$R9:$AZ$225,11,FALSE)</f>
        <v>67.47</v>
      </c>
      <c r="AO101" s="45">
        <f>VLOOKUP($B101,'[4]E.U.'!$R$9:$BZ$225,11,FALSE)</f>
        <v>1018.07097794683</v>
      </c>
      <c r="AP101" s="45">
        <f>VLOOKUP($B101,'[5]E.U.'!$R$9:$BZ$225,11,FALSE)</f>
        <v>1100.1265171551825</v>
      </c>
      <c r="AQ101" s="45">
        <f>VLOOKUP($B101,'[6]E.U.'!$R$9:$CA$225,11,FALSE)</f>
        <v>1701.0273071757183</v>
      </c>
      <c r="AR101" s="45">
        <f>VLOOKUP($B101,'[7]E.U.'!$R$9:$AZ$225,11,FALSE)</f>
        <v>1538.8662230294512</v>
      </c>
      <c r="AS101" s="45">
        <f>VLOOKUP($B101,'[8]E.U.'!$R$9:$AZ$225,11,FALSE)</f>
        <v>1341.7214785352844</v>
      </c>
      <c r="AT101" s="45">
        <f>VLOOKUP($B101,'[9]E.U.'!$R$9:$AZ$221,11,FALSE)</f>
        <v>978.23528792672357</v>
      </c>
      <c r="AU101" s="45"/>
      <c r="AV101" s="45">
        <f>VLOOKUP($B101,'[10]E.U.'!$R$9:$AZ$221,11,FALSE)</f>
        <v>1000.4087574537989</v>
      </c>
      <c r="AW101" s="45">
        <f>VLOOKUP($B101,'[11]E.U.'!$R$9:$AZ$220,11,FALSE)</f>
        <v>1140.4614058861569</v>
      </c>
      <c r="AX101" s="252"/>
      <c r="AY101" s="45">
        <f>VLOOKUP($B101,'[12]E.U.'!$R$9:$AZ$220,11,FALSE)</f>
        <v>1067.6400502836714</v>
      </c>
      <c r="AZ101" s="45"/>
      <c r="BA101" s="45">
        <f>VLOOKUP($B101,'[13]E.U.'!$R$9:$AZ$221,11,FALSE)</f>
        <v>1150.0911275331655</v>
      </c>
      <c r="BB101" s="46">
        <f t="shared" si="15"/>
        <v>12178.539132925982</v>
      </c>
      <c r="BC101" s="47" t="e">
        <f>SUM(#REF!)</f>
        <v>#REF!</v>
      </c>
      <c r="BD101" s="43" t="e">
        <f>VLOOKUP(V101,[14]ELECTRIC!$C$1:$H$4000,6,FALSE)</f>
        <v>#N/A</v>
      </c>
      <c r="BE101" s="43" t="e">
        <f t="shared" si="10"/>
        <v>#N/A</v>
      </c>
      <c r="BF101" s="48">
        <f t="shared" si="14"/>
        <v>12178.539132925982</v>
      </c>
      <c r="BG101" s="49">
        <f t="shared" si="18"/>
        <v>21216.754960861763</v>
      </c>
      <c r="BH101" s="43" t="e">
        <f t="shared" si="17"/>
        <v>#REF!</v>
      </c>
      <c r="BI101" s="50" t="e">
        <f t="shared" si="12"/>
        <v>#REF!</v>
      </c>
      <c r="BJ101" s="51">
        <f t="shared" si="13"/>
        <v>0.1348329399077659</v>
      </c>
      <c r="BK101" s="52"/>
      <c r="BL101" s="52"/>
      <c r="BM101" s="52"/>
      <c r="BN101" s="52"/>
      <c r="BO101" s="72"/>
      <c r="BP101" s="52"/>
      <c r="BQ101" s="52"/>
      <c r="BR101" s="50"/>
      <c r="BS101" s="53"/>
      <c r="BT101" s="53"/>
      <c r="BU101" s="65"/>
      <c r="BV101" s="55"/>
      <c r="BW101" s="55"/>
      <c r="BX101" s="87" t="s">
        <v>2036</v>
      </c>
      <c r="BY101" s="67"/>
      <c r="BZ101" s="58"/>
    </row>
    <row r="102" spans="1:78" ht="15.6" x14ac:dyDescent="0.3">
      <c r="A102" s="59" t="s">
        <v>1359</v>
      </c>
      <c r="B102" s="38" t="s">
        <v>287</v>
      </c>
      <c r="C102" s="1" t="s">
        <v>2037</v>
      </c>
      <c r="D102" t="s">
        <v>2038</v>
      </c>
      <c r="E102" s="40" t="s">
        <v>289</v>
      </c>
      <c r="F102" s="41">
        <v>0</v>
      </c>
      <c r="G102" s="42" t="s">
        <v>2039</v>
      </c>
      <c r="H102" s="42" t="s">
        <v>2040</v>
      </c>
      <c r="I102" s="42" t="s">
        <v>2041</v>
      </c>
      <c r="J102" s="42" t="s">
        <v>2042</v>
      </c>
      <c r="K102" s="42" t="s">
        <v>2043</v>
      </c>
      <c r="L102" s="42" t="s">
        <v>2044</v>
      </c>
      <c r="M102" s="42" t="s">
        <v>2045</v>
      </c>
      <c r="N102" s="42" t="s">
        <v>2046</v>
      </c>
      <c r="O102" s="42" t="s">
        <v>2047</v>
      </c>
      <c r="P102" s="42" t="s">
        <v>2048</v>
      </c>
      <c r="Q102" s="42" t="s">
        <v>2049</v>
      </c>
      <c r="R102" s="42" t="s">
        <v>2050</v>
      </c>
      <c r="S102" s="42" t="s">
        <v>2051</v>
      </c>
      <c r="T102" s="42" t="s">
        <v>2052</v>
      </c>
      <c r="U102" s="42" t="s">
        <v>2053</v>
      </c>
      <c r="V102" s="42" t="str">
        <f>VLOOKUP(D102,[1]ALL!$A$15:$Z$983,3,FALSE)</f>
        <v>TRO-ELC</v>
      </c>
      <c r="W102" s="43">
        <v>30961.774064085839</v>
      </c>
      <c r="X102" s="43">
        <v>29452.414470472715</v>
      </c>
      <c r="Y102" s="43">
        <v>29074.4779074736</v>
      </c>
      <c r="Z102" s="43">
        <v>32842.756071149823</v>
      </c>
      <c r="AA102" s="43">
        <v>29041.15</v>
      </c>
      <c r="AB102" s="43">
        <v>28304.12</v>
      </c>
      <c r="AC102" s="43">
        <v>30616.3</v>
      </c>
      <c r="AD102" s="43">
        <v>32271.86</v>
      </c>
      <c r="AE102" s="43">
        <v>36073.58</v>
      </c>
      <c r="AF102" s="43">
        <v>39498.67</v>
      </c>
      <c r="AG102" s="43">
        <v>41196.06</v>
      </c>
      <c r="AH102" s="43">
        <v>39755.199999999997</v>
      </c>
      <c r="AI102" s="43">
        <v>42819.38</v>
      </c>
      <c r="AJ102" s="43">
        <v>48454.16</v>
      </c>
      <c r="AK102" s="43">
        <v>49881.82</v>
      </c>
      <c r="AL102" s="44"/>
      <c r="AM102" s="45">
        <f>VLOOKUP($B102,'[2]E.U.'!$R$9:$AZ$205,11,FALSE)</f>
        <v>3938.3</v>
      </c>
      <c r="AN102" s="45">
        <f>VLOOKUP($B102,'[3]E.U.'!$R9:$AZ$225,11,FALSE)</f>
        <v>3551.35</v>
      </c>
      <c r="AO102" s="45">
        <f>VLOOKUP($B102,'[4]E.U.'!$R$9:$BZ$225,11,FALSE)</f>
        <v>9162.6578834947213</v>
      </c>
      <c r="AP102" s="45">
        <f>VLOOKUP($B102,'[5]E.U.'!$R$9:$BZ$225,11,FALSE)</f>
        <v>9901.1748779200352</v>
      </c>
      <c r="AQ102" s="45">
        <f>VLOOKUP($B102,'[6]E.U.'!$R$9:$CA$225,11,FALSE)</f>
        <v>15309.283454004495</v>
      </c>
      <c r="AR102" s="45">
        <f>VLOOKUP($B102,'[7]E.U.'!$R$9:$AZ$225,11,FALSE)</f>
        <v>13849.824190423711</v>
      </c>
      <c r="AS102" s="45">
        <f>VLOOKUP($B102,'[8]E.U.'!$R$9:$AZ$225,11,FALSE)</f>
        <v>12075.483861932524</v>
      </c>
      <c r="AT102" s="45">
        <f>VLOOKUP($B102,'[9]E.U.'!$R$9:$AZ$221,11,FALSE)</f>
        <v>8804.079683692491</v>
      </c>
      <c r="AU102" s="45"/>
      <c r="AV102" s="45">
        <f>VLOOKUP($B102,'[10]E.U.'!$R$9:$AZ$221,11,FALSE)</f>
        <v>9003.6788170841919</v>
      </c>
      <c r="AW102" s="45">
        <f>VLOOKUP($B102,'[11]E.U.'!$R$9:$AZ$220,11,FALSE)</f>
        <v>10264.134195771423</v>
      </c>
      <c r="AX102" s="252"/>
      <c r="AY102" s="45">
        <f>VLOOKUP($B102,'[12]E.U.'!$R$9:$AZ$220,11,FALSE)</f>
        <v>9608.7794642532808</v>
      </c>
      <c r="AZ102" s="45"/>
      <c r="BA102" s="45">
        <f>VLOOKUP($B102,'[13]E.U.'!$R$9:$AZ$221,11,FALSE)</f>
        <v>10350.801196760342</v>
      </c>
      <c r="BB102" s="46">
        <f t="shared" si="15"/>
        <v>115819.5476253372</v>
      </c>
      <c r="BC102" s="47" t="e">
        <f>SUM(#REF!)</f>
        <v>#REF!</v>
      </c>
      <c r="BD102" s="43" t="e">
        <f>VLOOKUP(V102,[14]ELECTRIC!$C$1:$H$4000,6,FALSE)</f>
        <v>#N/A</v>
      </c>
      <c r="BE102" s="43" t="e">
        <f t="shared" si="10"/>
        <v>#N/A</v>
      </c>
      <c r="BF102" s="48">
        <f t="shared" si="14"/>
        <v>115819.5476253372</v>
      </c>
      <c r="BG102" s="49">
        <f t="shared" si="18"/>
        <v>201774.19761299816</v>
      </c>
      <c r="BH102" s="43" t="e">
        <f t="shared" si="17"/>
        <v>#REF!</v>
      </c>
      <c r="BI102" s="50" t="e">
        <f t="shared" si="12"/>
        <v>#REF!</v>
      </c>
      <c r="BJ102" s="51">
        <f t="shared" si="13"/>
        <v>1.3218789455825228</v>
      </c>
      <c r="BK102" s="52"/>
      <c r="BL102" s="52"/>
      <c r="BM102" s="52"/>
      <c r="BN102" s="52"/>
      <c r="BO102" s="72"/>
      <c r="BP102" s="52"/>
      <c r="BQ102" s="52"/>
      <c r="BR102" s="50"/>
      <c r="BS102" s="53"/>
      <c r="BT102" s="53"/>
      <c r="BU102" s="65"/>
      <c r="BV102" s="55"/>
      <c r="BW102" s="55"/>
      <c r="BX102" s="87" t="s">
        <v>1378</v>
      </c>
      <c r="BY102" s="57" t="s">
        <v>2054</v>
      </c>
      <c r="BZ102" s="58"/>
    </row>
    <row r="103" spans="1:78" ht="15.6" x14ac:dyDescent="0.3">
      <c r="A103" s="81" t="s">
        <v>694</v>
      </c>
      <c r="B103" s="38" t="s">
        <v>290</v>
      </c>
      <c r="C103" s="1" t="s">
        <v>291</v>
      </c>
      <c r="D103" s="39" t="s">
        <v>2055</v>
      </c>
      <c r="E103" s="40" t="s">
        <v>292</v>
      </c>
      <c r="F103" s="41" t="s">
        <v>758</v>
      </c>
      <c r="G103" s="42" t="s">
        <v>2056</v>
      </c>
      <c r="H103" s="42" t="s">
        <v>2056</v>
      </c>
      <c r="I103" s="42" t="s">
        <v>2056</v>
      </c>
      <c r="J103" s="42" t="s">
        <v>2057</v>
      </c>
      <c r="K103" s="42" t="s">
        <v>2058</v>
      </c>
      <c r="L103" s="42" t="s">
        <v>2059</v>
      </c>
      <c r="M103" s="42" t="s">
        <v>2060</v>
      </c>
      <c r="N103" s="42" t="s">
        <v>2061</v>
      </c>
      <c r="O103" s="42" t="s">
        <v>2062</v>
      </c>
      <c r="P103" s="42" t="s">
        <v>2063</v>
      </c>
      <c r="Q103" s="42" t="s">
        <v>2064</v>
      </c>
      <c r="R103" s="42" t="s">
        <v>2065</v>
      </c>
      <c r="S103" s="42" t="s">
        <v>2066</v>
      </c>
      <c r="T103" s="42" t="s">
        <v>2067</v>
      </c>
      <c r="U103" s="42" t="s">
        <v>2068</v>
      </c>
      <c r="V103" s="42" t="str">
        <f>VLOOKUP(D103,[1]ALL!$A$15:$Z$983,3,FALSE)</f>
        <v>PCE-EGW</v>
      </c>
      <c r="W103" s="43">
        <v>51289.112416403448</v>
      </c>
      <c r="X103" s="43">
        <v>39197.774617068702</v>
      </c>
      <c r="Y103" s="43">
        <v>38034.622584523189</v>
      </c>
      <c r="Z103" s="43">
        <v>41914.922134259185</v>
      </c>
      <c r="AA103" s="43">
        <v>37580.379999999997</v>
      </c>
      <c r="AB103" s="43">
        <v>57759.49</v>
      </c>
      <c r="AC103" s="43">
        <v>86916.29</v>
      </c>
      <c r="AD103" s="43">
        <v>62347.1</v>
      </c>
      <c r="AE103" s="43">
        <v>47189.11</v>
      </c>
      <c r="AF103" s="43">
        <v>58197.43</v>
      </c>
      <c r="AG103" s="43">
        <v>54379.81</v>
      </c>
      <c r="AH103" s="43">
        <v>59920.94</v>
      </c>
      <c r="AI103" s="43">
        <v>57534.45</v>
      </c>
      <c r="AJ103" s="43">
        <v>57088.34</v>
      </c>
      <c r="AK103" s="43">
        <v>73110.009999999995</v>
      </c>
      <c r="AL103" s="44"/>
      <c r="AM103" s="45">
        <f>VLOOKUP($B103,'[2]E.U.'!$R$9:$AZ$205,11,FALSE)</f>
        <v>4876.46</v>
      </c>
      <c r="AN103" s="45">
        <f>VLOOKUP($B103,'[3]E.U.'!$R9:$AZ$225,11,FALSE)</f>
        <v>5661.12</v>
      </c>
      <c r="AO103" s="45">
        <f>VLOOKUP($B103,'[4]E.U.'!$R$9:$BZ$225,11,FALSE)</f>
        <v>5176.8133727283021</v>
      </c>
      <c r="AP103" s="45">
        <f>VLOOKUP($B103,'[5]E.U.'!$R$9:$BZ$225,11,FALSE)</f>
        <v>5970.9935754524686</v>
      </c>
      <c r="AQ103" s="45">
        <f>VLOOKUP($B103,'[6]E.U.'!$R$9:$CA$225,11,FALSE)</f>
        <v>7735.0786656200553</v>
      </c>
      <c r="AR103" s="45">
        <f>VLOOKUP($B103,'[7]E.U.'!$R$9:$AZ$225,11,FALSE)</f>
        <v>6529.9418258750475</v>
      </c>
      <c r="AS103" s="45">
        <f>VLOOKUP($B103,'[8]E.U.'!$R$9:$AZ$225,11,FALSE)</f>
        <v>6596.3940457409817</v>
      </c>
      <c r="AT103" s="45">
        <f>VLOOKUP($B103,'[9]E.U.'!$R$9:$AZ$221,11,FALSE)</f>
        <v>5413.410714371752</v>
      </c>
      <c r="AU103" s="45"/>
      <c r="AV103" s="45">
        <f>VLOOKUP($B103,'[10]E.U.'!$R$9:$AZ$221,11,FALSE)</f>
        <v>5278.1129941220624</v>
      </c>
      <c r="AW103" s="45">
        <f>VLOOKUP($B103,'[11]E.U.'!$R$9:$AZ$220,11,FALSE)</f>
        <v>5726.7744418997681</v>
      </c>
      <c r="AX103" s="252"/>
      <c r="AY103" s="45">
        <f>VLOOKUP($B103,'[12]E.U.'!$R$9:$AZ$220,11,FALSE)</f>
        <v>5584.4939377808223</v>
      </c>
      <c r="AZ103" s="45"/>
      <c r="BA103" s="45">
        <f>VLOOKUP($B103,'[13]E.U.'!$R$9:$AZ$221,11,FALSE)</f>
        <v>5580.0703583881723</v>
      </c>
      <c r="BB103" s="46">
        <f t="shared" si="15"/>
        <v>70129.663931979434</v>
      </c>
      <c r="BC103" s="47" t="e">
        <f>SUM(#REF!)</f>
        <v>#REF!</v>
      </c>
      <c r="BD103" s="43" t="e">
        <f>VLOOKUP(V103,[14]ELECTRIC!$C$1:$H$4000,6,FALSE)</f>
        <v>#N/A</v>
      </c>
      <c r="BE103" s="43" t="e">
        <f t="shared" si="10"/>
        <v>#N/A</v>
      </c>
      <c r="BF103" s="48">
        <f t="shared" si="14"/>
        <v>70129.663931979434</v>
      </c>
      <c r="BG103" s="49">
        <f t="shared" si="18"/>
        <v>122175.89309292703</v>
      </c>
      <c r="BH103" s="43" t="e">
        <f t="shared" si="17"/>
        <v>#REF!</v>
      </c>
      <c r="BI103" s="50" t="e">
        <f t="shared" si="12"/>
        <v>#REF!</v>
      </c>
      <c r="BJ103" s="51">
        <f t="shared" si="13"/>
        <v>-4.076522582913833E-2</v>
      </c>
      <c r="BK103" s="52"/>
      <c r="BL103" s="52"/>
      <c r="BM103" s="52"/>
      <c r="BN103" s="52"/>
      <c r="BO103" s="72" t="s">
        <v>1495</v>
      </c>
      <c r="BP103" s="52"/>
      <c r="BQ103" s="52"/>
      <c r="BR103" s="71" t="s">
        <v>2069</v>
      </c>
      <c r="BS103" s="53"/>
      <c r="BT103" s="53"/>
      <c r="BU103" s="65"/>
      <c r="BV103" s="55"/>
      <c r="BW103" s="55"/>
      <c r="BX103" s="56"/>
      <c r="BY103" s="67"/>
      <c r="BZ103" s="58"/>
    </row>
    <row r="104" spans="1:78" ht="15.6" x14ac:dyDescent="0.3">
      <c r="A104" s="81" t="s">
        <v>694</v>
      </c>
      <c r="B104" s="38" t="s">
        <v>293</v>
      </c>
      <c r="C104" s="1" t="s">
        <v>294</v>
      </c>
      <c r="D104" s="39" t="s">
        <v>2070</v>
      </c>
      <c r="E104" s="40" t="s">
        <v>295</v>
      </c>
      <c r="F104" s="41">
        <v>0</v>
      </c>
      <c r="G104" s="42" t="s">
        <v>2071</v>
      </c>
      <c r="H104" s="42" t="s">
        <v>2071</v>
      </c>
      <c r="I104" s="42" t="s">
        <v>2071</v>
      </c>
      <c r="J104" s="42" t="s">
        <v>2072</v>
      </c>
      <c r="K104" s="42" t="s">
        <v>2073</v>
      </c>
      <c r="L104" s="42" t="s">
        <v>2074</v>
      </c>
      <c r="M104" s="42" t="s">
        <v>2075</v>
      </c>
      <c r="N104" s="42" t="s">
        <v>2076</v>
      </c>
      <c r="O104" s="42" t="s">
        <v>2077</v>
      </c>
      <c r="P104" s="42" t="s">
        <v>2078</v>
      </c>
      <c r="Q104" s="42" t="s">
        <v>2079</v>
      </c>
      <c r="R104" s="42" t="s">
        <v>2080</v>
      </c>
      <c r="S104" s="42" t="s">
        <v>2081</v>
      </c>
      <c r="T104" s="42" t="s">
        <v>2082</v>
      </c>
      <c r="U104" s="42" t="s">
        <v>2083</v>
      </c>
      <c r="V104" s="42" t="str">
        <f>VLOOKUP(D104,[1]ALL!$A$15:$Z$983,3,FALSE)</f>
        <v>FIG-EGW</v>
      </c>
      <c r="W104" s="43">
        <v>15782.860257526492</v>
      </c>
      <c r="X104" s="43">
        <v>10792.731086172014</v>
      </c>
      <c r="Y104" s="43">
        <v>11313.696429933025</v>
      </c>
      <c r="Z104" s="43">
        <v>11018.578253640389</v>
      </c>
      <c r="AA104" s="43">
        <v>11469.9</v>
      </c>
      <c r="AB104" s="43">
        <v>12691.09</v>
      </c>
      <c r="AC104" s="43">
        <v>14094.36</v>
      </c>
      <c r="AD104" s="43">
        <v>11351.33</v>
      </c>
      <c r="AE104" s="43">
        <v>12167.46</v>
      </c>
      <c r="AF104" s="43">
        <v>13200.32</v>
      </c>
      <c r="AG104" s="43">
        <v>11666.95</v>
      </c>
      <c r="AH104" s="43">
        <v>10941.77</v>
      </c>
      <c r="AI104" s="43">
        <v>11507.62</v>
      </c>
      <c r="AJ104" s="43">
        <v>12646.23</v>
      </c>
      <c r="AK104" s="43">
        <v>14634.34</v>
      </c>
      <c r="AL104" s="44"/>
      <c r="AM104" s="45">
        <f>VLOOKUP($B104,'[2]E.U.'!$R$9:$AZ$205,11,FALSE)</f>
        <v>1345.64</v>
      </c>
      <c r="AN104" s="45">
        <f>VLOOKUP($B104,'[3]E.U.'!$R9:$AZ$225,11,FALSE)</f>
        <v>1583.7</v>
      </c>
      <c r="AO104" s="45">
        <f>VLOOKUP($B104,'[4]E.U.'!$R$9:$BZ$225,11,FALSE)</f>
        <v>1412.8102176318887</v>
      </c>
      <c r="AP104" s="45">
        <f>VLOOKUP($B104,'[5]E.U.'!$R$9:$BZ$225,11,FALSE)</f>
        <v>1444.1232070405711</v>
      </c>
      <c r="AQ104" s="45">
        <f>VLOOKUP($B104,'[6]E.U.'!$R$9:$CA$225,11,FALSE)</f>
        <v>1625.8745976574999</v>
      </c>
      <c r="AR104" s="45">
        <f>VLOOKUP($B104,'[7]E.U.'!$R$9:$AZ$225,11,FALSE)</f>
        <v>1247.6872222370685</v>
      </c>
      <c r="AS104" s="45">
        <f>VLOOKUP($B104,'[8]E.U.'!$R$9:$AZ$225,11,FALSE)</f>
        <v>939.22770269878708</v>
      </c>
      <c r="AT104" s="45">
        <f>VLOOKUP($B104,'[9]E.U.'!$R$9:$AZ$221,11,FALSE)</f>
        <v>976.63368979782183</v>
      </c>
      <c r="AU104" s="45"/>
      <c r="AV104" s="45">
        <f>VLOOKUP($B104,'[10]E.U.'!$R$9:$AZ$221,11,FALSE)</f>
        <v>940.13137621396686</v>
      </c>
      <c r="AW104" s="45">
        <f>VLOOKUP($B104,'[11]E.U.'!$R$9:$AZ$220,11,FALSE)</f>
        <v>845.63525796583826</v>
      </c>
      <c r="AX104" s="45"/>
      <c r="AY104" s="45">
        <f>VLOOKUP($B104,'[12]E.U.'!$R$9:$AZ$220,11,FALSE)</f>
        <v>869.91836780508117</v>
      </c>
      <c r="AZ104" s="45"/>
      <c r="BA104" s="45">
        <f>VLOOKUP($B104,'[13]E.U.'!$R$9:$AZ$221,11,FALSE)</f>
        <v>825.7725362081178</v>
      </c>
      <c r="BB104" s="46">
        <f t="shared" si="15"/>
        <v>14057.154175256641</v>
      </c>
      <c r="BC104" s="47" t="e">
        <f>SUM(#REF!)</f>
        <v>#REF!</v>
      </c>
      <c r="BD104" s="43" t="e">
        <f>VLOOKUP(V104,[14]ELECTRIC!$C$1:$H$4000,6,FALSE)</f>
        <v>#N/A</v>
      </c>
      <c r="BE104" s="43" t="e">
        <f t="shared" si="10"/>
        <v>#N/A</v>
      </c>
      <c r="BF104" s="48">
        <f t="shared" si="14"/>
        <v>14057.154175256641</v>
      </c>
      <c r="BG104" s="49">
        <f t="shared" si="18"/>
        <v>24489.570738179249</v>
      </c>
      <c r="BH104" s="43" t="e">
        <f t="shared" si="17"/>
        <v>#REF!</v>
      </c>
      <c r="BI104" s="50" t="e">
        <f t="shared" si="12"/>
        <v>#REF!</v>
      </c>
      <c r="BJ104" s="51">
        <f t="shared" si="13"/>
        <v>-3.9440509428054771E-2</v>
      </c>
      <c r="BK104" s="52"/>
      <c r="BL104" s="52"/>
      <c r="BM104" s="52"/>
      <c r="BN104" s="52"/>
      <c r="BO104" s="72"/>
      <c r="BP104" s="52"/>
      <c r="BQ104" s="52"/>
      <c r="BR104" s="71"/>
      <c r="BS104" s="53"/>
      <c r="BT104" s="53"/>
      <c r="BU104" s="65"/>
      <c r="BV104" s="55"/>
      <c r="BW104" s="55"/>
      <c r="BX104" s="56"/>
      <c r="BY104" s="67"/>
      <c r="BZ104" s="58"/>
    </row>
    <row r="105" spans="1:78" ht="15.6" x14ac:dyDescent="0.3">
      <c r="A105" s="81" t="s">
        <v>694</v>
      </c>
      <c r="B105" s="38" t="s">
        <v>296</v>
      </c>
      <c r="C105" s="1" t="s">
        <v>2084</v>
      </c>
      <c r="D105" s="39" t="s">
        <v>2085</v>
      </c>
      <c r="E105" s="40" t="s">
        <v>2086</v>
      </c>
      <c r="F105" s="41">
        <v>0</v>
      </c>
      <c r="G105" s="42" t="s">
        <v>1792</v>
      </c>
      <c r="H105" s="42" t="s">
        <v>1792</v>
      </c>
      <c r="I105" s="42" t="s">
        <v>1792</v>
      </c>
      <c r="J105" s="42" t="s">
        <v>2087</v>
      </c>
      <c r="K105" s="42" t="s">
        <v>2088</v>
      </c>
      <c r="L105" s="42" t="s">
        <v>2089</v>
      </c>
      <c r="M105" s="42" t="s">
        <v>2090</v>
      </c>
      <c r="N105" s="42" t="s">
        <v>2091</v>
      </c>
      <c r="O105" s="42" t="s">
        <v>2092</v>
      </c>
      <c r="P105" s="42" t="s">
        <v>2093</v>
      </c>
      <c r="Q105" s="42" t="s">
        <v>2094</v>
      </c>
      <c r="R105" s="42" t="s">
        <v>2095</v>
      </c>
      <c r="S105" s="42" t="s">
        <v>2096</v>
      </c>
      <c r="T105" s="42" t="s">
        <v>2097</v>
      </c>
      <c r="U105" s="42" t="s">
        <v>2098</v>
      </c>
      <c r="V105" s="42" t="str">
        <f>VLOOKUP(D105,[1]ALL!$A$15:$Z$983,3,FALSE)</f>
        <v>CLH-EGW</v>
      </c>
      <c r="W105" s="43">
        <v>600.85412774823055</v>
      </c>
      <c r="X105" s="43">
        <v>447.53168913227603</v>
      </c>
      <c r="Y105" s="43">
        <v>501.09753526501709</v>
      </c>
      <c r="Z105" s="43">
        <v>476.86145226461088</v>
      </c>
      <c r="AA105" s="43">
        <v>314.43</v>
      </c>
      <c r="AB105" s="43">
        <v>1322.52</v>
      </c>
      <c r="AC105" s="43">
        <v>3093.98</v>
      </c>
      <c r="AD105" s="43">
        <v>3138.19</v>
      </c>
      <c r="AE105" s="43">
        <v>3043.33</v>
      </c>
      <c r="AF105" s="43">
        <v>2753.56</v>
      </c>
      <c r="AG105" s="43">
        <v>2772.56</v>
      </c>
      <c r="AH105" s="43">
        <v>2263.56</v>
      </c>
      <c r="AI105" s="43">
        <v>2473.73</v>
      </c>
      <c r="AJ105" s="43">
        <v>5006.62</v>
      </c>
      <c r="AK105" s="43">
        <v>3579.2</v>
      </c>
      <c r="AL105" s="44"/>
      <c r="AM105" s="45">
        <f>VLOOKUP($B105,'[2]E.U.'!$R$9:$AZ$205,11,FALSE)</f>
        <v>563.29999999999995</v>
      </c>
      <c r="AN105" s="45">
        <f>VLOOKUP($B105,'[3]E.U.'!$R9:$AZ$225,11,FALSE)</f>
        <v>664.24</v>
      </c>
      <c r="AO105" s="45">
        <f>VLOOKUP($B105,'[4]E.U.'!$R$9:$BZ$225,11,FALSE)</f>
        <v>580.15107723771177</v>
      </c>
      <c r="AP105" s="45">
        <f>VLOOKUP($B105,'[5]E.U.'!$R$9:$BZ$225,11,FALSE)</f>
        <v>542.84752158412743</v>
      </c>
      <c r="AQ105" s="45">
        <f>VLOOKUP($B105,'[6]E.U.'!$R$9:$CA$225,11,FALSE)</f>
        <v>591.66372946119179</v>
      </c>
      <c r="AR105" s="45">
        <f>VLOOKUP($B105,'[7]E.U.'!$R$9:$AZ$225,11,FALSE)</f>
        <v>0</v>
      </c>
      <c r="AS105" s="45">
        <f>VLOOKUP($B105,'[8]E.U.'!$R$9:$AZ$225,11,FALSE)</f>
        <v>0</v>
      </c>
      <c r="AT105" s="45">
        <f>VLOOKUP($B105,'[9]E.U.'!$R$9:$AZ$221,11,FALSE)</f>
        <v>0</v>
      </c>
      <c r="AU105" s="45"/>
      <c r="AV105" s="45">
        <f>VLOOKUP($B105,'[10]E.U.'!$R$9:$AZ$221,11,FALSE)</f>
        <v>0</v>
      </c>
      <c r="AW105" s="45">
        <f>VLOOKUP($B105,'[11]E.U.'!$R$9:$AZ$220,11,FALSE)</f>
        <v>0</v>
      </c>
      <c r="AX105" s="252"/>
      <c r="AY105" s="45">
        <f>VLOOKUP($B105,'[12]E.U.'!$R$9:$AZ$220,11,FALSE)</f>
        <v>0</v>
      </c>
      <c r="AZ105" s="45"/>
      <c r="BA105" s="45">
        <f>VLOOKUP($B105,'[13]E.U.'!$R$9:$AZ$221,11,FALSE)</f>
        <v>0</v>
      </c>
      <c r="BB105" s="46">
        <f t="shared" si="15"/>
        <v>2942.2023282830314</v>
      </c>
      <c r="BC105" s="47" t="e">
        <f>SUM(#REF!)</f>
        <v>#REF!</v>
      </c>
      <c r="BD105" s="43" t="e">
        <f>VLOOKUP(V105,[14]ELECTRIC!$C$1:$H$4000,6,FALSE)</f>
        <v>#N/A</v>
      </c>
      <c r="BE105" s="43" t="e">
        <f t="shared" si="10"/>
        <v>#N/A</v>
      </c>
      <c r="BF105" s="48">
        <f t="shared" si="14"/>
        <v>2942.2023282830314</v>
      </c>
      <c r="BG105" s="49">
        <f t="shared" si="18"/>
        <v>5125.7367704873668</v>
      </c>
      <c r="BH105" s="43" t="e">
        <f t="shared" si="17"/>
        <v>#REF!</v>
      </c>
      <c r="BI105" s="50" t="e">
        <f t="shared" si="12"/>
        <v>#REF!</v>
      </c>
      <c r="BJ105" s="51">
        <f t="shared" si="13"/>
        <v>-0.17797208083285887</v>
      </c>
      <c r="BK105" s="52"/>
      <c r="BL105" s="52"/>
      <c r="BM105" s="52"/>
      <c r="BN105" s="52"/>
      <c r="BO105" s="72"/>
      <c r="BP105" s="52"/>
      <c r="BQ105" s="52"/>
      <c r="BR105" s="71"/>
      <c r="BS105" s="53"/>
      <c r="BT105" s="53"/>
      <c r="BU105" s="65"/>
      <c r="BV105" s="55"/>
      <c r="BW105" s="55"/>
      <c r="BX105" s="56"/>
      <c r="BY105" s="57"/>
      <c r="BZ105" s="58"/>
    </row>
    <row r="106" spans="1:78" ht="15.6" x14ac:dyDescent="0.3">
      <c r="A106" s="81" t="s">
        <v>694</v>
      </c>
      <c r="B106" s="38" t="s">
        <v>298</v>
      </c>
      <c r="C106" s="1" t="s">
        <v>299</v>
      </c>
      <c r="D106" s="39" t="s">
        <v>2099</v>
      </c>
      <c r="E106" s="40" t="s">
        <v>300</v>
      </c>
      <c r="F106" s="41">
        <v>0</v>
      </c>
      <c r="G106" s="42" t="s">
        <v>2100</v>
      </c>
      <c r="H106" s="42" t="s">
        <v>2100</v>
      </c>
      <c r="I106" s="42" t="s">
        <v>2100</v>
      </c>
      <c r="J106" s="42" t="s">
        <v>2101</v>
      </c>
      <c r="K106" s="42" t="s">
        <v>2102</v>
      </c>
      <c r="L106" s="42" t="s">
        <v>2103</v>
      </c>
      <c r="M106" t="s">
        <v>2104</v>
      </c>
      <c r="N106" s="42" t="s">
        <v>2105</v>
      </c>
      <c r="O106" s="42" t="s">
        <v>2106</v>
      </c>
      <c r="P106" s="42" t="s">
        <v>2107</v>
      </c>
      <c r="Q106" s="42" t="s">
        <v>2108</v>
      </c>
      <c r="R106" s="42" t="s">
        <v>2109</v>
      </c>
      <c r="S106" s="42" t="s">
        <v>2110</v>
      </c>
      <c r="T106" s="42" t="s">
        <v>2111</v>
      </c>
      <c r="U106" s="42" t="s">
        <v>2112</v>
      </c>
      <c r="V106" s="42" t="str">
        <f>VLOOKUP(D106,[1]ALL!$A$15:$Z$983,3,FALSE)</f>
        <v>MAC-EGW</v>
      </c>
      <c r="W106" s="43">
        <v>97614.454202509107</v>
      </c>
      <c r="X106" s="43">
        <v>102671.60022971155</v>
      </c>
      <c r="Y106" s="43">
        <v>98284.344709928118</v>
      </c>
      <c r="Z106" s="43">
        <v>92896.839622438652</v>
      </c>
      <c r="AA106" s="43">
        <v>89036.3</v>
      </c>
      <c r="AB106" s="43">
        <v>77421.41</v>
      </c>
      <c r="AC106" s="43">
        <v>70936.460000000006</v>
      </c>
      <c r="AD106" s="43">
        <v>68797.02</v>
      </c>
      <c r="AE106" s="43">
        <v>86353.77</v>
      </c>
      <c r="AF106" s="43">
        <v>108169.94</v>
      </c>
      <c r="AG106" s="43">
        <v>106467.62</v>
      </c>
      <c r="AH106" s="43">
        <v>115671.93</v>
      </c>
      <c r="AI106" s="43">
        <v>134463.51</v>
      </c>
      <c r="AJ106" s="43">
        <v>216416.54</v>
      </c>
      <c r="AK106" s="43">
        <v>167298.95000000001</v>
      </c>
      <c r="AL106" s="44" t="s">
        <v>2113</v>
      </c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252"/>
      <c r="AY106" s="45"/>
      <c r="AZ106" s="45"/>
      <c r="BA106" s="45"/>
      <c r="BB106" s="46">
        <f t="shared" si="15"/>
        <v>0</v>
      </c>
      <c r="BC106" s="47" t="e">
        <f>SUM(#REF!)</f>
        <v>#REF!</v>
      </c>
      <c r="BD106" s="43" t="e">
        <f>VLOOKUP(V106,[14]ELECTRIC!$C$1:$H$4000,6,FALSE)</f>
        <v>#N/A</v>
      </c>
      <c r="BE106" s="43" t="e">
        <f t="shared" ref="BE106:BE172" si="19">BB106-BD106</f>
        <v>#N/A</v>
      </c>
      <c r="BF106" s="48">
        <f t="shared" si="14"/>
        <v>0</v>
      </c>
      <c r="BG106" s="49"/>
      <c r="BH106" s="43"/>
      <c r="BI106" s="50" t="e">
        <f t="shared" si="12"/>
        <v>#REF!</v>
      </c>
      <c r="BJ106" s="51">
        <f t="shared" si="13"/>
        <v>0</v>
      </c>
      <c r="BK106" s="52"/>
      <c r="BL106" s="52"/>
      <c r="BM106" s="52"/>
      <c r="BN106" s="52"/>
      <c r="BO106" s="224" t="s">
        <v>2114</v>
      </c>
      <c r="BP106" s="52"/>
      <c r="BQ106" s="52"/>
      <c r="BR106" s="50"/>
      <c r="BS106" s="53"/>
      <c r="BT106" s="53"/>
      <c r="BU106" s="65"/>
      <c r="BV106" s="55"/>
      <c r="BW106" s="55"/>
      <c r="BX106" s="56"/>
      <c r="BY106" s="57" t="s">
        <v>2115</v>
      </c>
      <c r="BZ106" s="58"/>
    </row>
    <row r="107" spans="1:78" ht="15.6" x14ac:dyDescent="0.3">
      <c r="A107" s="81" t="s">
        <v>694</v>
      </c>
      <c r="B107" s="38" t="s">
        <v>301</v>
      </c>
      <c r="C107" s="1" t="s">
        <v>302</v>
      </c>
      <c r="D107" s="39" t="s">
        <v>2116</v>
      </c>
      <c r="E107" s="40" t="s">
        <v>303</v>
      </c>
      <c r="F107" s="41">
        <v>0</v>
      </c>
      <c r="G107" s="42" t="s">
        <v>2117</v>
      </c>
      <c r="H107" s="42" t="s">
        <v>2117</v>
      </c>
      <c r="I107" s="42" t="s">
        <v>2117</v>
      </c>
      <c r="J107" s="42" t="s">
        <v>2118</v>
      </c>
      <c r="K107" s="42" t="s">
        <v>2119</v>
      </c>
      <c r="L107" s="42" t="s">
        <v>2120</v>
      </c>
      <c r="M107" s="42" t="s">
        <v>2121</v>
      </c>
      <c r="N107" s="42" t="s">
        <v>2122</v>
      </c>
      <c r="O107" s="42" t="s">
        <v>2123</v>
      </c>
      <c r="P107" s="42" t="s">
        <v>2124</v>
      </c>
      <c r="Q107" s="42" t="s">
        <v>2125</v>
      </c>
      <c r="R107" s="42" t="s">
        <v>2126</v>
      </c>
      <c r="S107" s="42" t="s">
        <v>2127</v>
      </c>
      <c r="T107" s="42" t="s">
        <v>2128</v>
      </c>
      <c r="U107" s="42" t="s">
        <v>2129</v>
      </c>
      <c r="V107" s="42" t="str">
        <f>VLOOKUP(D107,[1]ALL!$A$15:$Z$983,3,FALSE)</f>
        <v>JEF-EGW</v>
      </c>
      <c r="W107" s="43">
        <v>40662.445007657167</v>
      </c>
      <c r="X107" s="43">
        <v>37791.380717878536</v>
      </c>
      <c r="Y107" s="43">
        <v>38242.578527522608</v>
      </c>
      <c r="Z107" s="43">
        <v>39963.320387920285</v>
      </c>
      <c r="AA107" s="43">
        <v>38268.620000000003</v>
      </c>
      <c r="AB107" s="43">
        <v>40650.519999999997</v>
      </c>
      <c r="AC107" s="43">
        <v>40784.58</v>
      </c>
      <c r="AD107" s="43">
        <v>22607.73</v>
      </c>
      <c r="AE107" s="43">
        <v>27942.959999999999</v>
      </c>
      <c r="AF107" s="43">
        <v>31235.95</v>
      </c>
      <c r="AG107" s="43">
        <v>32664.92</v>
      </c>
      <c r="AH107" s="43">
        <v>31856.59</v>
      </c>
      <c r="AI107" s="43">
        <v>33629.68</v>
      </c>
      <c r="AJ107" s="43">
        <v>39674.1</v>
      </c>
      <c r="AK107" s="43">
        <v>47511.21</v>
      </c>
      <c r="AL107" s="44"/>
      <c r="AM107" s="45">
        <f>VLOOKUP($B107,'[2]E.U.'!$R$9:$AZ$205,11,FALSE)</f>
        <v>3106.12</v>
      </c>
      <c r="AN107" s="45">
        <f>VLOOKUP($B107,'[3]E.U.'!$R9:$AZ$225,11,FALSE)</f>
        <v>4092.06</v>
      </c>
      <c r="AO107" s="45">
        <f>VLOOKUP($B107,'[4]E.U.'!$R$9:$BZ$225,11,FALSE)</f>
        <v>3318.8279853566232</v>
      </c>
      <c r="AP107" s="45">
        <f>VLOOKUP($B107,'[5]E.U.'!$R$9:$BZ$225,11,FALSE)</f>
        <v>3479.1393756974867</v>
      </c>
      <c r="AQ107" s="45">
        <f>VLOOKUP($B107,'[6]E.U.'!$R$9:$CA$225,11,FALSE)</f>
        <v>4165.1548784122679</v>
      </c>
      <c r="AR107" s="45">
        <f>VLOOKUP($B107,'[7]E.U.'!$R$9:$AZ$225,11,FALSE)</f>
        <v>3508.8727551292982</v>
      </c>
      <c r="AS107" s="45">
        <f>VLOOKUP($B107,'[8]E.U.'!$R$9:$AZ$225,11,FALSE)</f>
        <v>3053.0024678912669</v>
      </c>
      <c r="AT107" s="45">
        <f>VLOOKUP($B107,'[9]E.U.'!$R$9:$AZ$221,11,FALSE)</f>
        <v>3086.19522516798</v>
      </c>
      <c r="AU107" s="45"/>
      <c r="AV107" s="45">
        <f>VLOOKUP($B107,'[10]E.U.'!$R$9:$AZ$221,11,FALSE)</f>
        <v>2771.8752504022113</v>
      </c>
      <c r="AW107" s="45">
        <f>VLOOKUP($B107,'[11]E.U.'!$R$9:$AZ$220,11,FALSE)</f>
        <v>2714.817774393307</v>
      </c>
      <c r="AX107" s="252"/>
      <c r="AY107" s="45">
        <f>VLOOKUP($B107,'[12]E.U.'!$R$9:$AZ$220,11,FALSE)</f>
        <v>2478.5470513260443</v>
      </c>
      <c r="AZ107" s="45"/>
      <c r="BA107" s="45">
        <f>VLOOKUP($B107,'[13]E.U.'!$R$9:$AZ$221,11,FALSE)</f>
        <v>2353.3277810343338</v>
      </c>
      <c r="BB107" s="46">
        <f t="shared" si="15"/>
        <v>38127.940544810823</v>
      </c>
      <c r="BC107" s="47" t="e">
        <f>SUM(#REF!)</f>
        <v>#REF!</v>
      </c>
      <c r="BD107" s="43" t="e">
        <f>VLOOKUP(V107,[14]ELECTRIC!$C$1:$H$4000,6,FALSE)</f>
        <v>#N/A</v>
      </c>
      <c r="BE107" s="43" t="e">
        <f t="shared" si="19"/>
        <v>#N/A</v>
      </c>
      <c r="BF107" s="48">
        <f t="shared" si="14"/>
        <v>38127.940544810823</v>
      </c>
      <c r="BG107" s="49">
        <f t="shared" si="18"/>
        <v>66424.319277709714</v>
      </c>
      <c r="BH107" s="43" t="e">
        <f t="shared" ref="BH107:BH136" si="20">IF(BC107=0,0,(BB107*(AK107/BC107)))</f>
        <v>#REF!</v>
      </c>
      <c r="BI107" s="50" t="e">
        <f t="shared" si="12"/>
        <v>#REF!</v>
      </c>
      <c r="BJ107" s="51">
        <f t="shared" si="13"/>
        <v>-0.19749590581231624</v>
      </c>
      <c r="BK107" s="52"/>
      <c r="BL107" s="52"/>
      <c r="BM107" s="52"/>
      <c r="BN107" s="52"/>
      <c r="BO107" s="72"/>
      <c r="BP107" s="52"/>
      <c r="BQ107" s="52"/>
      <c r="BR107" s="50"/>
      <c r="BS107" s="53"/>
      <c r="BT107" s="53"/>
      <c r="BU107" s="65"/>
      <c r="BV107" s="55"/>
      <c r="BW107" s="55"/>
      <c r="BX107" s="56"/>
      <c r="BY107" s="67"/>
      <c r="BZ107" s="58"/>
    </row>
    <row r="108" spans="1:78" ht="15.6" x14ac:dyDescent="0.3">
      <c r="A108" s="59" t="s">
        <v>694</v>
      </c>
      <c r="B108" s="38" t="s">
        <v>304</v>
      </c>
      <c r="C108" s="63" t="s">
        <v>305</v>
      </c>
      <c r="D108" t="s">
        <v>2130</v>
      </c>
      <c r="E108" s="40" t="s">
        <v>306</v>
      </c>
      <c r="F108" s="41">
        <v>0</v>
      </c>
      <c r="G108" s="42" t="s">
        <v>1808</v>
      </c>
      <c r="H108" s="42" t="s">
        <v>1808</v>
      </c>
      <c r="I108" s="42" t="s">
        <v>1808</v>
      </c>
      <c r="J108" s="42" t="s">
        <v>2131</v>
      </c>
      <c r="K108" s="42" t="s">
        <v>2132</v>
      </c>
      <c r="L108" s="42" t="s">
        <v>2133</v>
      </c>
      <c r="M108" s="42" t="s">
        <v>2134</v>
      </c>
      <c r="N108" s="42" t="s">
        <v>2135</v>
      </c>
      <c r="O108" s="42" t="s">
        <v>2136</v>
      </c>
      <c r="P108" s="42" t="s">
        <v>2137</v>
      </c>
      <c r="Q108" s="42" t="s">
        <v>2138</v>
      </c>
      <c r="R108" s="42" t="s">
        <v>2139</v>
      </c>
      <c r="S108" s="42" t="s">
        <v>2140</v>
      </c>
      <c r="T108" s="42" t="s">
        <v>2141</v>
      </c>
      <c r="U108" s="42" t="s">
        <v>2142</v>
      </c>
      <c r="V108" s="42" t="str">
        <f>VLOOKUP(D108,[1]ALL!$A$15:$Z$983,3,FALSE)</f>
        <v>PSX-EGW</v>
      </c>
      <c r="W108" s="43">
        <v>19565.773459398144</v>
      </c>
      <c r="X108" s="43">
        <v>14305.411904134806</v>
      </c>
      <c r="Y108" s="43">
        <v>16380.022593180578</v>
      </c>
      <c r="Z108" s="43">
        <v>15851.019220994593</v>
      </c>
      <c r="AA108" s="43">
        <v>15575.86</v>
      </c>
      <c r="AB108" s="43">
        <v>15052.15</v>
      </c>
      <c r="AC108" s="43">
        <v>17928.759999999998</v>
      </c>
      <c r="AD108" s="43">
        <v>16952.240000000002</v>
      </c>
      <c r="AE108" s="43">
        <v>20137.759999999998</v>
      </c>
      <c r="AF108" s="43">
        <v>22050.74</v>
      </c>
      <c r="AG108" s="43">
        <v>20592.88</v>
      </c>
      <c r="AH108" s="43">
        <v>21900.77</v>
      </c>
      <c r="AI108" s="43">
        <v>23162.27</v>
      </c>
      <c r="AJ108" s="43">
        <v>24140.54</v>
      </c>
      <c r="AK108" s="43">
        <v>24459.040000000001</v>
      </c>
      <c r="AL108" s="44"/>
      <c r="AM108" s="45">
        <f>VLOOKUP($B108,'[2]E.U.'!$R$9:$AZ$205,11,FALSE)</f>
        <v>1975.39</v>
      </c>
      <c r="AN108" s="45">
        <f>VLOOKUP($B108,'[3]E.U.'!$R9:$AZ$225,11,FALSE)</f>
        <v>4388.88</v>
      </c>
      <c r="AO108" s="45">
        <f>VLOOKUP($B108,'[4]E.U.'!$R$9:$BZ$225,11,FALSE)</f>
        <v>8305.5338089449706</v>
      </c>
      <c r="AP108" s="45">
        <f>VLOOKUP($B108,'[5]E.U.'!$R$9:$BZ$225,11,FALSE)</f>
        <v>29688.247362769827</v>
      </c>
      <c r="AQ108" s="45">
        <f>VLOOKUP($B108,'[6]E.U.'!$R$9:$CA$225,11,FALSE)</f>
        <v>13890.295521704507</v>
      </c>
      <c r="AR108" s="45">
        <f>VLOOKUP($B108,'[7]E.U.'!$R$9:$AZ$225,11,FALSE)</f>
        <v>1669.1663598576606</v>
      </c>
      <c r="AS108" s="45">
        <f>VLOOKUP($B108,'[8]E.U.'!$R$9:$AZ$225,11,FALSE)</f>
        <v>1379.094888625277</v>
      </c>
      <c r="AT108" s="45">
        <f>VLOOKUP($B108,'[9]E.U.'!$R$9:$AZ$221,11,FALSE)</f>
        <v>1360.9035177901567</v>
      </c>
      <c r="AU108" s="45"/>
      <c r="AV108" s="45">
        <f>VLOOKUP($B108,'[10]E.U.'!$R$9:$AZ$221,11,FALSE)</f>
        <v>1282.8040346570738</v>
      </c>
      <c r="AW108" s="45">
        <f>VLOOKUP($B108,'[11]E.U.'!$R$9:$AZ$220,11,FALSE)</f>
        <v>1102.301136638637</v>
      </c>
      <c r="AX108" s="252"/>
      <c r="AY108" s="45">
        <f>VLOOKUP($B108,'[12]E.U.'!$R$9:$AZ$220,11,FALSE)</f>
        <v>1204.6003388005715</v>
      </c>
      <c r="AZ108" s="45"/>
      <c r="BA108" s="45">
        <f>VLOOKUP($B108,'[13]E.U.'!$R$9:$AZ$221,11,FALSE)</f>
        <v>1163.3568542359167</v>
      </c>
      <c r="BB108" s="46">
        <f t="shared" si="15"/>
        <v>67410.573824024585</v>
      </c>
      <c r="BC108" s="47" t="e">
        <f>SUM(#REF!)</f>
        <v>#REF!</v>
      </c>
      <c r="BD108" s="43" t="e">
        <f>VLOOKUP(V108,[14]ELECTRIC!$C$1:$H$4000,6,FALSE)</f>
        <v>#N/A</v>
      </c>
      <c r="BE108" s="43" t="e">
        <f t="shared" si="19"/>
        <v>#N/A</v>
      </c>
      <c r="BF108" s="48">
        <f t="shared" si="14"/>
        <v>67410.573824024585</v>
      </c>
      <c r="BG108" s="49">
        <f t="shared" si="18"/>
        <v>117438.84968342568</v>
      </c>
      <c r="BH108" s="43" t="e">
        <f t="shared" si="20"/>
        <v>#REF!</v>
      </c>
      <c r="BI108" s="50" t="e">
        <f t="shared" si="12"/>
        <v>#REF!</v>
      </c>
      <c r="BJ108" s="51">
        <f t="shared" si="13"/>
        <v>1.7560596746243755</v>
      </c>
      <c r="BK108" s="52"/>
      <c r="BL108" s="52"/>
      <c r="BM108" s="52"/>
      <c r="BN108" s="52"/>
      <c r="BO108" s="72" t="s">
        <v>2143</v>
      </c>
      <c r="BP108" s="52"/>
      <c r="BQ108" s="52"/>
      <c r="BR108" s="50"/>
      <c r="BS108" s="53"/>
      <c r="BT108" s="53"/>
      <c r="BU108" s="65"/>
      <c r="BV108" s="55"/>
      <c r="BW108" s="55"/>
      <c r="BX108" s="56"/>
      <c r="BY108" s="57"/>
      <c r="BZ108" s="58"/>
    </row>
    <row r="109" spans="1:78" ht="15.6" x14ac:dyDescent="0.3">
      <c r="A109" s="59" t="s">
        <v>1359</v>
      </c>
      <c r="B109" s="38" t="s">
        <v>307</v>
      </c>
      <c r="C109" s="1" t="s">
        <v>308</v>
      </c>
      <c r="D109" t="s">
        <v>2144</v>
      </c>
      <c r="E109" s="40" t="s">
        <v>309</v>
      </c>
      <c r="F109" s="41">
        <v>0</v>
      </c>
      <c r="G109" s="42" t="s">
        <v>2145</v>
      </c>
      <c r="H109" s="42" t="s">
        <v>2146</v>
      </c>
      <c r="I109" s="42" t="s">
        <v>2147</v>
      </c>
      <c r="J109" s="42" t="s">
        <v>2148</v>
      </c>
      <c r="K109" s="42" t="s">
        <v>2149</v>
      </c>
      <c r="L109" s="42" t="s">
        <v>2150</v>
      </c>
      <c r="M109" s="42" t="s">
        <v>2151</v>
      </c>
      <c r="N109" s="42" t="s">
        <v>2152</v>
      </c>
      <c r="O109" s="42" t="s">
        <v>2153</v>
      </c>
      <c r="P109" s="42" t="s">
        <v>2154</v>
      </c>
      <c r="Q109" s="42" t="s">
        <v>2155</v>
      </c>
      <c r="R109" s="42" t="s">
        <v>2156</v>
      </c>
      <c r="S109" s="42" t="s">
        <v>2157</v>
      </c>
      <c r="T109" s="42" t="s">
        <v>2158</v>
      </c>
      <c r="U109" s="42" t="s">
        <v>2159</v>
      </c>
      <c r="V109" s="42" t="str">
        <f>VLOOKUP(D109,[1]ALL!$A$15:$Z$983,3,FALSE)</f>
        <v>PSX-ELC</v>
      </c>
      <c r="W109" s="43">
        <v>24362.60356315352</v>
      </c>
      <c r="X109" s="43">
        <v>18016.248311663974</v>
      </c>
      <c r="Y109" s="43">
        <v>19395.404993403721</v>
      </c>
      <c r="Z109" s="43">
        <v>21191.371425489866</v>
      </c>
      <c r="AA109" s="43">
        <v>19676.52</v>
      </c>
      <c r="AB109" s="43">
        <v>19721.95</v>
      </c>
      <c r="AC109" s="43">
        <v>23084.67</v>
      </c>
      <c r="AD109" s="43">
        <v>23385.1</v>
      </c>
      <c r="AE109" s="43">
        <v>29033.87</v>
      </c>
      <c r="AF109" s="43">
        <v>28946.43</v>
      </c>
      <c r="AG109" s="43">
        <v>31077.279999999999</v>
      </c>
      <c r="AH109" s="43">
        <v>31728.43</v>
      </c>
      <c r="AI109" s="43">
        <v>32967.019999999997</v>
      </c>
      <c r="AJ109" s="43">
        <v>36941.94</v>
      </c>
      <c r="AK109" s="43">
        <v>36690.050000000003</v>
      </c>
      <c r="AL109" s="44"/>
      <c r="AM109" s="45">
        <f>VLOOKUP($B109,'[2]E.U.'!$R$9:$AZ$205,11,FALSE)</f>
        <v>2717.66</v>
      </c>
      <c r="AN109" s="45">
        <f>VLOOKUP($B109,'[3]E.U.'!$R9:$AZ$225,11,FALSE)</f>
        <v>2708.72</v>
      </c>
      <c r="AO109" s="45">
        <f>VLOOKUP($B109,'[4]E.U.'!$R$9:$BZ$225,11,FALSE)</f>
        <v>2783.4874383225547</v>
      </c>
      <c r="AP109" s="45">
        <f>VLOOKUP($B109,'[5]E.U.'!$R$9:$BZ$225,11,FALSE)</f>
        <v>3018.2707512941788</v>
      </c>
      <c r="AQ109" s="45">
        <f>VLOOKUP($B109,'[6]E.U.'!$R$9:$CA$225,11,FALSE)</f>
        <v>3544.5394781095242</v>
      </c>
      <c r="AR109" s="45">
        <f>VLOOKUP($B109,'[7]E.U.'!$R$9:$AZ$225,11,FALSE)</f>
        <v>3268.1942322200503</v>
      </c>
      <c r="AS109" s="45">
        <f>VLOOKUP($B109,'[8]E.U.'!$R$9:$AZ$225,11,FALSE)</f>
        <v>3709.4219288309127</v>
      </c>
      <c r="AT109" s="45">
        <f>VLOOKUP($B109,'[9]E.U.'!$R$9:$AZ$221,11,FALSE)</f>
        <v>3486.5464498508436</v>
      </c>
      <c r="AU109" s="45"/>
      <c r="AV109" s="45">
        <f>VLOOKUP($B109,'[10]E.U.'!$R$9:$AZ$221,11,FALSE)</f>
        <v>3594.4219366100592</v>
      </c>
      <c r="AW109" s="45">
        <f>VLOOKUP($B109,'[11]E.U.'!$R$9:$AZ$220,11,FALSE)</f>
        <v>3232.9084791235009</v>
      </c>
      <c r="AX109" s="252"/>
      <c r="AY109" s="45">
        <f>VLOOKUP($B109,'[12]E.U.'!$R$9:$AZ$220,11,FALSE)</f>
        <v>3271.3527658588678</v>
      </c>
      <c r="AZ109" s="45"/>
      <c r="BA109" s="45">
        <f>VLOOKUP($B109,'[13]E.U.'!$R$9:$AZ$221,11,FALSE)</f>
        <v>2968.6137970607456</v>
      </c>
      <c r="BB109" s="46">
        <f t="shared" si="15"/>
        <v>38304.13725728124</v>
      </c>
      <c r="BC109" s="47" t="e">
        <f>SUM(#REF!)</f>
        <v>#REF!</v>
      </c>
      <c r="BD109" s="43" t="e">
        <f>VLOOKUP(V109,[14]ELECTRIC!$C$1:$H$4000,6,FALSE)</f>
        <v>#N/A</v>
      </c>
      <c r="BE109" s="43" t="e">
        <f t="shared" si="19"/>
        <v>#N/A</v>
      </c>
      <c r="BF109" s="48">
        <f t="shared" si="14"/>
        <v>38304.13725728124</v>
      </c>
      <c r="BG109" s="49">
        <f t="shared" si="18"/>
        <v>66731.279121792089</v>
      </c>
      <c r="BH109" s="43" t="e">
        <f t="shared" si="20"/>
        <v>#REF!</v>
      </c>
      <c r="BI109" s="50" t="e">
        <f t="shared" si="12"/>
        <v>#REF!</v>
      </c>
      <c r="BJ109" s="51">
        <f t="shared" si="13"/>
        <v>4.399250634112617E-2</v>
      </c>
      <c r="BK109" s="52"/>
      <c r="BL109" s="52"/>
      <c r="BM109" s="52"/>
      <c r="BN109" s="52"/>
      <c r="BO109" s="72"/>
      <c r="BP109" s="52"/>
      <c r="BQ109" s="52"/>
      <c r="BR109" s="50"/>
      <c r="BS109" s="53"/>
      <c r="BT109" s="53"/>
      <c r="BU109" s="65"/>
      <c r="BV109" s="55"/>
      <c r="BW109" s="55"/>
      <c r="BX109" s="56" t="s">
        <v>2160</v>
      </c>
      <c r="BY109" s="57"/>
      <c r="BZ109" s="58"/>
    </row>
    <row r="110" spans="1:78" ht="15.6" x14ac:dyDescent="0.3">
      <c r="A110" s="81" t="s">
        <v>694</v>
      </c>
      <c r="B110" s="38" t="s">
        <v>310</v>
      </c>
      <c r="C110" s="1" t="s">
        <v>311</v>
      </c>
      <c r="D110" s="39" t="s">
        <v>2161</v>
      </c>
      <c r="E110" s="40" t="s">
        <v>312</v>
      </c>
      <c r="F110" s="41" t="s">
        <v>758</v>
      </c>
      <c r="G110" s="42" t="s">
        <v>2162</v>
      </c>
      <c r="H110" s="42" t="s">
        <v>2162</v>
      </c>
      <c r="I110" s="42" t="s">
        <v>2162</v>
      </c>
      <c r="J110" s="42" t="s">
        <v>2163</v>
      </c>
      <c r="K110" s="42" t="s">
        <v>2164</v>
      </c>
      <c r="L110" s="42" t="s">
        <v>2165</v>
      </c>
      <c r="M110" s="42" t="s">
        <v>2166</v>
      </c>
      <c r="N110" s="42" t="s">
        <v>2167</v>
      </c>
      <c r="O110" s="42" t="s">
        <v>2168</v>
      </c>
      <c r="P110" s="42" t="s">
        <v>2169</v>
      </c>
      <c r="Q110" s="42" t="s">
        <v>2170</v>
      </c>
      <c r="R110" s="42" t="s">
        <v>2171</v>
      </c>
      <c r="S110" s="42" t="s">
        <v>2172</v>
      </c>
      <c r="T110" s="42" t="s">
        <v>2173</v>
      </c>
      <c r="U110" s="42" t="s">
        <v>2174</v>
      </c>
      <c r="V110" s="42" t="str">
        <f>VLOOKUP(D110,[1]ALL!$A$15:$Z$983,3,FALSE)</f>
        <v>SHS-EGW</v>
      </c>
      <c r="W110" s="43">
        <v>71520.053627403904</v>
      </c>
      <c r="X110" s="43">
        <v>55807.207021230897</v>
      </c>
      <c r="Y110" s="43">
        <v>57366.781313619853</v>
      </c>
      <c r="Z110" s="43">
        <v>58913.471288129083</v>
      </c>
      <c r="AA110" s="43">
        <v>64548.89</v>
      </c>
      <c r="AB110" s="43">
        <v>65642.929999999993</v>
      </c>
      <c r="AC110" s="43">
        <v>58766.400000000001</v>
      </c>
      <c r="AD110" s="43">
        <v>55959.18</v>
      </c>
      <c r="AE110" s="43">
        <v>69454.7</v>
      </c>
      <c r="AF110" s="43">
        <v>74867.25</v>
      </c>
      <c r="AG110" s="43">
        <v>80450.19</v>
      </c>
      <c r="AH110" s="43">
        <v>81244.62</v>
      </c>
      <c r="AI110" s="43">
        <v>80465.42</v>
      </c>
      <c r="AJ110" s="43">
        <v>98616</v>
      </c>
      <c r="AK110" s="43">
        <v>105649.11</v>
      </c>
      <c r="AL110" s="44"/>
      <c r="AM110" s="45">
        <f>VLOOKUP($B110,'[2]E.U.'!$R$9:$AZ$205,11,FALSE)</f>
        <v>8162.4</v>
      </c>
      <c r="AN110" s="45">
        <f>VLOOKUP($B110,'[3]E.U.'!$R9:$AZ$225,11,FALSE)</f>
        <v>7582.86</v>
      </c>
      <c r="AO110" s="45">
        <f>VLOOKUP($B110,'[4]E.U.'!$R$9:$BZ$225,11,FALSE)</f>
        <v>8214.6934269583544</v>
      </c>
      <c r="AP110" s="45">
        <f>VLOOKUP($B110,'[5]E.U.'!$R$9:$BZ$225,11,FALSE)</f>
        <v>7765.2166572523101</v>
      </c>
      <c r="AQ110" s="45">
        <f>VLOOKUP($B110,'[6]E.U.'!$R$9:$CA$225,11,FALSE)</f>
        <v>8005.4469251017099</v>
      </c>
      <c r="AR110" s="45">
        <f>VLOOKUP($B110,'[7]E.U.'!$R$9:$AZ$225,11,FALSE)</f>
        <v>7540.3427292912675</v>
      </c>
      <c r="AS110" s="45">
        <f>VLOOKUP($B110,'[8]E.U.'!$R$9:$AZ$225,11,FALSE)</f>
        <v>8884.0014454371012</v>
      </c>
      <c r="AT110" s="45">
        <f>VLOOKUP($B110,'[9]E.U.'!$R$9:$AZ$221,11,FALSE)</f>
        <v>8410.7401338599266</v>
      </c>
      <c r="AU110" s="45"/>
      <c r="AV110" s="45">
        <f>VLOOKUP($B110,'[10]E.U.'!$R$9:$AZ$221,11,FALSE)</f>
        <v>8329.9556013342444</v>
      </c>
      <c r="AW110" s="45">
        <f>VLOOKUP($B110,'[11]E.U.'!$R$9:$AZ$220,11,FALSE)</f>
        <v>7621.8739434226136</v>
      </c>
      <c r="AX110" s="252"/>
      <c r="AY110" s="45">
        <f>VLOOKUP($B110,'[12]E.U.'!$R$9:$AZ$220,11,FALSE)</f>
        <v>7489.405430071628</v>
      </c>
      <c r="AZ110" s="45"/>
      <c r="BA110" s="45">
        <f>VLOOKUP($B110,'[13]E.U.'!$R$9:$AZ$221,11,FALSE)</f>
        <v>6881.6292972901983</v>
      </c>
      <c r="BB110" s="46">
        <f t="shared" si="15"/>
        <v>94888.565590019367</v>
      </c>
      <c r="BC110" s="47" t="e">
        <f>SUM(#REF!)</f>
        <v>#REF!</v>
      </c>
      <c r="BD110" s="43" t="e">
        <f>VLOOKUP(V110,[14]ELECTRIC!$C$1:$H$4000,6,FALSE)</f>
        <v>#N/A</v>
      </c>
      <c r="BE110" s="43" t="e">
        <f t="shared" si="19"/>
        <v>#N/A</v>
      </c>
      <c r="BF110" s="48">
        <f t="shared" si="14"/>
        <v>94888.565590019367</v>
      </c>
      <c r="BG110" s="49">
        <f t="shared" si="18"/>
        <v>165309.43676718374</v>
      </c>
      <c r="BH110" s="43" t="e">
        <f t="shared" si="20"/>
        <v>#REF!</v>
      </c>
      <c r="BI110" s="50" t="e">
        <f t="shared" si="12"/>
        <v>#REF!</v>
      </c>
      <c r="BJ110" s="51">
        <f t="shared" si="13"/>
        <v>-0.10185172795095609</v>
      </c>
      <c r="BK110" s="52"/>
      <c r="BL110" s="52"/>
      <c r="BM110" s="52"/>
      <c r="BN110" s="52"/>
      <c r="BO110" s="72" t="s">
        <v>2175</v>
      </c>
      <c r="BP110" s="52"/>
      <c r="BQ110" s="52"/>
      <c r="BR110" s="50"/>
      <c r="BS110" s="53"/>
      <c r="BT110" s="53"/>
      <c r="BU110" s="65"/>
      <c r="BV110" s="55"/>
      <c r="BW110" s="55"/>
      <c r="BX110" s="56"/>
      <c r="BY110" s="67"/>
      <c r="BZ110" s="58"/>
    </row>
    <row r="111" spans="1:78" ht="15.6" x14ac:dyDescent="0.3">
      <c r="A111" s="81" t="s">
        <v>694</v>
      </c>
      <c r="B111" s="38" t="s">
        <v>313</v>
      </c>
      <c r="C111" s="1" t="s">
        <v>314</v>
      </c>
      <c r="D111" s="39" t="s">
        <v>2176</v>
      </c>
      <c r="E111" s="40" t="s">
        <v>315</v>
      </c>
      <c r="F111" s="41" t="s">
        <v>758</v>
      </c>
      <c r="G111" s="42" t="s">
        <v>2177</v>
      </c>
      <c r="H111" s="42" t="s">
        <v>2177</v>
      </c>
      <c r="I111" s="42" t="s">
        <v>2177</v>
      </c>
      <c r="J111" s="42" t="s">
        <v>2178</v>
      </c>
      <c r="K111" s="42" t="s">
        <v>2179</v>
      </c>
      <c r="L111" s="42" t="s">
        <v>2180</v>
      </c>
      <c r="M111" s="42" t="s">
        <v>2181</v>
      </c>
      <c r="N111" s="42" t="s">
        <v>2182</v>
      </c>
      <c r="O111" s="42" t="s">
        <v>2183</v>
      </c>
      <c r="P111" s="42" t="s">
        <v>2184</v>
      </c>
      <c r="Q111" s="42" t="s">
        <v>2185</v>
      </c>
      <c r="R111" s="42" t="s">
        <v>2186</v>
      </c>
      <c r="S111" s="42" t="s">
        <v>2187</v>
      </c>
      <c r="T111" s="42" t="s">
        <v>2188</v>
      </c>
      <c r="U111" s="42" t="s">
        <v>2189</v>
      </c>
      <c r="V111" s="42" t="str">
        <f>VLOOKUP(D111,[1]ALL!$A$15:$Z$983,3,FALSE)</f>
        <v>SLH-EGW</v>
      </c>
      <c r="W111" s="43">
        <v>12484.897298413402</v>
      </c>
      <c r="X111" s="43">
        <v>11759.543355829512</v>
      </c>
      <c r="Y111" s="43">
        <v>11021.53573735896</v>
      </c>
      <c r="Z111" s="43">
        <v>11036.910635281591</v>
      </c>
      <c r="AA111" s="43">
        <v>12051.64</v>
      </c>
      <c r="AB111" s="43">
        <v>12024.3</v>
      </c>
      <c r="AC111" s="43">
        <v>11348.56</v>
      </c>
      <c r="AD111" s="43">
        <v>11836.24</v>
      </c>
      <c r="AE111" s="43">
        <v>14151.68</v>
      </c>
      <c r="AF111" s="43">
        <v>16955.099999999999</v>
      </c>
      <c r="AG111" s="43">
        <v>16650.36</v>
      </c>
      <c r="AH111" s="43">
        <v>17720.54</v>
      </c>
      <c r="AI111" s="43">
        <v>15306.3</v>
      </c>
      <c r="AJ111" s="43">
        <v>17458.66</v>
      </c>
      <c r="AK111" s="43">
        <v>18118.7</v>
      </c>
      <c r="AL111" s="44"/>
      <c r="AM111" s="45">
        <f>VLOOKUP($B111,'[2]E.U.'!$R$9:$AZ$205,11,FALSE)</f>
        <v>1377.23</v>
      </c>
      <c r="AN111" s="45">
        <f>VLOOKUP($B111,'[3]E.U.'!$R9:$AZ$225,11,FALSE)</f>
        <v>1236.68</v>
      </c>
      <c r="AO111" s="45">
        <f>VLOOKUP($B111,'[4]E.U.'!$R$9:$BZ$225,11,FALSE)</f>
        <v>1331.2402278093282</v>
      </c>
      <c r="AP111" s="45">
        <f>VLOOKUP($B111,'[5]E.U.'!$R$9:$BZ$225,11,FALSE)</f>
        <v>1313.5626928193958</v>
      </c>
      <c r="AQ111" s="45">
        <f>VLOOKUP($B111,'[6]E.U.'!$R$9:$CA$225,11,FALSE)</f>
        <v>1402.6670644958053</v>
      </c>
      <c r="AR111" s="45">
        <f>VLOOKUP($B111,'[7]E.U.'!$R$9:$AZ$225,11,FALSE)</f>
        <v>1252.5196954945202</v>
      </c>
      <c r="AS111" s="45">
        <f>VLOOKUP($B111,'[8]E.U.'!$R$9:$AZ$225,11,FALSE)</f>
        <v>1341.3141563647046</v>
      </c>
      <c r="AT111" s="45">
        <f>VLOOKUP($B111,'[9]E.U.'!$R$9:$AZ$221,11,FALSE)</f>
        <v>1091.6325122041369</v>
      </c>
      <c r="AU111" s="45"/>
      <c r="AV111" s="45">
        <f>VLOOKUP($B111,'[10]E.U.'!$R$9:$AZ$221,11,FALSE)</f>
        <v>1195.80737022479</v>
      </c>
      <c r="AW111" s="45">
        <f>VLOOKUP($B111,'[11]E.U.'!$R$9:$AZ$220,11,FALSE)</f>
        <v>1105.1718709342297</v>
      </c>
      <c r="AX111" s="252"/>
      <c r="AY111" s="45">
        <f>VLOOKUP($B111,'[12]E.U.'!$R$9:$AZ$220,11,FALSE)</f>
        <v>1108.8608448613209</v>
      </c>
      <c r="AZ111" s="45"/>
      <c r="BA111" s="45">
        <f>VLOOKUP($B111,'[13]E.U.'!$R$9:$AZ$221,11,FALSE)</f>
        <v>1031.3478177709972</v>
      </c>
      <c r="BB111" s="46">
        <f t="shared" si="15"/>
        <v>14788.034252979227</v>
      </c>
      <c r="BC111" s="47" t="e">
        <f>SUM(#REF!)</f>
        <v>#REF!</v>
      </c>
      <c r="BD111" s="43" t="e">
        <f>VLOOKUP(V111,[14]ELECTRIC!$C$1:$H$4000,6,FALSE)</f>
        <v>#N/A</v>
      </c>
      <c r="BE111" s="43" t="e">
        <f t="shared" si="19"/>
        <v>#N/A</v>
      </c>
      <c r="BF111" s="48">
        <f t="shared" si="14"/>
        <v>14788.034252979227</v>
      </c>
      <c r="BG111" s="49">
        <f t="shared" si="18"/>
        <v>25762.868245011668</v>
      </c>
      <c r="BH111" s="43" t="e">
        <f t="shared" si="20"/>
        <v>#REF!</v>
      </c>
      <c r="BI111" s="50" t="e">
        <f t="shared" si="12"/>
        <v>#REF!</v>
      </c>
      <c r="BJ111" s="51">
        <f t="shared" si="13"/>
        <v>-0.18382476375351287</v>
      </c>
      <c r="BK111" s="52"/>
      <c r="BL111" s="52"/>
      <c r="BM111" s="52"/>
      <c r="BN111" s="52"/>
      <c r="BO111" s="72"/>
      <c r="BP111" s="52"/>
      <c r="BQ111" s="52"/>
      <c r="BR111" s="50"/>
      <c r="BS111" s="53"/>
      <c r="BT111" s="53"/>
      <c r="BU111" s="65"/>
      <c r="BV111" s="55"/>
      <c r="BW111" s="55"/>
      <c r="BX111" s="66"/>
      <c r="BY111" s="67"/>
      <c r="BZ111" s="68"/>
    </row>
    <row r="112" spans="1:78" ht="15.6" x14ac:dyDescent="0.3">
      <c r="A112" s="81" t="s">
        <v>1359</v>
      </c>
      <c r="B112" s="38">
        <v>1390</v>
      </c>
      <c r="C112" s="100" t="s">
        <v>2190</v>
      </c>
      <c r="D112" t="s">
        <v>2191</v>
      </c>
      <c r="E112" s="40" t="s">
        <v>317</v>
      </c>
      <c r="F112" s="41">
        <v>0</v>
      </c>
      <c r="G112" s="42"/>
      <c r="H112" s="42"/>
      <c r="I112" s="42"/>
      <c r="J112" s="42"/>
      <c r="K112" s="42"/>
      <c r="L112" s="42"/>
      <c r="M112" s="42"/>
      <c r="N112" s="42" t="s">
        <v>2192</v>
      </c>
      <c r="O112" s="42" t="s">
        <v>2193</v>
      </c>
      <c r="P112" s="42" t="s">
        <v>2194</v>
      </c>
      <c r="Q112" s="42" t="s">
        <v>2195</v>
      </c>
      <c r="R112" s="42" t="s">
        <v>2196</v>
      </c>
      <c r="S112" s="42" t="s">
        <v>2197</v>
      </c>
      <c r="T112" s="42" t="s">
        <v>2198</v>
      </c>
      <c r="U112" s="42" t="s">
        <v>2199</v>
      </c>
      <c r="V112" s="42" t="str">
        <f>VLOOKUP(D112,[1]ALL!$A$15:$Z$983,3,FALSE)</f>
        <v>PRB-NELC</v>
      </c>
      <c r="W112" s="43"/>
      <c r="X112" s="43"/>
      <c r="Y112" s="43"/>
      <c r="Z112" s="43"/>
      <c r="AA112" s="43"/>
      <c r="AB112" s="43" t="s">
        <v>2200</v>
      </c>
      <c r="AC112" s="43"/>
      <c r="AD112" s="43">
        <v>96442.363500000021</v>
      </c>
      <c r="AE112" s="43">
        <v>111960.31349999999</v>
      </c>
      <c r="AF112" s="43">
        <v>118270.59300000002</v>
      </c>
      <c r="AG112" s="43">
        <v>121913.274</v>
      </c>
      <c r="AH112" s="43">
        <v>118419.14</v>
      </c>
      <c r="AI112" s="43">
        <v>113417.04</v>
      </c>
      <c r="AJ112" s="43">
        <v>133086.75</v>
      </c>
      <c r="AK112" s="43">
        <v>139498.46</v>
      </c>
      <c r="AL112" s="44"/>
      <c r="AM112" s="45">
        <f>VLOOKUP($B112,'[2]E.U.'!$R$9:$AZ$205,11,FALSE)</f>
        <v>10443.48</v>
      </c>
      <c r="AN112" s="45">
        <f>VLOOKUP($B112,'[3]E.U.'!$R9:$AZ$225,11,FALSE)</f>
        <v>7708.25</v>
      </c>
      <c r="AO112" s="45">
        <f>VLOOKUP($B112,'[4]E.U.'!$R$9:$BZ$225,11,FALSE)</f>
        <v>8681.4200520615414</v>
      </c>
      <c r="AP112" s="45">
        <f>VLOOKUP($B112,'[5]E.U.'!$R$9:$BZ$225,11,FALSE)</f>
        <v>20160.034377672819</v>
      </c>
      <c r="AQ112" s="45">
        <f>VLOOKUP($B112,'[6]E.U.'!$R$9:$CA$225,11,FALSE)</f>
        <v>32583.286440727672</v>
      </c>
      <c r="AR112" s="45">
        <f>VLOOKUP($B112,'[7]E.U.'!$R$9:$AZ$225,11,FALSE)</f>
        <v>30639.337767814475</v>
      </c>
      <c r="AS112" s="45">
        <f>VLOOKUP($B112,'[8]E.U.'!$R$9:$AZ$225,11,FALSE)</f>
        <v>32688.850246995094</v>
      </c>
      <c r="AT112" s="45">
        <f>VLOOKUP($B112,'[9]E.U.'!$R$9:$AZ$221,11,FALSE)</f>
        <v>12620.692288166603</v>
      </c>
      <c r="AU112" s="45"/>
      <c r="AV112" s="45">
        <f>VLOOKUP($B112,'[10]E.U.'!$R$9:$AZ$221,11,FALSE)</f>
        <v>11088.461552438193</v>
      </c>
      <c r="AW112" s="45">
        <f>VLOOKUP($B112,'[11]E.U.'!$R$9:$AZ$220,11,FALSE)</f>
        <v>11330.288516458741</v>
      </c>
      <c r="AX112" s="252"/>
      <c r="AY112" s="45">
        <f>VLOOKUP($B112,'[12]E.U.'!$R$9:$AZ$220,11,FALSE)</f>
        <v>10985.087851155349</v>
      </c>
      <c r="AZ112" s="45"/>
      <c r="BA112" s="45">
        <f>VLOOKUP($B112,'[13]E.U.'!$R$9:$AZ$221,11,FALSE)</f>
        <v>10362.348481100102</v>
      </c>
      <c r="BB112" s="46">
        <f t="shared" si="15"/>
        <v>199291.53757459059</v>
      </c>
      <c r="BC112" s="47" t="e">
        <f>SUM(#REF!)</f>
        <v>#REF!</v>
      </c>
      <c r="BD112" s="43" t="e">
        <f>VLOOKUP(V112,[14]ELECTRIC!$C$1:$H$4000,6,FALSE)</f>
        <v>#N/A</v>
      </c>
      <c r="BE112" s="43" t="e">
        <f t="shared" si="19"/>
        <v>#N/A</v>
      </c>
      <c r="BF112" s="48">
        <f t="shared" si="14"/>
        <v>199291.53757459059</v>
      </c>
      <c r="BG112" s="49">
        <f t="shared" si="18"/>
        <v>347194.32867459033</v>
      </c>
      <c r="BH112" s="43" t="e">
        <f t="shared" si="20"/>
        <v>#REF!</v>
      </c>
      <c r="BI112" s="50" t="e">
        <f t="shared" si="12"/>
        <v>#REF!</v>
      </c>
      <c r="BJ112" s="51">
        <f t="shared" si="13"/>
        <v>0.42862894382196481</v>
      </c>
      <c r="BK112" s="52"/>
      <c r="BL112" s="52"/>
      <c r="BM112" s="52"/>
      <c r="BN112" s="52"/>
      <c r="BO112" s="72"/>
      <c r="BP112" s="52"/>
      <c r="BQ112" s="52"/>
      <c r="BR112" s="50"/>
      <c r="BS112" s="53"/>
      <c r="BT112" s="53"/>
      <c r="BU112" s="65"/>
      <c r="BV112" s="55"/>
      <c r="BW112" s="55"/>
      <c r="BX112" s="66"/>
      <c r="BY112" s="67"/>
      <c r="BZ112" s="68"/>
    </row>
    <row r="113" spans="1:78" ht="15.75" customHeight="1" x14ac:dyDescent="0.3">
      <c r="A113" s="81" t="s">
        <v>694</v>
      </c>
      <c r="B113" s="38" t="s">
        <v>318</v>
      </c>
      <c r="C113" s="1" t="s">
        <v>319</v>
      </c>
      <c r="D113" s="39" t="s">
        <v>2201</v>
      </c>
      <c r="E113" s="40" t="s">
        <v>320</v>
      </c>
      <c r="F113" s="41">
        <v>0</v>
      </c>
      <c r="G113" s="42" t="s">
        <v>2202</v>
      </c>
      <c r="H113" s="42" t="s">
        <v>2202</v>
      </c>
      <c r="I113" s="42" t="s">
        <v>2202</v>
      </c>
      <c r="J113" s="42" t="s">
        <v>2203</v>
      </c>
      <c r="K113" s="42" t="s">
        <v>2204</v>
      </c>
      <c r="L113" s="42" t="s">
        <v>2205</v>
      </c>
      <c r="M113" s="42" t="s">
        <v>2206</v>
      </c>
      <c r="N113" s="42" t="s">
        <v>2207</v>
      </c>
      <c r="O113" s="42" t="s">
        <v>2208</v>
      </c>
      <c r="P113" s="42" t="s">
        <v>2209</v>
      </c>
      <c r="Q113" s="42" t="s">
        <v>2210</v>
      </c>
      <c r="R113" s="42" t="s">
        <v>2211</v>
      </c>
      <c r="S113" s="42" t="s">
        <v>2212</v>
      </c>
      <c r="T113" s="42" t="s">
        <v>2213</v>
      </c>
      <c r="U113" s="42" t="s">
        <v>2214</v>
      </c>
      <c r="V113" s="42" t="str">
        <f>VLOOKUP(D113,[1]ALL!$A$15:$Z$983,3,FALSE)</f>
        <v>REG-EGW</v>
      </c>
      <c r="W113" s="43">
        <v>11227.285828105671</v>
      </c>
      <c r="X113" s="43">
        <v>9157.1813473630918</v>
      </c>
      <c r="Y113" s="43">
        <v>7994.6216218863174</v>
      </c>
      <c r="Z113" s="43">
        <v>7311.6409611658819</v>
      </c>
      <c r="AA113" s="43">
        <v>8154.24</v>
      </c>
      <c r="AB113" s="43">
        <v>8009.15</v>
      </c>
      <c r="AC113" s="43">
        <v>8373.09</v>
      </c>
      <c r="AD113" s="43">
        <v>8735.2900000000009</v>
      </c>
      <c r="AE113" s="43">
        <v>9421.49</v>
      </c>
      <c r="AF113" s="43">
        <v>9998.2999999999993</v>
      </c>
      <c r="AG113" s="43">
        <v>9579.7900000000009</v>
      </c>
      <c r="AH113" s="43">
        <v>9601.2999999999993</v>
      </c>
      <c r="AI113" s="43">
        <v>10336.459999999999</v>
      </c>
      <c r="AJ113" s="43">
        <v>11188.35</v>
      </c>
      <c r="AK113" s="43">
        <v>1218.8</v>
      </c>
      <c r="AL113" s="44"/>
      <c r="AM113" s="45">
        <f>VLOOKUP($B113,'[2]E.U.'!$R$9:$AZ$205,11,FALSE)</f>
        <v>0</v>
      </c>
      <c r="AN113" s="45">
        <f>VLOOKUP($B113,'[3]E.U.'!$R9:$AZ$225,11,FALSE)</f>
        <v>0</v>
      </c>
      <c r="AO113" s="45">
        <f>VLOOKUP($B113,'[4]E.U.'!$R$9:$BZ$225,11,FALSE)</f>
        <v>0</v>
      </c>
      <c r="AP113" s="45">
        <f>VLOOKUP($B113,'[5]E.U.'!$R$9:$BZ$225,11,FALSE)</f>
        <v>0</v>
      </c>
      <c r="AQ113" s="45">
        <f>VLOOKUP($B113,'[6]E.U.'!$R$9:$CA$225,11,FALSE)</f>
        <v>0</v>
      </c>
      <c r="AR113" s="45">
        <f>VLOOKUP($B113,'[7]E.U.'!$R$9:$AZ$225,11,FALSE)</f>
        <v>0</v>
      </c>
      <c r="AS113" s="45">
        <f>VLOOKUP($B113,'[8]E.U.'!$R$9:$AZ$225,11,FALSE)</f>
        <v>0</v>
      </c>
      <c r="AT113" s="45">
        <f>VLOOKUP($B113,'[9]E.U.'!$R$9:$AZ$221,11,FALSE)</f>
        <v>0</v>
      </c>
      <c r="AU113" s="45"/>
      <c r="AV113" s="45">
        <f>VLOOKUP($B113,'[10]E.U.'!$R$9:$AZ$221,11,FALSE)</f>
        <v>0</v>
      </c>
      <c r="AW113" s="45" t="e">
        <f>VLOOKUP($B113,'[11]E.U.'!$R$9:$AZ$220,11,FALSE)</f>
        <v>#REF!</v>
      </c>
      <c r="AX113" s="252"/>
      <c r="AY113" s="45" t="e">
        <f>VLOOKUP($B113,'[12]E.U.'!$R$9:$AZ$220,11,FALSE)</f>
        <v>#REF!</v>
      </c>
      <c r="AZ113" s="45"/>
      <c r="BA113" s="45">
        <f>VLOOKUP($B113,'[13]E.U.'!$R$9:$AZ$221,11,FALSE)</f>
        <v>0</v>
      </c>
      <c r="BB113" s="46" t="e">
        <f t="shared" si="15"/>
        <v>#REF!</v>
      </c>
      <c r="BC113" s="47" t="e">
        <f>SUM(#REF!)</f>
        <v>#REF!</v>
      </c>
      <c r="BD113" s="43" t="e">
        <f>VLOOKUP(V113,[14]ELECTRIC!$C$1:$H$4000,6,FALSE)</f>
        <v>#N/A</v>
      </c>
      <c r="BE113" s="43" t="e">
        <f t="shared" si="19"/>
        <v>#REF!</v>
      </c>
      <c r="BF113" s="48" t="e">
        <f t="shared" si="14"/>
        <v>#REF!</v>
      </c>
      <c r="BG113" s="49" t="e">
        <f t="shared" si="18"/>
        <v>#REF!</v>
      </c>
      <c r="BH113" s="43" t="e">
        <f t="shared" si="20"/>
        <v>#REF!</v>
      </c>
      <c r="BI113" s="50" t="e">
        <f t="shared" si="12"/>
        <v>#REF!</v>
      </c>
      <c r="BJ113" s="51" t="e">
        <f t="shared" si="13"/>
        <v>#REF!</v>
      </c>
      <c r="BK113" s="52"/>
      <c r="BL113" s="52"/>
      <c r="BM113" s="72" t="s">
        <v>2215</v>
      </c>
      <c r="BN113" s="52"/>
      <c r="BO113" s="72"/>
      <c r="BP113" s="52"/>
      <c r="BQ113" s="52"/>
      <c r="BR113" s="50"/>
      <c r="BS113" s="53"/>
      <c r="BT113" s="53"/>
      <c r="BU113" s="65"/>
      <c r="BV113" s="55"/>
      <c r="BW113" s="55"/>
      <c r="BX113" s="56"/>
      <c r="BY113" s="67"/>
      <c r="BZ113" s="58"/>
    </row>
    <row r="114" spans="1:78" ht="15.75" customHeight="1" x14ac:dyDescent="0.3">
      <c r="A114" s="81" t="s">
        <v>694</v>
      </c>
      <c r="B114" s="38" t="s">
        <v>321</v>
      </c>
      <c r="C114" s="1" t="s">
        <v>322</v>
      </c>
      <c r="D114" s="39" t="s">
        <v>2216</v>
      </c>
      <c r="E114" s="40" t="s">
        <v>323</v>
      </c>
      <c r="F114" s="41">
        <v>0</v>
      </c>
      <c r="G114" s="42" t="s">
        <v>2217</v>
      </c>
      <c r="H114" s="42" t="s">
        <v>2217</v>
      </c>
      <c r="I114" s="42" t="s">
        <v>2217</v>
      </c>
      <c r="J114" s="42" t="s">
        <v>2218</v>
      </c>
      <c r="K114" s="42" t="s">
        <v>2219</v>
      </c>
      <c r="L114" s="42" t="s">
        <v>2220</v>
      </c>
      <c r="M114" s="42" t="s">
        <v>2221</v>
      </c>
      <c r="N114" s="42" t="s">
        <v>2222</v>
      </c>
      <c r="O114" s="42" t="s">
        <v>2223</v>
      </c>
      <c r="P114" s="42" t="s">
        <v>2224</v>
      </c>
      <c r="Q114" s="42" t="s">
        <v>2225</v>
      </c>
      <c r="R114" s="42" t="s">
        <v>2226</v>
      </c>
      <c r="S114" s="42" t="s">
        <v>2227</v>
      </c>
      <c r="T114" s="42" t="s">
        <v>2228</v>
      </c>
      <c r="U114" s="42" t="s">
        <v>2229</v>
      </c>
      <c r="V114" s="42" t="str">
        <f>VLOOKUP(D114,[1]ALL!$A$15:$Z$983,3,FALSE)</f>
        <v>HOH-EGW</v>
      </c>
      <c r="W114" s="43">
        <v>103521.95395935862</v>
      </c>
      <c r="X114" s="43">
        <v>93647.294258168942</v>
      </c>
      <c r="Y114" s="43">
        <v>97075.996836242775</v>
      </c>
      <c r="Z114" s="43">
        <v>98274.479627100896</v>
      </c>
      <c r="AA114" s="43">
        <v>107702.01</v>
      </c>
      <c r="AB114" s="43">
        <v>108360.24</v>
      </c>
      <c r="AC114" s="43">
        <v>115331.84</v>
      </c>
      <c r="AD114" s="43">
        <v>96373.440000000002</v>
      </c>
      <c r="AE114" s="43">
        <v>132402.13</v>
      </c>
      <c r="AF114" s="43">
        <v>151713.23000000001</v>
      </c>
      <c r="AG114" s="43">
        <v>150576.82999999999</v>
      </c>
      <c r="AH114" s="43">
        <v>148800.62</v>
      </c>
      <c r="AI114" s="43">
        <v>142335.57</v>
      </c>
      <c r="AJ114" s="43">
        <v>145597.66</v>
      </c>
      <c r="AK114" s="43">
        <v>166956.31</v>
      </c>
      <c r="AL114" s="44"/>
      <c r="AM114" s="45">
        <f>VLOOKUP($B114,'[2]E.U.'!$R$9:$AZ$205,11,FALSE)</f>
        <v>12818.56</v>
      </c>
      <c r="AN114" s="45">
        <f>VLOOKUP($B114,'[3]E.U.'!$R9:$AZ$225,11,FALSE)</f>
        <v>13660.82</v>
      </c>
      <c r="AO114" s="45">
        <f>VLOOKUP($B114,'[4]E.U.'!$R$9:$BZ$225,11,FALSE)</f>
        <v>12740.3628534954</v>
      </c>
      <c r="AP114" s="45">
        <f>VLOOKUP($B114,'[5]E.U.'!$R$9:$BZ$225,11,FALSE)</f>
        <v>12962.901786707824</v>
      </c>
      <c r="AQ114" s="45">
        <f>VLOOKUP($B114,'[6]E.U.'!$R$9:$CA$225,11,FALSE)</f>
        <v>14682.141243438593</v>
      </c>
      <c r="AR114" s="45">
        <f>VLOOKUP($B114,'[7]E.U.'!$R$9:$AZ$225,11,FALSE)</f>
        <v>13677.643528501456</v>
      </c>
      <c r="AS114" s="45">
        <f>VLOOKUP($B114,'[8]E.U.'!$R$9:$AZ$225,11,FALSE)</f>
        <v>13895.214335185417</v>
      </c>
      <c r="AT114" s="45">
        <f>VLOOKUP($B114,'[9]E.U.'!$R$9:$AZ$221,11,FALSE)</f>
        <v>11296.71848629618</v>
      </c>
      <c r="AU114" s="45"/>
      <c r="AV114" s="45">
        <f>VLOOKUP($B114,'[10]E.U.'!$R$9:$AZ$221,11,FALSE)</f>
        <v>12634.179370755364</v>
      </c>
      <c r="AW114" s="45">
        <f>VLOOKUP($B114,'[11]E.U.'!$R$9:$AZ$220,11,FALSE)</f>
        <v>12536.593093680462</v>
      </c>
      <c r="AX114" s="252"/>
      <c r="AY114" s="45">
        <f>VLOOKUP($B114,'[12]E.U.'!$R$9:$AZ$220,11,FALSE)</f>
        <v>12203.548473668419</v>
      </c>
      <c r="AZ114" s="45"/>
      <c r="BA114" s="45">
        <f>VLOOKUP($B114,'[13]E.U.'!$R$9:$AZ$221,11,FALSE)</f>
        <v>12141.829011752954</v>
      </c>
      <c r="BB114" s="46">
        <f t="shared" si="15"/>
        <v>155250.51218348206</v>
      </c>
      <c r="BC114" s="47" t="e">
        <f>SUM(#REF!)</f>
        <v>#REF!</v>
      </c>
      <c r="BD114" s="43" t="e">
        <f>VLOOKUP(V114,[14]ELECTRIC!$C$1:$H$4000,6,FALSE)</f>
        <v>#N/A</v>
      </c>
      <c r="BE114" s="43" t="e">
        <f t="shared" si="19"/>
        <v>#N/A</v>
      </c>
      <c r="BF114" s="48">
        <f t="shared" si="14"/>
        <v>155250.51218348206</v>
      </c>
      <c r="BG114" s="43">
        <f t="shared" si="18"/>
        <v>270468.57086822338</v>
      </c>
      <c r="BH114" s="43" t="e">
        <f t="shared" si="20"/>
        <v>#REF!</v>
      </c>
      <c r="BI114" s="52" t="e">
        <f t="shared" si="12"/>
        <v>#REF!</v>
      </c>
      <c r="BJ114" s="51">
        <f t="shared" si="13"/>
        <v>-7.0112940424461589E-2</v>
      </c>
      <c r="BK114" s="52"/>
      <c r="BL114" s="52"/>
      <c r="BM114" s="52"/>
      <c r="BN114" s="52"/>
      <c r="BO114" s="105" t="s">
        <v>2230</v>
      </c>
      <c r="BP114" s="72" t="s">
        <v>2231</v>
      </c>
      <c r="BQ114" s="52"/>
      <c r="BR114" s="50"/>
      <c r="BS114" s="53"/>
      <c r="BT114" s="53"/>
      <c r="BU114" s="65"/>
      <c r="BV114" s="55"/>
      <c r="BW114" s="55"/>
      <c r="BX114" s="56"/>
      <c r="BY114" s="67" t="s">
        <v>847</v>
      </c>
      <c r="BZ114" s="58"/>
    </row>
    <row r="115" spans="1:78" ht="15.6" x14ac:dyDescent="0.3">
      <c r="A115" s="101" t="s">
        <v>694</v>
      </c>
      <c r="B115" s="62" t="s">
        <v>324</v>
      </c>
      <c r="C115" s="102" t="s">
        <v>2232</v>
      </c>
      <c r="D115" t="s">
        <v>2233</v>
      </c>
      <c r="E115" s="103" t="s">
        <v>326</v>
      </c>
      <c r="F115" s="41">
        <v>0</v>
      </c>
      <c r="G115" s="42"/>
      <c r="H115" s="42"/>
      <c r="I115" s="42"/>
      <c r="J115" s="42"/>
      <c r="K115" s="42"/>
      <c r="L115" s="42" t="s">
        <v>2234</v>
      </c>
      <c r="M115" s="42" t="s">
        <v>2235</v>
      </c>
      <c r="N115" s="42" t="s">
        <v>2236</v>
      </c>
      <c r="O115" s="42" t="s">
        <v>2237</v>
      </c>
      <c r="P115" s="42" t="s">
        <v>2238</v>
      </c>
      <c r="Q115" s="42" t="s">
        <v>2239</v>
      </c>
      <c r="R115" s="42" t="s">
        <v>2240</v>
      </c>
      <c r="S115" s="42" t="s">
        <v>2241</v>
      </c>
      <c r="T115" s="42" t="s">
        <v>2242</v>
      </c>
      <c r="U115" s="42" t="s">
        <v>2243</v>
      </c>
      <c r="V115" s="42" t="str">
        <f>VLOOKUP(D115,[1]ALL!$A$15:$Z$983,3,FALSE)</f>
        <v>HOH9-EL</v>
      </c>
      <c r="W115" s="43"/>
      <c r="X115" s="43"/>
      <c r="Y115" s="43"/>
      <c r="Z115" s="43"/>
      <c r="AA115" s="43"/>
      <c r="AB115" s="43">
        <v>792.34</v>
      </c>
      <c r="AC115" s="43">
        <v>3497.1640000000007</v>
      </c>
      <c r="AD115" s="43">
        <v>2716.6040000000003</v>
      </c>
      <c r="AE115" s="43">
        <v>2457.279</v>
      </c>
      <c r="AF115" s="43">
        <v>4732.7610000000004</v>
      </c>
      <c r="AG115" s="43">
        <v>5352.5230000000001</v>
      </c>
      <c r="AH115" s="43">
        <v>6057.79</v>
      </c>
      <c r="AI115" s="43">
        <v>5154.91</v>
      </c>
      <c r="AJ115" s="43">
        <v>5536.83</v>
      </c>
      <c r="AK115" s="43">
        <v>7167.62</v>
      </c>
      <c r="AL115" s="44"/>
      <c r="AM115" s="45">
        <f>VLOOKUP($B115,'[2]E.U.'!$R$9:$AZ$205,11,FALSE)</f>
        <v>528.97</v>
      </c>
      <c r="AN115" s="45">
        <f>VLOOKUP($B115,'[3]E.U.'!$R9:$AZ$225,11,FALSE)</f>
        <v>615.13</v>
      </c>
      <c r="AO115" s="45">
        <f>VLOOKUP($B115,'[4]E.U.'!$R$9:$BZ$225,11,FALSE)</f>
        <v>586.75079696693854</v>
      </c>
      <c r="AP115" s="45">
        <f>VLOOKUP($B115,'[5]E.U.'!$R$9:$BZ$225,11,FALSE)</f>
        <v>548.58114795747747</v>
      </c>
      <c r="AQ115" s="45">
        <f>VLOOKUP($B115,'[6]E.U.'!$R$9:$CA$225,11,FALSE)</f>
        <v>597.77488637038982</v>
      </c>
      <c r="AR115" s="45">
        <f>VLOOKUP($B115,'[7]E.U.'!$R$9:$AZ$225,11,FALSE)</f>
        <v>530.22393369388988</v>
      </c>
      <c r="AS115" s="45">
        <f>VLOOKUP($B115,'[8]E.U.'!$R$9:$AZ$225,11,FALSE)</f>
        <v>564.45625423396484</v>
      </c>
      <c r="AT115" s="45">
        <f>VLOOKUP($B115,'[9]E.U.'!$R$9:$AZ$221,11,FALSE)</f>
        <v>502.81612115830529</v>
      </c>
      <c r="AU115" s="45"/>
      <c r="AV115" s="45">
        <f>VLOOKUP($B115,'[10]E.U.'!$R$9:$AZ$221,11,FALSE)</f>
        <v>521.2772337197639</v>
      </c>
      <c r="AW115" s="45">
        <f>VLOOKUP($B115,'[11]E.U.'!$R$9:$AZ$220,11,FALSE)</f>
        <v>488.86900752646051</v>
      </c>
      <c r="AX115" s="252"/>
      <c r="AY115" s="45">
        <f>VLOOKUP($B115,'[12]E.U.'!$R$9:$AZ$220,11,FALSE)</f>
        <v>488.88299985574901</v>
      </c>
      <c r="AZ115" s="45"/>
      <c r="BA115" s="45">
        <f>VLOOKUP($B115,'[13]E.U.'!$R$9:$AZ$221,11,FALSE)</f>
        <v>482.45429195148478</v>
      </c>
      <c r="BB115" s="46">
        <f t="shared" si="15"/>
        <v>6456.1866734344248</v>
      </c>
      <c r="BC115" s="47" t="e">
        <f>SUM(#REF!)</f>
        <v>#REF!</v>
      </c>
      <c r="BD115" s="43" t="e">
        <f>VLOOKUP(V115,[14]ELECTRIC!$C$1:$H$4000,6,FALSE)</f>
        <v>#N/A</v>
      </c>
      <c r="BE115" s="242" t="e">
        <f t="shared" si="19"/>
        <v>#N/A</v>
      </c>
      <c r="BF115" s="48">
        <f t="shared" si="14"/>
        <v>6456.1866734344248</v>
      </c>
      <c r="BG115" s="49">
        <f t="shared" si="18"/>
        <v>11247.599497504687</v>
      </c>
      <c r="BH115" s="43" t="e">
        <f t="shared" si="20"/>
        <v>#REF!</v>
      </c>
      <c r="BI115" s="50" t="e">
        <f t="shared" si="12"/>
        <v>#REF!</v>
      </c>
      <c r="BJ115" s="51">
        <f t="shared" si="13"/>
        <v>-9.9256563066342118E-2</v>
      </c>
      <c r="BK115" s="52"/>
      <c r="BL115" s="52"/>
      <c r="BM115" s="52"/>
      <c r="BN115" s="52"/>
      <c r="BO115" s="72"/>
      <c r="BP115" s="52"/>
      <c r="BQ115" s="52"/>
      <c r="BR115" s="71"/>
      <c r="BS115" s="53"/>
      <c r="BT115" s="53"/>
      <c r="BU115" s="65"/>
      <c r="BV115" s="55"/>
      <c r="BW115" s="55"/>
      <c r="BX115" s="56"/>
      <c r="BY115" s="67"/>
      <c r="BZ115" s="58"/>
    </row>
    <row r="116" spans="1:78" ht="15.6" x14ac:dyDescent="0.3">
      <c r="A116" s="81" t="s">
        <v>694</v>
      </c>
      <c r="B116" s="38" t="s">
        <v>327</v>
      </c>
      <c r="C116" s="1" t="s">
        <v>328</v>
      </c>
      <c r="D116" s="39" t="s">
        <v>2244</v>
      </c>
      <c r="E116" s="40" t="s">
        <v>329</v>
      </c>
      <c r="F116" s="41">
        <v>0</v>
      </c>
      <c r="G116" s="42" t="s">
        <v>2245</v>
      </c>
      <c r="H116" s="42" t="s">
        <v>2245</v>
      </c>
      <c r="I116" s="42" t="s">
        <v>2245</v>
      </c>
      <c r="J116" s="42" t="s">
        <v>2246</v>
      </c>
      <c r="K116" s="42" t="s">
        <v>2247</v>
      </c>
      <c r="L116" s="42" t="s">
        <v>2248</v>
      </c>
      <c r="M116" s="42" t="s">
        <v>2249</v>
      </c>
      <c r="N116" s="42" t="s">
        <v>2250</v>
      </c>
      <c r="O116" s="42" t="s">
        <v>2251</v>
      </c>
      <c r="P116" s="42" t="s">
        <v>2252</v>
      </c>
      <c r="Q116" s="42" t="s">
        <v>2253</v>
      </c>
      <c r="R116" s="42" t="s">
        <v>2254</v>
      </c>
      <c r="S116" s="42" t="s">
        <v>2255</v>
      </c>
      <c r="T116" s="42" t="s">
        <v>2256</v>
      </c>
      <c r="U116" s="42" t="s">
        <v>2257</v>
      </c>
      <c r="V116" s="42" t="str">
        <f>VLOOKUP(D116,[1]ALL!$A$15:$Z$983,3,FALSE)</f>
        <v>BMH-EGW</v>
      </c>
      <c r="W116" s="43">
        <v>11224.98967769348</v>
      </c>
      <c r="X116" s="43">
        <v>11229.622641073032</v>
      </c>
      <c r="Y116" s="43">
        <v>9659.4915779286475</v>
      </c>
      <c r="Z116" s="43">
        <v>9767.460141360245</v>
      </c>
      <c r="AA116" s="43">
        <v>8664.7199999999993</v>
      </c>
      <c r="AB116" s="43">
        <v>10492.76</v>
      </c>
      <c r="AC116" s="43">
        <v>12308.03</v>
      </c>
      <c r="AD116" s="43">
        <v>14009.5</v>
      </c>
      <c r="AE116" s="43">
        <v>15916.16</v>
      </c>
      <c r="AF116" s="43">
        <v>25512.65</v>
      </c>
      <c r="AG116" s="43">
        <v>22460.61</v>
      </c>
      <c r="AH116" s="43">
        <v>23372.21</v>
      </c>
      <c r="AI116" s="43">
        <v>21423.26</v>
      </c>
      <c r="AJ116" s="43">
        <v>23589.32</v>
      </c>
      <c r="AK116" s="43">
        <v>27375.200000000001</v>
      </c>
      <c r="AL116" s="44"/>
      <c r="AM116" s="45">
        <f>VLOOKUP($B116,'[2]E.U.'!$R$9:$AZ$205,11,FALSE)</f>
        <v>1871.01</v>
      </c>
      <c r="AN116" s="45">
        <f>VLOOKUP($B116,'[3]E.U.'!$R9:$AZ$225,11,FALSE)</f>
        <v>1960</v>
      </c>
      <c r="AO116" s="45">
        <f>VLOOKUP($B116,'[4]E.U.'!$R$9:$BZ$225,11,FALSE)</f>
        <v>1802.6178945995221</v>
      </c>
      <c r="AP116" s="45">
        <f>VLOOKUP($B116,'[5]E.U.'!$R$9:$BZ$225,11,FALSE)</f>
        <v>1856.6174834572191</v>
      </c>
      <c r="AQ116" s="45">
        <f>VLOOKUP($B116,'[6]E.U.'!$R$9:$CA$225,11,FALSE)</f>
        <v>2182.262916558187</v>
      </c>
      <c r="AR116" s="45">
        <f>VLOOKUP($B116,'[7]E.U.'!$R$9:$AZ$225,11,FALSE)</f>
        <v>1834.9440033277028</v>
      </c>
      <c r="AS116" s="45">
        <f>VLOOKUP($B116,'[8]E.U.'!$R$9:$AZ$225,11,FALSE)</f>
        <v>2205.4163975526208</v>
      </c>
      <c r="AT116" s="45">
        <f>VLOOKUP($B116,'[9]E.U.'!$R$9:$AZ$221,11,FALSE)</f>
        <v>2396.6707634488926</v>
      </c>
      <c r="AU116" s="45"/>
      <c r="AV116" s="45">
        <f>VLOOKUP($B116,'[10]E.U.'!$R$9:$AZ$221,11,FALSE)</f>
        <v>2454.8248659440778</v>
      </c>
      <c r="AW116" s="45">
        <f>VLOOKUP($B116,'[11]E.U.'!$R$9:$AZ$220,11,FALSE)</f>
        <v>1769.3030511025854</v>
      </c>
      <c r="AX116" s="252"/>
      <c r="AY116" s="45">
        <f>VLOOKUP($B116,'[12]E.U.'!$R$9:$AZ$220,11,FALSE)</f>
        <v>1646.3643716369445</v>
      </c>
      <c r="AZ116" s="45"/>
      <c r="BA116" s="45">
        <f>VLOOKUP($B116,'[13]E.U.'!$R$9:$AZ$221,11,FALSE)</f>
        <v>1447.3339590526782</v>
      </c>
      <c r="BB116" s="46">
        <f t="shared" si="15"/>
        <v>23427.36570668043</v>
      </c>
      <c r="BC116" s="47" t="e">
        <f>SUM(#REF!)</f>
        <v>#REF!</v>
      </c>
      <c r="BD116" s="43" t="e">
        <f>VLOOKUP(V116,[14]ELECTRIC!$C$1:$H$4000,6,FALSE)</f>
        <v>#N/A</v>
      </c>
      <c r="BE116" s="43" t="e">
        <f t="shared" si="19"/>
        <v>#N/A</v>
      </c>
      <c r="BF116" s="48">
        <f t="shared" si="14"/>
        <v>23427.36570668043</v>
      </c>
      <c r="BG116" s="49">
        <f t="shared" si="18"/>
        <v>40813.817827566832</v>
      </c>
      <c r="BH116" s="43" t="e">
        <f t="shared" si="20"/>
        <v>#REF!</v>
      </c>
      <c r="BI116" s="50" t="e">
        <f t="shared" si="12"/>
        <v>#REF!</v>
      </c>
      <c r="BJ116" s="51">
        <f t="shared" si="13"/>
        <v>-0.14421207126594771</v>
      </c>
      <c r="BK116" s="52"/>
      <c r="BL116" s="52"/>
      <c r="BM116" s="52"/>
      <c r="BN116" s="52"/>
      <c r="BO116" s="72"/>
      <c r="BP116" s="52"/>
      <c r="BQ116" s="52"/>
      <c r="BR116" s="50" t="s">
        <v>2258</v>
      </c>
      <c r="BS116" s="53"/>
      <c r="BT116" s="53"/>
      <c r="BU116" s="65"/>
      <c r="BV116" s="55"/>
      <c r="BW116" s="55"/>
      <c r="BX116" s="56"/>
      <c r="BY116" s="67"/>
      <c r="BZ116" s="58"/>
    </row>
    <row r="117" spans="1:78" ht="15.6" x14ac:dyDescent="0.3">
      <c r="A117" s="81" t="s">
        <v>694</v>
      </c>
      <c r="B117" s="38" t="s">
        <v>330</v>
      </c>
      <c r="C117" s="1" t="s">
        <v>331</v>
      </c>
      <c r="D117" s="39" t="s">
        <v>2259</v>
      </c>
      <c r="E117" s="40" t="s">
        <v>332</v>
      </c>
      <c r="F117" s="41" t="s">
        <v>758</v>
      </c>
      <c r="G117" s="42" t="s">
        <v>2260</v>
      </c>
      <c r="H117" s="42" t="s">
        <v>2260</v>
      </c>
      <c r="I117" s="42" t="s">
        <v>2260</v>
      </c>
      <c r="J117" s="42" t="s">
        <v>2261</v>
      </c>
      <c r="K117" s="42" t="s">
        <v>2262</v>
      </c>
      <c r="L117" s="42" t="s">
        <v>2263</v>
      </c>
      <c r="M117" s="42" t="s">
        <v>2264</v>
      </c>
      <c r="N117" s="42" t="s">
        <v>2265</v>
      </c>
      <c r="O117" s="42" t="s">
        <v>2266</v>
      </c>
      <c r="P117" s="42" t="s">
        <v>2267</v>
      </c>
      <c r="Q117" s="42" t="s">
        <v>2268</v>
      </c>
      <c r="R117" s="42" t="s">
        <v>2269</v>
      </c>
      <c r="S117" s="42" t="s">
        <v>2270</v>
      </c>
      <c r="T117" s="42" t="s">
        <v>2271</v>
      </c>
      <c r="U117" s="42" t="s">
        <v>2272</v>
      </c>
      <c r="V117" s="42" t="str">
        <f>VLOOKUP(D117,[1]ALL!$A$15:$Z$983,3,FALSE)</f>
        <v>OHE-EGW</v>
      </c>
      <c r="W117" s="43">
        <v>190244.28116968099</v>
      </c>
      <c r="X117" s="43">
        <v>184559.94988656742</v>
      </c>
      <c r="Y117" s="43">
        <v>187907.68443127687</v>
      </c>
      <c r="Z117" s="43">
        <v>189093.10273349064</v>
      </c>
      <c r="AA117" s="43">
        <v>176124.04</v>
      </c>
      <c r="AB117" s="43">
        <v>132882.32</v>
      </c>
      <c r="AC117" s="43">
        <v>126318.83</v>
      </c>
      <c r="AD117" s="43">
        <v>119283.1</v>
      </c>
      <c r="AE117" s="43">
        <v>114816.96000000001</v>
      </c>
      <c r="AF117" s="43">
        <v>121296.09</v>
      </c>
      <c r="AG117" s="43">
        <v>121501.77</v>
      </c>
      <c r="AH117" s="43">
        <v>121821.69</v>
      </c>
      <c r="AI117" s="43">
        <v>115436.7</v>
      </c>
      <c r="AJ117" s="43">
        <v>124558.59</v>
      </c>
      <c r="AK117" s="43">
        <v>141062.78</v>
      </c>
      <c r="AL117" s="44"/>
      <c r="AM117" s="45">
        <f>VLOOKUP($B117,'[2]E.U.'!$R$9:$AZ$205,11,FALSE)</f>
        <v>11578.55</v>
      </c>
      <c r="AN117" s="45">
        <f>VLOOKUP($B117,'[3]E.U.'!$R9:$AZ$225,11,FALSE)</f>
        <v>12788.01</v>
      </c>
      <c r="AO117" s="45">
        <f>VLOOKUP($B117,'[4]E.U.'!$R$9:$BZ$225,11,FALSE)</f>
        <v>11954.467299538252</v>
      </c>
      <c r="AP117" s="45">
        <f>VLOOKUP($B117,'[5]E.U.'!$R$9:$BZ$225,11,FALSE)</f>
        <v>11083.495800391755</v>
      </c>
      <c r="AQ117" s="45">
        <f>VLOOKUP($B117,'[6]E.U.'!$R$9:$CA$225,11,FALSE)</f>
        <v>12775.759208113181</v>
      </c>
      <c r="AR117" s="45">
        <f>VLOOKUP($B117,'[7]E.U.'!$R$9:$AZ$225,11,FALSE)</f>
        <v>11635.954757126779</v>
      </c>
      <c r="AS117" s="45">
        <f>VLOOKUP($B117,'[8]E.U.'!$R$9:$AZ$225,11,FALSE)</f>
        <v>11745.005277000706</v>
      </c>
      <c r="AT117" s="45">
        <f>VLOOKUP($B117,'[9]E.U.'!$R$9:$AZ$221,11,FALSE)</f>
        <v>9535.2920445576783</v>
      </c>
      <c r="AU117" s="45"/>
      <c r="AV117" s="45">
        <f>VLOOKUP($B117,'[10]E.U.'!$R$9:$AZ$221,11,FALSE)</f>
        <v>10418.780193574892</v>
      </c>
      <c r="AW117" s="45">
        <f>VLOOKUP($B117,'[11]E.U.'!$R$9:$AZ$220,11,FALSE)</f>
        <v>10637.907886397414</v>
      </c>
      <c r="AX117" s="252"/>
      <c r="AY117" s="45">
        <f>VLOOKUP($B117,'[12]E.U.'!$R$9:$AZ$220,11,FALSE)</f>
        <v>10261.865668250177</v>
      </c>
      <c r="AZ117" s="45"/>
      <c r="BA117" s="45">
        <f>VLOOKUP($B117,'[13]E.U.'!$R$9:$AZ$221,11,FALSE)</f>
        <v>9841.8698946811255</v>
      </c>
      <c r="BB117" s="46">
        <f t="shared" si="15"/>
        <v>134256.95802963193</v>
      </c>
      <c r="BC117" s="47" t="e">
        <f>SUM(#REF!)</f>
        <v>#REF!</v>
      </c>
      <c r="BD117" s="43" t="e">
        <f>VLOOKUP(V117,[14]ELECTRIC!$C$1:$H$4000,6,FALSE)</f>
        <v>#N/A</v>
      </c>
      <c r="BE117" s="43" t="e">
        <f t="shared" si="19"/>
        <v>#N/A</v>
      </c>
      <c r="BF117" s="48">
        <f t="shared" si="14"/>
        <v>134256.95802963193</v>
      </c>
      <c r="BG117" s="49">
        <f t="shared" si="18"/>
        <v>233894.80045305163</v>
      </c>
      <c r="BH117" s="43" t="e">
        <f t="shared" si="20"/>
        <v>#REF!</v>
      </c>
      <c r="BI117" s="50" t="e">
        <f t="shared" si="12"/>
        <v>#REF!</v>
      </c>
      <c r="BJ117" s="51">
        <f t="shared" si="13"/>
        <v>-4.82467591406327E-2</v>
      </c>
      <c r="BK117" s="52"/>
      <c r="BL117" s="52"/>
      <c r="BM117" s="52"/>
      <c r="BN117" s="52"/>
      <c r="BO117" s="72"/>
      <c r="BP117" s="52"/>
      <c r="BQ117" s="52"/>
      <c r="BR117" s="50"/>
      <c r="BS117" s="53"/>
      <c r="BT117" s="53"/>
      <c r="BU117" s="65"/>
      <c r="BV117" s="55"/>
      <c r="BW117" s="55"/>
      <c r="BX117" s="56"/>
      <c r="BY117" s="67"/>
      <c r="BZ117" s="58"/>
    </row>
    <row r="118" spans="1:78" ht="15.75" customHeight="1" x14ac:dyDescent="0.3">
      <c r="A118" s="81" t="s">
        <v>694</v>
      </c>
      <c r="B118" s="38">
        <v>1451</v>
      </c>
      <c r="C118" s="239" t="s">
        <v>2273</v>
      </c>
      <c r="D118" t="s">
        <v>2274</v>
      </c>
      <c r="E118" s="104" t="s">
        <v>2275</v>
      </c>
      <c r="F118" s="41" t="s">
        <v>758</v>
      </c>
      <c r="G118" s="42"/>
      <c r="H118" s="42"/>
      <c r="I118" s="42"/>
      <c r="J118" s="42"/>
      <c r="K118" s="42"/>
      <c r="L118" s="42" t="s">
        <v>2276</v>
      </c>
      <c r="M118" s="42" t="s">
        <v>2277</v>
      </c>
      <c r="N118" s="42" t="s">
        <v>2278</v>
      </c>
      <c r="O118" s="42" t="s">
        <v>2279</v>
      </c>
      <c r="P118" s="42" t="s">
        <v>2280</v>
      </c>
      <c r="Q118" s="42" t="s">
        <v>2281</v>
      </c>
      <c r="R118" s="42" t="s">
        <v>2282</v>
      </c>
      <c r="S118" s="42" t="s">
        <v>2283</v>
      </c>
      <c r="T118" s="42" t="s">
        <v>2284</v>
      </c>
      <c r="U118" s="42" t="s">
        <v>2285</v>
      </c>
      <c r="V118" s="42" t="str">
        <f>VLOOKUP(D118,[1]ALL!$A$15:$Z$983,3,FALSE)</f>
        <v>OHE1-EL</v>
      </c>
      <c r="W118" s="43"/>
      <c r="X118" s="43"/>
      <c r="Y118" s="43"/>
      <c r="Z118" s="43" t="s">
        <v>2286</v>
      </c>
      <c r="AA118" s="43"/>
      <c r="AB118" s="43">
        <v>151.46</v>
      </c>
      <c r="AC118" s="43">
        <v>15543.9</v>
      </c>
      <c r="AD118" s="43">
        <v>5435</v>
      </c>
      <c r="AE118" s="43">
        <v>25.47</v>
      </c>
      <c r="AF118" s="43">
        <v>44.23</v>
      </c>
      <c r="AG118" s="43">
        <v>54.64</v>
      </c>
      <c r="AH118" s="43">
        <v>60.74</v>
      </c>
      <c r="AI118" s="43">
        <v>84.74</v>
      </c>
      <c r="AJ118" s="43">
        <v>50.91</v>
      </c>
      <c r="AK118" s="43">
        <v>8.86</v>
      </c>
      <c r="AL118" s="44"/>
      <c r="AM118" s="45">
        <f>VLOOKUP($B118,'[2]E.U.'!$R$9:$AZ$205,11,FALSE)</f>
        <v>0</v>
      </c>
      <c r="AN118" s="45">
        <f>VLOOKUP($B118,'[3]E.U.'!$R9:$AZ$225,11,FALSE)</f>
        <v>0</v>
      </c>
      <c r="AO118" s="45">
        <f>VLOOKUP($B118,'[4]E.U.'!$R$9:$BZ$225,11,FALSE)</f>
        <v>0</v>
      </c>
      <c r="AP118" s="45">
        <f>VLOOKUP($B118,'[5]E.U.'!$R$9:$BZ$225,11,FALSE)</f>
        <v>0</v>
      </c>
      <c r="AQ118" s="45">
        <f>VLOOKUP($B118,'[6]E.U.'!$R$9:$CA$225,11,FALSE)</f>
        <v>0</v>
      </c>
      <c r="AR118" s="45">
        <f>VLOOKUP($B118,'[7]E.U.'!$R$9:$AZ$225,11,FALSE)</f>
        <v>0</v>
      </c>
      <c r="AS118" s="45">
        <f>VLOOKUP($B118,'[8]E.U.'!$R$9:$AZ$225,11,FALSE)</f>
        <v>0</v>
      </c>
      <c r="AT118" s="45">
        <f>VLOOKUP($B118,'[9]E.U.'!$R$9:$AZ$221,11,FALSE)</f>
        <v>0</v>
      </c>
      <c r="AU118" s="45"/>
      <c r="AV118" s="45">
        <f>VLOOKUP($B118,'[10]E.U.'!$R$9:$AZ$221,11,FALSE)</f>
        <v>0</v>
      </c>
      <c r="AW118" s="45" t="e">
        <f>VLOOKUP($B118,'[11]E.U.'!$R$9:$AZ$220,11,FALSE)</f>
        <v>#REF!</v>
      </c>
      <c r="AX118" s="252"/>
      <c r="AY118" s="45" t="e">
        <f>VLOOKUP($B118,'[12]E.U.'!$R$9:$AZ$220,11,FALSE)</f>
        <v>#REF!</v>
      </c>
      <c r="AZ118" s="45"/>
      <c r="BA118" s="45">
        <f>VLOOKUP($B118,'[13]E.U.'!$R$9:$AZ$221,11,FALSE)</f>
        <v>0</v>
      </c>
      <c r="BB118" s="46" t="e">
        <f t="shared" si="15"/>
        <v>#REF!</v>
      </c>
      <c r="BC118" s="47" t="e">
        <f>SUM(#REF!)</f>
        <v>#REF!</v>
      </c>
      <c r="BD118" s="43" t="e">
        <f>VLOOKUP(V118,[14]ELECTRIC!$C$1:$H$4000,6,FALSE)</f>
        <v>#N/A</v>
      </c>
      <c r="BE118" s="43" t="e">
        <f t="shared" si="19"/>
        <v>#REF!</v>
      </c>
      <c r="BF118" s="48" t="e">
        <f t="shared" si="14"/>
        <v>#REF!</v>
      </c>
      <c r="BG118" s="49" t="e">
        <f t="shared" si="18"/>
        <v>#REF!</v>
      </c>
      <c r="BH118" s="43" t="e">
        <f t="shared" si="20"/>
        <v>#REF!</v>
      </c>
      <c r="BI118" s="50" t="e">
        <f t="shared" si="12"/>
        <v>#REF!</v>
      </c>
      <c r="BJ118" s="51" t="e">
        <f t="shared" si="13"/>
        <v>#REF!</v>
      </c>
      <c r="BK118" s="52"/>
      <c r="BL118" s="52"/>
      <c r="BM118" s="52"/>
      <c r="BN118" s="52"/>
      <c r="BO118" s="72"/>
      <c r="BP118" s="52"/>
      <c r="BQ118" s="52"/>
      <c r="BR118" s="50" t="s">
        <v>2287</v>
      </c>
      <c r="BS118" s="53"/>
      <c r="BT118" s="53"/>
      <c r="BU118" s="65"/>
      <c r="BV118" s="55"/>
      <c r="BW118" s="55"/>
      <c r="BX118" s="56"/>
      <c r="BY118" s="67"/>
      <c r="BZ118" s="58"/>
    </row>
    <row r="119" spans="1:78" ht="15.75" customHeight="1" x14ac:dyDescent="0.3">
      <c r="A119" s="81" t="s">
        <v>694</v>
      </c>
      <c r="B119" s="38" t="s">
        <v>335</v>
      </c>
      <c r="C119" s="1" t="s">
        <v>336</v>
      </c>
      <c r="D119" s="39" t="s">
        <v>2288</v>
      </c>
      <c r="E119" s="40" t="s">
        <v>337</v>
      </c>
      <c r="F119" s="41" t="s">
        <v>758</v>
      </c>
      <c r="G119" s="42" t="s">
        <v>2289</v>
      </c>
      <c r="H119" s="42" t="s">
        <v>2289</v>
      </c>
      <c r="I119" s="42" t="s">
        <v>2289</v>
      </c>
      <c r="J119" s="42" t="s">
        <v>2290</v>
      </c>
      <c r="K119" s="42" t="s">
        <v>2291</v>
      </c>
      <c r="L119" s="42" t="s">
        <v>2292</v>
      </c>
      <c r="M119" s="42" t="s">
        <v>2293</v>
      </c>
      <c r="N119" s="42" t="s">
        <v>2294</v>
      </c>
      <c r="O119" s="42" t="s">
        <v>2295</v>
      </c>
      <c r="P119" s="42" t="s">
        <v>2296</v>
      </c>
      <c r="Q119" s="42" t="s">
        <v>2297</v>
      </c>
      <c r="R119" s="42" t="s">
        <v>2298</v>
      </c>
      <c r="S119" s="42" t="s">
        <v>2299</v>
      </c>
      <c r="T119" s="42" t="s">
        <v>2300</v>
      </c>
      <c r="U119" s="42" t="s">
        <v>2301</v>
      </c>
      <c r="V119" s="42" t="str">
        <f>VLOOKUP(D119,[1]ALL!$A$15:$Z$983,3,FALSE)</f>
        <v>ACB-EGW</v>
      </c>
      <c r="W119" s="43">
        <v>168944.09276843016</v>
      </c>
      <c r="X119" s="43">
        <v>136108.92221494266</v>
      </c>
      <c r="Y119" s="43">
        <v>136556.53723180646</v>
      </c>
      <c r="Z119" s="43">
        <v>141108.366502305</v>
      </c>
      <c r="AA119" s="43">
        <v>157038.23000000001</v>
      </c>
      <c r="AB119" s="43">
        <v>138034.84</v>
      </c>
      <c r="AC119" s="43">
        <v>126370.72</v>
      </c>
      <c r="AD119" s="43">
        <v>140621.76000000001</v>
      </c>
      <c r="AE119" s="43">
        <v>194404.8</v>
      </c>
      <c r="AF119" s="43">
        <v>211711.8</v>
      </c>
      <c r="AG119" s="43">
        <v>239261.38</v>
      </c>
      <c r="AH119" s="43">
        <v>240200.04</v>
      </c>
      <c r="AI119" s="43">
        <v>252685.55</v>
      </c>
      <c r="AJ119" s="43">
        <v>277475.99</v>
      </c>
      <c r="AK119" s="43">
        <v>315194.31</v>
      </c>
      <c r="AL119" s="44"/>
      <c r="AM119" s="45">
        <f>VLOOKUP($B119,'[2]E.U.'!$R$9:$AZ$205,11,FALSE)</f>
        <v>24236.33</v>
      </c>
      <c r="AN119" s="45">
        <f>VLOOKUP($B119,'[3]E.U.'!$R9:$AZ$225,11,FALSE)</f>
        <v>23818.43</v>
      </c>
      <c r="AO119" s="45">
        <f>VLOOKUP($B119,'[4]E.U.'!$R$9:$BZ$225,11,FALSE)</f>
        <v>26248.856825067425</v>
      </c>
      <c r="AP119" s="45">
        <f>VLOOKUP($B119,'[5]E.U.'!$R$9:$BZ$225,11,FALSE)</f>
        <v>26522.799527935062</v>
      </c>
      <c r="AQ119" s="45">
        <f>VLOOKUP($B119,'[6]E.U.'!$R$9:$CA$225,11,FALSE)</f>
        <v>27849.848411230087</v>
      </c>
      <c r="AR119" s="45">
        <f>VLOOKUP($B119,'[7]E.U.'!$R$9:$AZ$225,11,FALSE)</f>
        <v>25633.16814220688</v>
      </c>
      <c r="AS119" s="45">
        <f>VLOOKUP($B119,'[8]E.U.'!$R$9:$AZ$225,11,FALSE)</f>
        <v>27355.542455572719</v>
      </c>
      <c r="AT119" s="45">
        <f>VLOOKUP($B119,'[9]E.U.'!$R$9:$AZ$221,11,FALSE)</f>
        <v>23345.994171896637</v>
      </c>
      <c r="AU119" s="45"/>
      <c r="AV119" s="45">
        <f>VLOOKUP($B119,'[10]E.U.'!$R$9:$AZ$221,11,FALSE)</f>
        <v>23196.930070252471</v>
      </c>
      <c r="AW119" s="45">
        <f>VLOOKUP($B119,'[11]E.U.'!$R$9:$AZ$220,11,FALSE)</f>
        <v>22526.80029101043</v>
      </c>
      <c r="AX119" s="252"/>
      <c r="AY119" s="45">
        <f>VLOOKUP($B119,'[12]E.U.'!$R$9:$AZ$220,11,FALSE)</f>
        <v>22934.093787315083</v>
      </c>
      <c r="AZ119" s="45"/>
      <c r="BA119" s="45">
        <f>VLOOKUP($B119,'[13]E.U.'!$R$9:$AZ$221,11,FALSE)</f>
        <v>25047.972743579081</v>
      </c>
      <c r="BB119" s="46">
        <f t="shared" si="15"/>
        <v>298716.76642606588</v>
      </c>
      <c r="BC119" s="47" t="e">
        <f>SUM(#REF!)</f>
        <v>#REF!</v>
      </c>
      <c r="BD119" s="43" t="e">
        <f>VLOOKUP(V119,[14]ELECTRIC!$C$1:$H$4000,6,FALSE)</f>
        <v>#N/A</v>
      </c>
      <c r="BE119" s="43" t="e">
        <f t="shared" si="19"/>
        <v>#N/A</v>
      </c>
      <c r="BF119" s="48">
        <f t="shared" si="14"/>
        <v>298716.76642606588</v>
      </c>
      <c r="BG119" s="43">
        <f t="shared" si="18"/>
        <v>520407.28093798191</v>
      </c>
      <c r="BH119" s="43" t="e">
        <f t="shared" si="20"/>
        <v>#REF!</v>
      </c>
      <c r="BI119" s="52" t="e">
        <f t="shared" si="12"/>
        <v>#REF!</v>
      </c>
      <c r="BJ119" s="51">
        <f t="shared" si="13"/>
        <v>-5.2277414442964187E-2</v>
      </c>
      <c r="BK119" s="52"/>
      <c r="BL119" s="52"/>
      <c r="BM119" s="52"/>
      <c r="BN119" s="52"/>
      <c r="BO119" s="72"/>
      <c r="BP119" s="105" t="s">
        <v>2302</v>
      </c>
      <c r="BQ119" s="52"/>
      <c r="BR119" s="50"/>
      <c r="BS119" s="53"/>
      <c r="BT119" s="53"/>
      <c r="BU119" s="65"/>
      <c r="BV119" s="55"/>
      <c r="BW119" s="55"/>
      <c r="BX119" s="56"/>
      <c r="BY119" s="67"/>
      <c r="BZ119" s="58"/>
    </row>
    <row r="120" spans="1:78" ht="15.6" x14ac:dyDescent="0.3">
      <c r="A120" s="81" t="s">
        <v>1359</v>
      </c>
      <c r="B120" s="38" t="s">
        <v>338</v>
      </c>
      <c r="C120" s="1" t="s">
        <v>339</v>
      </c>
      <c r="D120" t="s">
        <v>2303</v>
      </c>
      <c r="E120" s="40" t="s">
        <v>340</v>
      </c>
      <c r="F120" s="41">
        <v>0</v>
      </c>
      <c r="G120" s="42" t="s">
        <v>2304</v>
      </c>
      <c r="H120" s="42" t="s">
        <v>2305</v>
      </c>
      <c r="I120" s="42" t="s">
        <v>2306</v>
      </c>
      <c r="J120" s="42" t="s">
        <v>2307</v>
      </c>
      <c r="K120" s="42" t="s">
        <v>2308</v>
      </c>
      <c r="L120" s="42" t="s">
        <v>2309</v>
      </c>
      <c r="M120" s="42" t="s">
        <v>2310</v>
      </c>
      <c r="N120" s="42" t="s">
        <v>2311</v>
      </c>
      <c r="O120" s="42" t="s">
        <v>2312</v>
      </c>
      <c r="P120" s="42" t="s">
        <v>2313</v>
      </c>
      <c r="Q120" s="42" t="s">
        <v>2314</v>
      </c>
      <c r="R120" s="42" t="s">
        <v>2315</v>
      </c>
      <c r="S120" s="42" t="s">
        <v>2316</v>
      </c>
      <c r="T120" s="42" t="s">
        <v>2317</v>
      </c>
      <c r="U120" s="42" t="s">
        <v>2318</v>
      </c>
      <c r="V120" s="42" t="str">
        <f>VLOOKUP(D120,[1]ALL!$A$15:$Z$983,3,FALSE)</f>
        <v>DMT-ELC</v>
      </c>
      <c r="W120" s="43">
        <v>31448.630216331156</v>
      </c>
      <c r="X120" s="43">
        <v>30280.100534870136</v>
      </c>
      <c r="Y120" s="43">
        <v>29891.122917011358</v>
      </c>
      <c r="Z120" s="43">
        <v>33765.317814711794</v>
      </c>
      <c r="AA120" s="43">
        <v>29856.6</v>
      </c>
      <c r="AB120" s="43">
        <v>29099.1</v>
      </c>
      <c r="AC120" s="43">
        <v>31476.42</v>
      </c>
      <c r="AD120" s="43">
        <v>33177.39</v>
      </c>
      <c r="AE120" s="43">
        <v>37086.94</v>
      </c>
      <c r="AF120" s="43">
        <v>36465.51</v>
      </c>
      <c r="AG120" s="43">
        <v>42353.27</v>
      </c>
      <c r="AH120" s="43">
        <v>40871.78</v>
      </c>
      <c r="AI120" s="43">
        <v>44021.66</v>
      </c>
      <c r="AJ120" s="43">
        <v>49814.879999999997</v>
      </c>
      <c r="AK120" s="43">
        <v>54586.11</v>
      </c>
      <c r="AL120" s="44"/>
      <c r="AM120" s="45">
        <f>VLOOKUP($B120,'[2]E.U.'!$R$9:$AZ$205,11,FALSE)</f>
        <v>4048.91</v>
      </c>
      <c r="AN120" s="45">
        <f>VLOOKUP($B120,'[3]E.U.'!$R9:$AZ$225,11,FALSE)</f>
        <v>3651.08</v>
      </c>
      <c r="AO120" s="45">
        <f>VLOOKUP($B120,'[4]E.U.'!$R$9:$BZ$225,11,FALSE)</f>
        <v>4133.3748491547676</v>
      </c>
      <c r="AP120" s="45">
        <f>VLOOKUP($B120,'[5]E.U.'!$R$9:$BZ$225,11,FALSE)</f>
        <v>4466.5324958822048</v>
      </c>
      <c r="AQ120" s="45">
        <f>VLOOKUP($B120,'[6]E.U.'!$R$9:$CA$225,11,FALSE)</f>
        <v>6906.1910309747373</v>
      </c>
      <c r="AR120" s="45">
        <f>VLOOKUP($B120,'[7]E.U.'!$R$9:$AZ$225,11,FALSE)</f>
        <v>6247.8117086297943</v>
      </c>
      <c r="AS120" s="45">
        <f>VLOOKUP($B120,'[8]E.U.'!$R$9:$AZ$225,11,FALSE)</f>
        <v>5447.3846693084379</v>
      </c>
      <c r="AT120" s="45">
        <f>VLOOKUP($B120,'[9]E.U.'!$R$9:$AZ$221,11,FALSE)</f>
        <v>3971.6221908439306</v>
      </c>
      <c r="AU120" s="45"/>
      <c r="AV120" s="45">
        <f>VLOOKUP($B120,'[10]E.U.'!$R$9:$AZ$221,11,FALSE)</f>
        <v>4061.6562619163556</v>
      </c>
      <c r="AW120" s="45">
        <f>VLOOKUP($B120,'[11]E.U.'!$R$9:$AZ$220,11,FALSE)</f>
        <v>4630.266478732321</v>
      </c>
      <c r="AX120" s="252"/>
      <c r="AY120" s="45">
        <f>VLOOKUP($B120,'[12]E.U.'!$R$9:$AZ$220,11,FALSE)</f>
        <v>4334.629630937844</v>
      </c>
      <c r="AZ120" s="45"/>
      <c r="BA120" s="45">
        <f>VLOOKUP($B120,'[13]E.U.'!$R$9:$AZ$221,11,FALSE)</f>
        <v>4669.3557645060419</v>
      </c>
      <c r="BB120" s="46">
        <f t="shared" si="15"/>
        <v>56568.815080886437</v>
      </c>
      <c r="BC120" s="47" t="e">
        <f>SUM(#REF!)</f>
        <v>#REF!</v>
      </c>
      <c r="BD120" s="43" t="e">
        <f>VLOOKUP(V120,[14]ELECTRIC!$C$1:$H$4000,6,FALSE)</f>
        <v>#N/A</v>
      </c>
      <c r="BE120" s="43" t="e">
        <f t="shared" si="19"/>
        <v>#N/A</v>
      </c>
      <c r="BF120" s="48">
        <f t="shared" si="14"/>
        <v>56568.815080886437</v>
      </c>
      <c r="BG120" s="49">
        <f t="shared" si="18"/>
        <v>98550.957130201437</v>
      </c>
      <c r="BH120" s="43" t="e">
        <f t="shared" si="20"/>
        <v>#REF!</v>
      </c>
      <c r="BI120" s="50" t="e">
        <f t="shared" si="12"/>
        <v>#REF!</v>
      </c>
      <c r="BJ120" s="51">
        <f t="shared" si="13"/>
        <v>3.6322520159184135E-2</v>
      </c>
      <c r="BK120" s="52"/>
      <c r="BL120" s="52"/>
      <c r="BM120" s="52"/>
      <c r="BN120" s="52"/>
      <c r="BO120" s="72"/>
      <c r="BP120" s="52"/>
      <c r="BQ120" s="52"/>
      <c r="BR120" s="50"/>
      <c r="BS120" s="53"/>
      <c r="BT120" s="53"/>
      <c r="BU120" s="65"/>
      <c r="BV120" s="55"/>
      <c r="BW120" s="55"/>
      <c r="BX120" s="56"/>
      <c r="BY120" s="67"/>
      <c r="BZ120" s="58"/>
    </row>
    <row r="121" spans="1:78" ht="15.75" customHeight="1" x14ac:dyDescent="0.3">
      <c r="A121" s="81" t="s">
        <v>1222</v>
      </c>
      <c r="B121" s="38" t="s">
        <v>341</v>
      </c>
      <c r="C121" s="1" t="s">
        <v>342</v>
      </c>
      <c r="D121" s="39" t="s">
        <v>2319</v>
      </c>
      <c r="E121" s="40" t="s">
        <v>343</v>
      </c>
      <c r="F121" s="41" t="s">
        <v>758</v>
      </c>
      <c r="G121" s="42" t="s">
        <v>2320</v>
      </c>
      <c r="H121" s="42" t="s">
        <v>2320</v>
      </c>
      <c r="I121" s="42" t="s">
        <v>2320</v>
      </c>
      <c r="J121" s="42" t="s">
        <v>2321</v>
      </c>
      <c r="K121" s="42" t="s">
        <v>2322</v>
      </c>
      <c r="L121" s="42" t="s">
        <v>2323</v>
      </c>
      <c r="M121" s="42" t="s">
        <v>2324</v>
      </c>
      <c r="N121" s="42" t="s">
        <v>2325</v>
      </c>
      <c r="O121" s="42" t="s">
        <v>2326</v>
      </c>
      <c r="P121" s="42" t="s">
        <v>2327</v>
      </c>
      <c r="Q121" s="42" t="s">
        <v>2328</v>
      </c>
      <c r="R121" s="42" t="s">
        <v>2329</v>
      </c>
      <c r="S121" s="42" t="s">
        <v>2330</v>
      </c>
      <c r="T121" s="42" t="s">
        <v>2331</v>
      </c>
      <c r="U121" s="42" t="s">
        <v>2332</v>
      </c>
      <c r="V121" s="42" t="str">
        <f>VLOOKUP(D121,[1]ALL!$A$15:$Z$983,3,FALSE)</f>
        <v>RAN-EGW</v>
      </c>
      <c r="W121" s="43">
        <v>124989.09</v>
      </c>
      <c r="X121" s="43">
        <v>98969.96</v>
      </c>
      <c r="Y121" s="43">
        <v>93353.743838159993</v>
      </c>
      <c r="Z121" s="43">
        <v>96736.960000000006</v>
      </c>
      <c r="AA121" s="43">
        <v>91000.38</v>
      </c>
      <c r="AB121" s="43">
        <v>90089.01</v>
      </c>
      <c r="AC121" s="43">
        <v>94927.28</v>
      </c>
      <c r="AD121" s="43">
        <v>70847.72</v>
      </c>
      <c r="AE121" s="43">
        <v>137305.64000000001</v>
      </c>
      <c r="AF121" s="43">
        <v>125191.22</v>
      </c>
      <c r="AG121" s="43">
        <v>141737.89000000001</v>
      </c>
      <c r="AH121" s="43">
        <v>140928</v>
      </c>
      <c r="AI121" s="43">
        <v>147228.25</v>
      </c>
      <c r="AJ121" s="43">
        <v>135242.09</v>
      </c>
      <c r="AK121" s="43">
        <v>127924.05</v>
      </c>
      <c r="AL121" s="44"/>
      <c r="AM121" s="45">
        <f>VLOOKUP($B121,'[2]E.U.'!$R$9:$AZ$205,11,FALSE)+VLOOKUP("1530.1",'[2]E.U.'!$R$9:$AZ$205,11,FALSE)</f>
        <v>0</v>
      </c>
      <c r="AN121" s="45">
        <f>VLOOKUP($B121,'[3]E.U.'!$R9:$AZ$225,11,FALSE)+VLOOKUP("1530.1",'[3]E.U.'!$R9:$AZ$225,11,FALSE)</f>
        <v>21013.19</v>
      </c>
      <c r="AO121" s="45">
        <f>VLOOKUP($B121,'[4]E.U.'!$R$9:$BZ$225,11,FALSE)+VLOOKUP("1530.1",'[4]E.U.'!$R$9:$BZ$225,11,FALSE)</f>
        <v>11809.71</v>
      </c>
      <c r="AP121" s="45">
        <f>VLOOKUP($B121,'[5]E.U.'!$R$9:$BZ$225,11,FALSE)+VLOOKUP("1530.1",'[5]E.U.'!$R$9:$BZ$225,11,FALSE)</f>
        <v>12052.46</v>
      </c>
      <c r="AQ121" s="45">
        <f>VLOOKUP($B121,'[6]E.U.'!$R$9:$CA$225,11,FALSE)+VLOOKUP("1530.1",'[6]E.U.'!$R$9:$CA$225,11,FALSE)</f>
        <v>17903.54</v>
      </c>
      <c r="AR121" s="45">
        <f>VLOOKUP($B121,'[7]E.U.'!$R$9:$AZ$225,11,FALSE)+VLOOKUP("1530.1",'[7]E.U.'!$R$9:$AZ$225,11,FALSE)</f>
        <v>12059.970000000001</v>
      </c>
      <c r="AS121" s="45">
        <f>VLOOKUP($B121,'[8]E.U.'!$R$9:$AZ$225,11,FALSE)+VLOOKUP("1530.1",'[8]E.U.'!$R$9:$AZ$225,11,FALSE)</f>
        <v>9415.33</v>
      </c>
      <c r="AT121" s="45">
        <f>VLOOKUP($B121,'[9]E.U.'!$R$9:$AZ$221,11,FALSE)+VLOOKUP("1530.1",'[9]E.U.'!$R$9:$AZ$221,11,FALSE)</f>
        <v>9079.92</v>
      </c>
      <c r="AU121" s="45"/>
      <c r="AV121" s="45">
        <f>VLOOKUP($B121,'[10]E.U.'!$R$9:$AZ$221,11,FALSE)+VLOOKUP("1530.1",'[10]E.U.'!$R$9:$AZ$221,11,FALSE)</f>
        <v>9253.4500000000007</v>
      </c>
      <c r="AW121" s="45">
        <f>VLOOKUP($B121,'[11]E.U.'!$R$9:$AZ$220,11,FALSE)+VLOOKUP("1530.1",'[11]E.U.'!$R$9:$AZ$220,11,FALSE)</f>
        <v>6651.6100000000006</v>
      </c>
      <c r="AX121" s="45"/>
      <c r="AY121" s="45">
        <f>VLOOKUP($B121,'[12]E.U.'!$R$9:$AZ$220,11,FALSE)+VLOOKUP("1530.1",'[12]E.U.'!$R$9:$AZ$220,11,FALSE)</f>
        <v>0</v>
      </c>
      <c r="AZ121" s="45"/>
      <c r="BA121" s="45">
        <f>VLOOKUP($B121,'[13]E.U.'!$R$9:$AZ$221,11,FALSE)+VLOOKUP("1530.1",'[13]E.U.'!$R$9:$AZ$221,11,FALSE)</f>
        <v>0</v>
      </c>
      <c r="BB121" s="46">
        <f t="shared" si="15"/>
        <v>109239.18</v>
      </c>
      <c r="BC121" s="47" t="e">
        <f>SUM(#REF!)</f>
        <v>#REF!</v>
      </c>
      <c r="BD121" s="43" t="e">
        <f>VLOOKUP(V121,[14]ELECTRIC!$C$1:$H$4000,6,FALSE)</f>
        <v>#N/A</v>
      </c>
      <c r="BE121" s="43" t="e">
        <f t="shared" si="19"/>
        <v>#N/A</v>
      </c>
      <c r="BF121" s="48">
        <f t="shared" si="14"/>
        <v>109239.18</v>
      </c>
      <c r="BG121" s="49">
        <f t="shared" si="18"/>
        <v>190310.25715714283</v>
      </c>
      <c r="BH121" s="43" t="e">
        <f t="shared" si="20"/>
        <v>#REF!</v>
      </c>
      <c r="BI121" s="50" t="e">
        <f t="shared" si="12"/>
        <v>#REF!</v>
      </c>
      <c r="BJ121" s="51">
        <f t="shared" si="13"/>
        <v>-0.14606221425916399</v>
      </c>
      <c r="BK121" s="52"/>
      <c r="BL121" s="52"/>
      <c r="BM121" s="52"/>
      <c r="BN121" s="52"/>
      <c r="BO121" s="72"/>
      <c r="BP121" s="52"/>
      <c r="BQ121" s="52"/>
      <c r="BR121" s="50"/>
      <c r="BS121" s="53"/>
      <c r="BT121" s="53"/>
      <c r="BU121" s="65"/>
      <c r="BV121" s="55"/>
      <c r="BW121" s="55"/>
      <c r="BX121" s="66"/>
      <c r="BY121" s="106"/>
      <c r="BZ121" s="68"/>
    </row>
    <row r="122" spans="1:78" ht="15.75" customHeight="1" x14ac:dyDescent="0.3">
      <c r="A122" s="81" t="s">
        <v>1359</v>
      </c>
      <c r="B122" s="38" t="s">
        <v>344</v>
      </c>
      <c r="C122" s="1" t="s">
        <v>345</v>
      </c>
      <c r="D122" t="s">
        <v>2333</v>
      </c>
      <c r="E122" s="40" t="s">
        <v>346</v>
      </c>
      <c r="F122" s="41">
        <v>0</v>
      </c>
      <c r="G122" s="42" t="s">
        <v>2334</v>
      </c>
      <c r="H122" s="42" t="s">
        <v>2334</v>
      </c>
      <c r="I122" s="42" t="s">
        <v>2334</v>
      </c>
      <c r="J122" s="42" t="s">
        <v>2335</v>
      </c>
      <c r="K122" s="42" t="s">
        <v>2336</v>
      </c>
      <c r="L122" s="42" t="s">
        <v>2337</v>
      </c>
      <c r="M122" s="42" t="s">
        <v>2338</v>
      </c>
      <c r="N122" s="42" t="s">
        <v>2339</v>
      </c>
      <c r="O122" s="42" t="s">
        <v>2340</v>
      </c>
      <c r="P122" s="42" t="s">
        <v>2341</v>
      </c>
      <c r="Q122" s="42" t="s">
        <v>2342</v>
      </c>
      <c r="R122" s="42" t="s">
        <v>2343</v>
      </c>
      <c r="S122" s="42" t="s">
        <v>2344</v>
      </c>
      <c r="T122" s="42" t="s">
        <v>2345</v>
      </c>
      <c r="U122" s="42" t="s">
        <v>2346</v>
      </c>
      <c r="V122" s="42" t="str">
        <f>VLOOKUP(D122,[1]ALL!$A$15:$Z$983,3,FALSE)</f>
        <v>KSH-NELC</v>
      </c>
      <c r="W122" s="43">
        <v>17183.979213199644</v>
      </c>
      <c r="X122" s="43">
        <v>15348.57079523203</v>
      </c>
      <c r="Y122" s="43">
        <v>12267.641663530763</v>
      </c>
      <c r="Z122" s="43">
        <v>14316.237526122568</v>
      </c>
      <c r="AA122" s="43">
        <v>13195.27</v>
      </c>
      <c r="AB122" s="43">
        <v>12799.29</v>
      </c>
      <c r="AC122" s="43">
        <v>13305.07</v>
      </c>
      <c r="AD122" s="43">
        <v>7734.95</v>
      </c>
      <c r="AE122" s="43">
        <v>5870.21</v>
      </c>
      <c r="AF122" s="43">
        <v>10731.34</v>
      </c>
      <c r="AG122" s="43">
        <v>12354.29</v>
      </c>
      <c r="AH122" s="43">
        <v>6722.91</v>
      </c>
      <c r="AI122" s="43">
        <v>75802.539999999994</v>
      </c>
      <c r="AJ122" s="43">
        <v>88375.039999999994</v>
      </c>
      <c r="AK122" s="43">
        <v>94948.56</v>
      </c>
      <c r="AL122" s="44"/>
      <c r="AM122" s="45">
        <f>VLOOKUP($B122,'[2]E.U.'!$R$9:$AZ$205,11,FALSE)</f>
        <v>7594.95</v>
      </c>
      <c r="AN122" s="45">
        <f>VLOOKUP($B122,'[3]E.U.'!$R9:$AZ$225,11,FALSE)</f>
        <v>8654.74</v>
      </c>
      <c r="AO122" s="45">
        <f>VLOOKUP($B122,'[4]E.U.'!$R$9:$BZ$225,11,FALSE)</f>
        <v>8678.3860253095645</v>
      </c>
      <c r="AP122" s="45">
        <f>VLOOKUP($B122,'[5]E.U.'!$R$9:$BZ$225,11,FALSE)</f>
        <v>10036.152781956829</v>
      </c>
      <c r="AQ122" s="45">
        <f>VLOOKUP($B122,'[6]E.U.'!$R$9:$CA$225,11,FALSE)</f>
        <v>9888.7340999551034</v>
      </c>
      <c r="AR122" s="45">
        <f>VLOOKUP($B122,'[7]E.U.'!$R$9:$AZ$225,11,FALSE)</f>
        <v>8340.9373240693039</v>
      </c>
      <c r="AS122" s="45">
        <f>VLOOKUP($B122,'[8]E.U.'!$R$9:$AZ$225,11,FALSE)</f>
        <v>7288.2494322601769</v>
      </c>
      <c r="AT122" s="45">
        <f>VLOOKUP($B122,'[9]E.U.'!$R$9:$AZ$221,11,FALSE)</f>
        <v>5476.9917552434181</v>
      </c>
      <c r="AU122" s="45"/>
      <c r="AV122" s="45">
        <f>VLOOKUP($B122,'[10]E.U.'!$R$9:$AZ$221,11,FALSE)</f>
        <v>5660.7221491826622</v>
      </c>
      <c r="AW122" s="45">
        <f>VLOOKUP($B122,'[11]E.U.'!$R$9:$AZ$220,11,FALSE)</f>
        <v>6138.9860186095375</v>
      </c>
      <c r="AX122" s="252"/>
      <c r="AY122" s="45">
        <f>VLOOKUP($B122,'[12]E.U.'!$R$9:$AZ$220,11,FALSE)</f>
        <v>6524.207147385845</v>
      </c>
      <c r="AZ122" s="45"/>
      <c r="BA122" s="45">
        <f>VLOOKUP($B122,'[13]E.U.'!$R$9:$AZ$221,11,FALSE)</f>
        <v>6276.5269811015742</v>
      </c>
      <c r="BB122" s="46">
        <f t="shared" si="15"/>
        <v>90559.583715073997</v>
      </c>
      <c r="BC122" s="47" t="e">
        <f>SUM(#REF!)</f>
        <v>#REF!</v>
      </c>
      <c r="BD122" s="43" t="e">
        <f>VLOOKUP(V122,[14]ELECTRIC!$C$1:$H$4000,6,FALSE)</f>
        <v>#N/A</v>
      </c>
      <c r="BE122" s="242" t="e">
        <f t="shared" si="19"/>
        <v>#N/A</v>
      </c>
      <c r="BF122" s="48">
        <f t="shared" si="14"/>
        <v>90559.583715073997</v>
      </c>
      <c r="BG122" s="49">
        <f t="shared" si="18"/>
        <v>157767.73191504678</v>
      </c>
      <c r="BH122" s="43" t="e">
        <f t="shared" si="20"/>
        <v>#REF!</v>
      </c>
      <c r="BI122" s="50" t="e">
        <f t="shared" si="12"/>
        <v>#REF!</v>
      </c>
      <c r="BJ122" s="51">
        <f t="shared" si="13"/>
        <v>-4.622477986949991E-2</v>
      </c>
      <c r="BK122" s="52"/>
      <c r="BL122" s="52"/>
      <c r="BM122" s="52"/>
      <c r="BN122" s="52"/>
      <c r="BO122" s="105" t="s">
        <v>2347</v>
      </c>
      <c r="BP122" s="52"/>
      <c r="BQ122" s="52"/>
      <c r="BR122" s="50"/>
      <c r="BS122" s="53"/>
      <c r="BT122" s="53"/>
      <c r="BU122" s="65"/>
      <c r="BV122" s="55"/>
      <c r="BW122" s="55"/>
      <c r="BX122" s="56"/>
      <c r="BY122" s="57" t="s">
        <v>2348</v>
      </c>
      <c r="BZ122" s="58"/>
    </row>
    <row r="123" spans="1:78" ht="15.6" x14ac:dyDescent="0.3">
      <c r="A123" s="81" t="s">
        <v>1222</v>
      </c>
      <c r="B123" s="38" t="s">
        <v>347</v>
      </c>
      <c r="C123" s="107" t="s">
        <v>348</v>
      </c>
      <c r="D123" s="39" t="s">
        <v>2349</v>
      </c>
      <c r="E123" s="40" t="s">
        <v>349</v>
      </c>
      <c r="F123" s="41">
        <v>0</v>
      </c>
      <c r="G123" s="42" t="s">
        <v>2350</v>
      </c>
      <c r="H123" s="42" t="s">
        <v>2350</v>
      </c>
      <c r="I123" s="42" t="s">
        <v>2350</v>
      </c>
      <c r="J123" s="42" t="s">
        <v>2351</v>
      </c>
      <c r="K123" s="42" t="s">
        <v>2352</v>
      </c>
      <c r="L123" s="42" t="s">
        <v>2353</v>
      </c>
      <c r="M123" s="42" t="s">
        <v>2354</v>
      </c>
      <c r="N123" s="42" t="s">
        <v>2355</v>
      </c>
      <c r="O123" s="42" t="s">
        <v>2356</v>
      </c>
      <c r="P123" s="42" t="s">
        <v>2357</v>
      </c>
      <c r="Q123" s="42" t="s">
        <v>2358</v>
      </c>
      <c r="R123" s="42" t="s">
        <v>2359</v>
      </c>
      <c r="S123" s="42" t="s">
        <v>2360</v>
      </c>
      <c r="T123" s="42" t="s">
        <v>2361</v>
      </c>
      <c r="U123" s="42" t="s">
        <v>2362</v>
      </c>
      <c r="V123" s="42" t="str">
        <f>VLOOKUP(D123,[1]ALL!$A$15:$Z$983,3,FALSE)</f>
        <v>ONE-EGW</v>
      </c>
      <c r="W123" s="43">
        <v>2981.03</v>
      </c>
      <c r="X123" s="43">
        <v>2994.96</v>
      </c>
      <c r="Y123" s="43">
        <v>3608.16</v>
      </c>
      <c r="Z123" s="43">
        <v>4438.43</v>
      </c>
      <c r="AA123" s="43">
        <v>3643.09</v>
      </c>
      <c r="AB123" s="43">
        <v>4281.97</v>
      </c>
      <c r="AC123" s="43">
        <v>4700.03</v>
      </c>
      <c r="AD123" s="43">
        <v>5539.5</v>
      </c>
      <c r="AE123" s="43">
        <v>5624.88</v>
      </c>
      <c r="AF123" s="43">
        <v>6099.75</v>
      </c>
      <c r="AG123" s="43">
        <v>6402.37</v>
      </c>
      <c r="AH123" s="43">
        <v>6656.23</v>
      </c>
      <c r="AI123" s="43">
        <v>9735.93</v>
      </c>
      <c r="AJ123" s="43">
        <v>10414.01</v>
      </c>
      <c r="AK123" s="43">
        <v>12007</v>
      </c>
      <c r="AL123" s="44"/>
      <c r="AM123" s="45">
        <f>VLOOKUP($B123,'[2]E.U.'!$R$9:$AZ$205,11,FALSE)</f>
        <v>870.91</v>
      </c>
      <c r="AN123" s="45">
        <f>VLOOKUP($B123,'[3]E.U.'!$R9:$AZ$225,11,FALSE)</f>
        <v>1256.8399999999999</v>
      </c>
      <c r="AO123" s="45">
        <f>VLOOKUP($B123,'[4]E.U.'!$R$9:$BZ$225,11,FALSE)</f>
        <v>1072.3700000000001</v>
      </c>
      <c r="AP123" s="45">
        <f>VLOOKUP($B123,'[5]E.U.'!$R$9:$BZ$225,11,FALSE)</f>
        <v>1273.78</v>
      </c>
      <c r="AQ123" s="45">
        <f>VLOOKUP($B123,'[6]E.U.'!$R$9:$CA$225,11,FALSE)</f>
        <v>1496.73</v>
      </c>
      <c r="AR123" s="45">
        <f>VLOOKUP($B123,'[7]E.U.'!$R$9:$AZ$225,11,FALSE)</f>
        <v>1142.8200000000002</v>
      </c>
      <c r="AS123" s="45">
        <f>VLOOKUP($B123,'[8]E.U.'!$R$9:$AZ$225,11,FALSE)</f>
        <v>754.86</v>
      </c>
      <c r="AT123" s="45">
        <f>VLOOKUP($B123,'[9]E.U.'!$R$9:$AZ$221,11,FALSE)</f>
        <v>866.76</v>
      </c>
      <c r="AU123" s="45"/>
      <c r="AV123" s="45">
        <f>VLOOKUP($B123,'[10]E.U.'!$R$9:$AZ$221,11,FALSE)</f>
        <v>902.94</v>
      </c>
      <c r="AW123" s="45">
        <f>VLOOKUP($B123,'[11]E.U.'!$R$9:$AZ$220,11,FALSE)</f>
        <v>716.64</v>
      </c>
      <c r="AX123" s="45"/>
      <c r="AY123" s="45">
        <f>VLOOKUP($B123,'[12]E.U.'!$R$9:$AZ$220,11,FALSE)</f>
        <v>671.32</v>
      </c>
      <c r="AZ123" s="45"/>
      <c r="BA123" s="45">
        <f>VLOOKUP($B123,'[13]E.U.'!$R$9:$AZ$221,11,FALSE)</f>
        <v>698.02</v>
      </c>
      <c r="BB123" s="46">
        <f t="shared" si="15"/>
        <v>11723.989999999998</v>
      </c>
      <c r="BC123" s="47" t="e">
        <f>SUM(#REF!)</f>
        <v>#REF!</v>
      </c>
      <c r="BD123" s="43" t="e">
        <f>VLOOKUP(V123,[14]ELECTRIC!$C$1:$H$4000,6,FALSE)</f>
        <v>#N/A</v>
      </c>
      <c r="BE123" s="43" t="e">
        <f t="shared" si="19"/>
        <v>#N/A</v>
      </c>
      <c r="BF123" s="48">
        <f t="shared" si="14"/>
        <v>11723.989999999998</v>
      </c>
      <c r="BG123" s="49">
        <f t="shared" si="18"/>
        <v>20424.86543571428</v>
      </c>
      <c r="BH123" s="43" t="e">
        <f t="shared" si="20"/>
        <v>#REF!</v>
      </c>
      <c r="BI123" s="50" t="e">
        <f t="shared" si="12"/>
        <v>#REF!</v>
      </c>
      <c r="BJ123" s="51">
        <f t="shared" si="13"/>
        <v>-2.3570417256600473E-2</v>
      </c>
      <c r="BK123" s="52"/>
      <c r="BL123" s="52"/>
      <c r="BM123" s="52"/>
      <c r="BN123" s="52"/>
      <c r="BO123" s="72"/>
      <c r="BP123" s="52"/>
      <c r="BQ123" s="52"/>
      <c r="BR123" s="50"/>
      <c r="BS123" s="53"/>
      <c r="BT123" s="53"/>
      <c r="BU123" s="65"/>
      <c r="BV123" s="55"/>
      <c r="BW123" s="55" t="s">
        <v>2363</v>
      </c>
      <c r="BX123" s="87"/>
      <c r="BY123" s="80" t="s">
        <v>2364</v>
      </c>
      <c r="BZ123" s="58"/>
    </row>
    <row r="124" spans="1:78" ht="15.6" x14ac:dyDescent="0.3">
      <c r="A124" s="81" t="s">
        <v>694</v>
      </c>
      <c r="B124" s="38" t="s">
        <v>350</v>
      </c>
      <c r="C124" s="1" t="s">
        <v>351</v>
      </c>
      <c r="D124" s="39" t="s">
        <v>2365</v>
      </c>
      <c r="E124" s="40" t="s">
        <v>352</v>
      </c>
      <c r="F124" s="41">
        <v>0</v>
      </c>
      <c r="G124" s="42" t="s">
        <v>2366</v>
      </c>
      <c r="H124" s="42" t="s">
        <v>2366</v>
      </c>
      <c r="I124" s="42" t="s">
        <v>2366</v>
      </c>
      <c r="J124" s="42" t="s">
        <v>2367</v>
      </c>
      <c r="K124" s="42" t="s">
        <v>2368</v>
      </c>
      <c r="L124" s="42" t="s">
        <v>2369</v>
      </c>
      <c r="M124" s="42" t="s">
        <v>2370</v>
      </c>
      <c r="N124" s="42" t="s">
        <v>2371</v>
      </c>
      <c r="O124" s="42" t="s">
        <v>2372</v>
      </c>
      <c r="P124" s="42" t="s">
        <v>2373</v>
      </c>
      <c r="Q124" s="42" t="s">
        <v>2374</v>
      </c>
      <c r="R124" s="42" t="s">
        <v>2375</v>
      </c>
      <c r="S124" s="42" t="s">
        <v>2376</v>
      </c>
      <c r="T124" s="42" t="s">
        <v>2377</v>
      </c>
      <c r="U124" s="42" t="s">
        <v>2378</v>
      </c>
      <c r="V124" s="42" t="str">
        <f>VLOOKUP(D124,[1]ALL!$A$15:$Z$983,3,FALSE)</f>
        <v>HRC-EGW</v>
      </c>
      <c r="W124" s="43">
        <v>9515.8748663867082</v>
      </c>
      <c r="X124" s="43">
        <v>10311.044506627004</v>
      </c>
      <c r="Y124" s="43">
        <v>8494.8574540685986</v>
      </c>
      <c r="Z124" s="43">
        <v>9919.7743325854099</v>
      </c>
      <c r="AA124" s="43">
        <v>10767.8</v>
      </c>
      <c r="AB124" s="43">
        <v>10565.58</v>
      </c>
      <c r="AC124" s="43">
        <v>12047.54</v>
      </c>
      <c r="AD124" s="43">
        <v>13937.13</v>
      </c>
      <c r="AE124" s="43">
        <v>15872.66</v>
      </c>
      <c r="AF124" s="43">
        <v>15347.23</v>
      </c>
      <c r="AG124" s="43">
        <v>18709.98</v>
      </c>
      <c r="AH124" s="43">
        <v>18297.759999999998</v>
      </c>
      <c r="AI124" s="43">
        <v>16088.16</v>
      </c>
      <c r="AJ124" s="43">
        <v>16161.51</v>
      </c>
      <c r="AK124" s="43">
        <v>2061.59</v>
      </c>
      <c r="AL124" s="44"/>
      <c r="AM124" s="45">
        <f>VLOOKUP($B124,'[2]E.U.'!$R$9:$AZ$205,11,FALSE)</f>
        <v>0</v>
      </c>
      <c r="AN124" s="45">
        <f>VLOOKUP($B124,'[3]E.U.'!$R9:$AZ$225,11,FALSE)</f>
        <v>0</v>
      </c>
      <c r="AO124" s="45">
        <f>VLOOKUP($B124,'[4]E.U.'!$R$9:$BZ$225,11,FALSE)</f>
        <v>0</v>
      </c>
      <c r="AP124" s="45">
        <f>VLOOKUP($B124,'[5]E.U.'!$R$9:$BZ$225,11,FALSE)</f>
        <v>0</v>
      </c>
      <c r="AQ124" s="45">
        <f>VLOOKUP($B124,'[6]E.U.'!$R$9:$CA$225,11,FALSE)</f>
        <v>0</v>
      </c>
      <c r="AR124" s="45">
        <f>VLOOKUP($B124,'[7]E.U.'!$R$9:$AZ$225,11,FALSE)</f>
        <v>0</v>
      </c>
      <c r="AS124" s="45">
        <f>VLOOKUP($B124,'[8]E.U.'!$R$9:$AZ$225,11,FALSE)</f>
        <v>0</v>
      </c>
      <c r="AT124" s="45">
        <f>VLOOKUP($B124,'[9]E.U.'!$R$9:$AZ$221,11,FALSE)</f>
        <v>0</v>
      </c>
      <c r="AU124" s="45"/>
      <c r="AV124" s="45">
        <f>VLOOKUP($B124,'[10]E.U.'!$R$9:$AZ$221,11,FALSE)</f>
        <v>0</v>
      </c>
      <c r="AW124" s="45" t="e">
        <f>VLOOKUP($B124,'[11]E.U.'!$R$9:$AZ$220,11,FALSE)</f>
        <v>#REF!</v>
      </c>
      <c r="AX124" s="252"/>
      <c r="AY124" s="45" t="e">
        <f>VLOOKUP($B124,'[12]E.U.'!$R$9:$AZ$220,11,FALSE)</f>
        <v>#REF!</v>
      </c>
      <c r="AZ124" s="45"/>
      <c r="BA124" s="45">
        <f>VLOOKUP($B124,'[13]E.U.'!$R$9:$AZ$221,11,FALSE)</f>
        <v>0</v>
      </c>
      <c r="BB124" s="46" t="e">
        <f t="shared" si="15"/>
        <v>#REF!</v>
      </c>
      <c r="BC124" s="47" t="e">
        <f>SUM(#REF!)</f>
        <v>#REF!</v>
      </c>
      <c r="BD124" s="43" t="e">
        <f>VLOOKUP(V124,[14]ELECTRIC!$C$1:$H$4000,6,FALSE)</f>
        <v>#N/A</v>
      </c>
      <c r="BE124" s="43" t="e">
        <f t="shared" si="19"/>
        <v>#REF!</v>
      </c>
      <c r="BF124" s="48" t="e">
        <f t="shared" si="14"/>
        <v>#REF!</v>
      </c>
      <c r="BG124" s="49" t="e">
        <f t="shared" si="18"/>
        <v>#REF!</v>
      </c>
      <c r="BH124" s="43" t="e">
        <f t="shared" si="20"/>
        <v>#REF!</v>
      </c>
      <c r="BI124" s="50" t="e">
        <f t="shared" si="12"/>
        <v>#REF!</v>
      </c>
      <c r="BJ124" s="51" t="e">
        <f t="shared" si="13"/>
        <v>#REF!</v>
      </c>
      <c r="BK124" s="52"/>
      <c r="BL124" s="52"/>
      <c r="BM124" s="52"/>
      <c r="BN124" s="52"/>
      <c r="BO124" s="72"/>
      <c r="BP124" s="52"/>
      <c r="BQ124" s="52"/>
      <c r="BR124" s="71"/>
      <c r="BS124" s="53"/>
      <c r="BT124" s="53"/>
      <c r="BU124" s="65"/>
      <c r="BV124" s="55"/>
      <c r="BW124" s="55"/>
      <c r="BX124" s="56"/>
      <c r="BY124" s="67"/>
      <c r="BZ124" s="58"/>
    </row>
    <row r="125" spans="1:78" ht="15.6" x14ac:dyDescent="0.3">
      <c r="A125" s="81" t="s">
        <v>1359</v>
      </c>
      <c r="B125" s="38" t="s">
        <v>355</v>
      </c>
      <c r="C125" s="63" t="s">
        <v>2379</v>
      </c>
      <c r="D125" t="s">
        <v>2380</v>
      </c>
      <c r="E125" s="40" t="s">
        <v>357</v>
      </c>
      <c r="F125" s="41">
        <v>0</v>
      </c>
      <c r="G125" s="42" t="s">
        <v>1932</v>
      </c>
      <c r="H125" s="42" t="s">
        <v>1932</v>
      </c>
      <c r="I125" s="42" t="s">
        <v>1932</v>
      </c>
      <c r="J125" s="42" t="s">
        <v>2381</v>
      </c>
      <c r="K125" s="42" t="s">
        <v>2382</v>
      </c>
      <c r="L125" s="42" t="s">
        <v>2383</v>
      </c>
      <c r="M125" s="42" t="s">
        <v>2384</v>
      </c>
      <c r="N125" s="42" t="s">
        <v>2385</v>
      </c>
      <c r="O125" s="42" t="s">
        <v>2386</v>
      </c>
      <c r="P125" s="42" t="s">
        <v>2387</v>
      </c>
      <c r="Q125" s="42" t="s">
        <v>2388</v>
      </c>
      <c r="R125" s="42" t="s">
        <v>2389</v>
      </c>
      <c r="S125" s="42" t="s">
        <v>2390</v>
      </c>
      <c r="T125" s="42" t="s">
        <v>2391</v>
      </c>
      <c r="U125" s="42" t="s">
        <v>2392</v>
      </c>
      <c r="V125" s="42" t="str">
        <f>VLOOKUP(D125,[1]ALL!$A$15:$Z$983,3,FALSE)</f>
        <v>PSD-XGW</v>
      </c>
      <c r="W125" s="108">
        <v>52841.463907365251</v>
      </c>
      <c r="X125" s="43">
        <v>42904.159903330066</v>
      </c>
      <c r="Y125" s="43">
        <v>43410.942461737155</v>
      </c>
      <c r="Z125" s="43">
        <v>42667.518440163978</v>
      </c>
      <c r="AA125" s="43">
        <v>44926.52</v>
      </c>
      <c r="AB125" s="43">
        <v>46476.66</v>
      </c>
      <c r="AC125" s="43">
        <v>48350.45</v>
      </c>
      <c r="AD125" s="43">
        <v>54120.33</v>
      </c>
      <c r="AE125" s="43">
        <v>68884.570000000007</v>
      </c>
      <c r="AF125" s="43">
        <v>77593.850000000006</v>
      </c>
      <c r="AG125" s="43">
        <v>84813.87</v>
      </c>
      <c r="AH125" s="43">
        <v>80117.850000000006</v>
      </c>
      <c r="AI125" s="43">
        <v>78614.03</v>
      </c>
      <c r="AJ125" s="43">
        <v>76093.38</v>
      </c>
      <c r="AK125" s="43">
        <v>86809.95</v>
      </c>
      <c r="AL125" s="44"/>
      <c r="AM125" s="45">
        <f>VLOOKUP($B125,'[2]E.U.'!$R$9:$AZ$205,11,FALSE)</f>
        <v>6527.12</v>
      </c>
      <c r="AN125" s="45">
        <f>VLOOKUP($B125,'[3]E.U.'!$R9:$AZ$225,11,FALSE)</f>
        <v>7559.33</v>
      </c>
      <c r="AO125" s="45">
        <f>VLOOKUP($B125,'[4]E.U.'!$R$9:$BZ$225,11,FALSE)</f>
        <v>7838.1399561015287</v>
      </c>
      <c r="AP125" s="45">
        <f>VLOOKUP($B125,'[5]E.U.'!$R$9:$BZ$225,11,FALSE)</f>
        <v>7461.221733448654</v>
      </c>
      <c r="AQ125" s="45">
        <f>VLOOKUP($B125,'[6]E.U.'!$R$9:$CA$225,11,FALSE)</f>
        <v>8483.2955152337545</v>
      </c>
      <c r="AR125" s="45">
        <f>VLOOKUP($B125,'[7]E.U.'!$R$9:$AZ$225,11,FALSE)</f>
        <v>7398.3515829980443</v>
      </c>
      <c r="AS125" s="45">
        <f>VLOOKUP($B125,'[8]E.U.'!$R$9:$AZ$225,11,FALSE)</f>
        <v>7207.1556493355693</v>
      </c>
      <c r="AT125" s="45">
        <f>VLOOKUP($B125,'[9]E.U.'!$R$9:$AZ$221,11,FALSE)</f>
        <v>6329.7622051315084</v>
      </c>
      <c r="AU125" s="45"/>
      <c r="AV125" s="45">
        <f>VLOOKUP($B125,'[10]E.U.'!$R$9:$AZ$221,11,FALSE)</f>
        <v>6250.6702082802931</v>
      </c>
      <c r="AW125" s="45">
        <f>VLOOKUP($B125,'[11]E.U.'!$R$9:$AZ$220,11,FALSE)</f>
        <v>6253.2361113022334</v>
      </c>
      <c r="AX125" s="252"/>
      <c r="AY125" s="45">
        <f>VLOOKUP($B125,'[12]E.U.'!$R$9:$AZ$220,11,FALSE)</f>
        <v>6257.7486626955879</v>
      </c>
      <c r="AZ125" s="45"/>
      <c r="BA125" s="45">
        <f>VLOOKUP($B125,'[13]E.U.'!$R$9:$AZ$221,11,FALSE)</f>
        <v>6149.5929275943909</v>
      </c>
      <c r="BB125" s="46">
        <f t="shared" si="15"/>
        <v>83715.624552121575</v>
      </c>
      <c r="BC125" s="47" t="e">
        <f>SUM(#REF!)</f>
        <v>#REF!</v>
      </c>
      <c r="BD125" s="43" t="e">
        <f>VLOOKUP(V125,[14]ELECTRIC!$C$1:$H$4000,6,FALSE)</f>
        <v>#N/A</v>
      </c>
      <c r="BE125" s="43" t="e">
        <f t="shared" si="19"/>
        <v>#N/A</v>
      </c>
      <c r="BF125" s="48">
        <f t="shared" si="14"/>
        <v>83715.624552121575</v>
      </c>
      <c r="BG125" s="49">
        <f t="shared" si="18"/>
        <v>145844.57734473181</v>
      </c>
      <c r="BH125" s="43" t="e">
        <f t="shared" si="20"/>
        <v>#REF!</v>
      </c>
      <c r="BI125" s="50" t="e">
        <f t="shared" ref="BI125:BI135" si="21">IF(OR(BB125=0,BC125=0),0,ABS(BB125/BC125)-1)</f>
        <v>#REF!</v>
      </c>
      <c r="BJ125" s="51">
        <f t="shared" si="13"/>
        <v>-3.5644824675954978E-2</v>
      </c>
      <c r="BK125" s="52"/>
      <c r="BL125" s="52"/>
      <c r="BM125" s="52"/>
      <c r="BN125" s="52"/>
      <c r="BO125" s="72"/>
      <c r="BP125" s="52"/>
      <c r="BQ125" s="52"/>
      <c r="BR125" s="50"/>
      <c r="BS125" s="53"/>
      <c r="BT125" s="53"/>
      <c r="BU125" s="65"/>
      <c r="BV125" s="55"/>
      <c r="BW125" s="55"/>
      <c r="BX125" s="56"/>
      <c r="BY125" s="57" t="s">
        <v>1296</v>
      </c>
      <c r="BZ125" s="58"/>
    </row>
    <row r="126" spans="1:78" ht="15.6" x14ac:dyDescent="0.3">
      <c r="A126" s="81" t="s">
        <v>1359</v>
      </c>
      <c r="B126" s="38" t="s">
        <v>358</v>
      </c>
      <c r="C126" s="63" t="s">
        <v>2393</v>
      </c>
      <c r="D126" t="s">
        <v>2394</v>
      </c>
      <c r="E126" s="40" t="s">
        <v>360</v>
      </c>
      <c r="F126" s="41">
        <v>0</v>
      </c>
      <c r="G126" s="42" t="s">
        <v>2395</v>
      </c>
      <c r="H126" s="42" t="s">
        <v>2396</v>
      </c>
      <c r="I126" s="42" t="s">
        <v>2397</v>
      </c>
      <c r="J126" s="42" t="s">
        <v>2398</v>
      </c>
      <c r="K126" s="42" t="s">
        <v>2399</v>
      </c>
      <c r="L126" s="42" t="s">
        <v>2400</v>
      </c>
      <c r="M126" s="42" t="s">
        <v>2401</v>
      </c>
      <c r="N126" s="42" t="s">
        <v>2402</v>
      </c>
      <c r="O126" s="42" t="s">
        <v>2403</v>
      </c>
      <c r="P126" s="42" t="s">
        <v>2404</v>
      </c>
      <c r="Q126" s="42" t="s">
        <v>2405</v>
      </c>
      <c r="R126" s="42" t="s">
        <v>2406</v>
      </c>
      <c r="S126" s="42" t="s">
        <v>2407</v>
      </c>
      <c r="T126" s="42" t="s">
        <v>2408</v>
      </c>
      <c r="U126" s="42" t="s">
        <v>2409</v>
      </c>
      <c r="V126" s="42" t="str">
        <f>VLOOKUP(D126,[1]ALL!$A$15:$Z$983,3,FALSE)</f>
        <v>PSD-ELC</v>
      </c>
      <c r="W126" s="108">
        <v>41981.743690573036</v>
      </c>
      <c r="X126" s="43">
        <v>29572.116733171548</v>
      </c>
      <c r="Y126" s="43">
        <v>29780.27100437805</v>
      </c>
      <c r="Z126" s="43">
        <v>31920.197181934</v>
      </c>
      <c r="AA126" s="43">
        <v>29904.41</v>
      </c>
      <c r="AB126" s="43">
        <v>29815.52</v>
      </c>
      <c r="AC126" s="43">
        <v>31780.61</v>
      </c>
      <c r="AD126" s="43">
        <v>33063.89</v>
      </c>
      <c r="AE126" s="43">
        <v>38930.61</v>
      </c>
      <c r="AF126" s="43">
        <v>41805.440000000002</v>
      </c>
      <c r="AG126" s="43">
        <v>42909.52</v>
      </c>
      <c r="AH126" s="43">
        <v>43876.75</v>
      </c>
      <c r="AI126" s="43">
        <v>44516.57</v>
      </c>
      <c r="AJ126" s="43">
        <v>48685.25</v>
      </c>
      <c r="AK126" s="43">
        <v>50264.02</v>
      </c>
      <c r="AL126" s="44"/>
      <c r="AM126" s="45">
        <f>VLOOKUP($B126,'[2]E.U.'!$R$9:$AZ$205,11,FALSE)</f>
        <v>4189.4799999999996</v>
      </c>
      <c r="AN126" s="45">
        <f>VLOOKUP($B126,'[3]E.U.'!$R9:$AZ$225,11,FALSE)</f>
        <v>4559.99</v>
      </c>
      <c r="AO126" s="45">
        <f>VLOOKUP($B126,'[4]E.U.'!$R$9:$BZ$225,11,FALSE)</f>
        <v>4770.6268869041405</v>
      </c>
      <c r="AP126" s="45">
        <f>VLOOKUP($B126,'[5]E.U.'!$R$9:$BZ$225,11,FALSE)</f>
        <v>4430.0372960654804</v>
      </c>
      <c r="AQ126" s="45">
        <f>VLOOKUP($B126,'[6]E.U.'!$R$9:$CA$225,11,FALSE)</f>
        <v>4731.3794092673497</v>
      </c>
      <c r="AR126" s="45">
        <f>VLOOKUP($B126,'[7]E.U.'!$R$9:$AZ$225,11,FALSE)</f>
        <v>4231.1000306784345</v>
      </c>
      <c r="AS126" s="45">
        <f>VLOOKUP($B126,'[8]E.U.'!$R$9:$AZ$225,11,FALSE)</f>
        <v>4842.4208929414463</v>
      </c>
      <c r="AT126" s="45">
        <f>VLOOKUP($B126,'[9]E.U.'!$R$9:$AZ$221,11,FALSE)</f>
        <v>4446.7282204074036</v>
      </c>
      <c r="AU126" s="45"/>
      <c r="AV126" s="45">
        <f>VLOOKUP($B126,'[10]E.U.'!$R$9:$AZ$221,11,FALSE)</f>
        <v>4331.3630085718005</v>
      </c>
      <c r="AW126" s="45">
        <f>VLOOKUP($B126,'[11]E.U.'!$R$9:$AZ$220,11,FALSE)</f>
        <v>3964.1736725707142</v>
      </c>
      <c r="AX126" s="252"/>
      <c r="AY126" s="45">
        <f>VLOOKUP($B126,'[12]E.U.'!$R$9:$AZ$220,11,FALSE)</f>
        <v>4090.167683423329</v>
      </c>
      <c r="AZ126" s="45"/>
      <c r="BA126" s="45">
        <f>VLOOKUP($B126,'[13]E.U.'!$R$9:$AZ$221,11,FALSE)</f>
        <v>3782.5987875415613</v>
      </c>
      <c r="BB126" s="46">
        <f t="shared" si="15"/>
        <v>52370.065888371661</v>
      </c>
      <c r="BC126" s="47" t="e">
        <f>SUM(#REF!)</f>
        <v>#REF!</v>
      </c>
      <c r="BD126" s="43" t="e">
        <f>VLOOKUP(V126,[14]ELECTRIC!$C$1:$H$4000,6,FALSE)</f>
        <v>#N/A</v>
      </c>
      <c r="BE126" s="43" t="e">
        <f t="shared" si="19"/>
        <v>#N/A</v>
      </c>
      <c r="BF126" s="48">
        <f t="shared" si="14"/>
        <v>52370.065888371661</v>
      </c>
      <c r="BG126" s="49">
        <f t="shared" si="18"/>
        <v>91236.136215527484</v>
      </c>
      <c r="BH126" s="43" t="e">
        <f t="shared" si="20"/>
        <v>#REF!</v>
      </c>
      <c r="BI126" s="50" t="e">
        <f t="shared" si="21"/>
        <v>#REF!</v>
      </c>
      <c r="BJ126" s="51">
        <f t="shared" si="13"/>
        <v>4.1899670746025963E-2</v>
      </c>
      <c r="BK126" s="52"/>
      <c r="BL126" s="52"/>
      <c r="BM126" s="52"/>
      <c r="BN126" s="52"/>
      <c r="BO126" s="72"/>
      <c r="BP126" s="52"/>
      <c r="BQ126" s="52"/>
      <c r="BR126" s="50"/>
      <c r="BS126" s="53"/>
      <c r="BT126" s="53"/>
      <c r="BU126" s="65"/>
      <c r="BV126" s="55"/>
      <c r="BW126" s="55"/>
      <c r="BX126" s="56"/>
      <c r="BY126" s="57" t="s">
        <v>1296</v>
      </c>
      <c r="BZ126" s="58"/>
    </row>
    <row r="127" spans="1:78" ht="15.6" x14ac:dyDescent="0.3">
      <c r="A127" s="81" t="s">
        <v>1222</v>
      </c>
      <c r="B127" s="38" t="s">
        <v>361</v>
      </c>
      <c r="C127" s="1" t="s">
        <v>362</v>
      </c>
      <c r="D127" s="39" t="s">
        <v>2410</v>
      </c>
      <c r="E127" s="40" t="s">
        <v>363</v>
      </c>
      <c r="F127" s="41">
        <v>0</v>
      </c>
      <c r="G127" s="42" t="s">
        <v>2411</v>
      </c>
      <c r="H127" s="42" t="s">
        <v>2411</v>
      </c>
      <c r="I127" s="42" t="s">
        <v>2411</v>
      </c>
      <c r="J127" s="42" t="s">
        <v>2412</v>
      </c>
      <c r="K127" s="42" t="s">
        <v>2413</v>
      </c>
      <c r="L127" s="42" t="s">
        <v>2414</v>
      </c>
      <c r="M127" s="42" t="s">
        <v>2415</v>
      </c>
      <c r="N127" s="42" t="s">
        <v>2416</v>
      </c>
      <c r="O127" s="42" t="s">
        <v>2417</v>
      </c>
      <c r="P127" s="42" t="s">
        <v>2418</v>
      </c>
      <c r="Q127" s="42" t="s">
        <v>2419</v>
      </c>
      <c r="R127" s="42" t="s">
        <v>2420</v>
      </c>
      <c r="S127" s="42" t="s">
        <v>2421</v>
      </c>
      <c r="T127" s="42" t="s">
        <v>2422</v>
      </c>
      <c r="U127" s="42" t="s">
        <v>2423</v>
      </c>
      <c r="V127" s="42" t="str">
        <f>VLOOKUP(D127,[1]ALL!$A$15:$Z$983,3,FALSE)</f>
        <v>ELB-EGW</v>
      </c>
      <c r="W127" s="43">
        <v>40141.11</v>
      </c>
      <c r="X127" s="43">
        <v>31843.32</v>
      </c>
      <c r="Y127" s="43">
        <v>32827.72</v>
      </c>
      <c r="Z127" s="43">
        <v>33356.61</v>
      </c>
      <c r="AA127" s="43">
        <v>25664.01</v>
      </c>
      <c r="AB127" s="43">
        <v>16329.94</v>
      </c>
      <c r="AC127" s="43">
        <v>17189.349999999999</v>
      </c>
      <c r="AD127" s="43">
        <v>11841.08</v>
      </c>
      <c r="AE127" s="43">
        <v>10245.08</v>
      </c>
      <c r="AF127" s="43">
        <v>13254.89</v>
      </c>
      <c r="AG127" s="43">
        <v>17135.75</v>
      </c>
      <c r="AH127" s="43">
        <v>13340.27</v>
      </c>
      <c r="AI127" s="43">
        <v>13820.21</v>
      </c>
      <c r="AJ127" s="43">
        <v>15022.73</v>
      </c>
      <c r="AK127" s="43">
        <v>19684.23</v>
      </c>
      <c r="AL127" s="44"/>
      <c r="AM127" s="45">
        <f>VLOOKUP($B127,'[2]E.U.'!$R$9:$AZ$205,11,FALSE)</f>
        <v>1184.4000000000001</v>
      </c>
      <c r="AN127" s="45">
        <f>VLOOKUP($B127,'[3]E.U.'!$R9:$AZ$225,11,FALSE)</f>
        <v>1341.64</v>
      </c>
      <c r="AO127" s="45">
        <f>VLOOKUP($B127,'[4]E.U.'!$R$9:$BZ$225,11,FALSE)</f>
        <v>2409.16</v>
      </c>
      <c r="AP127" s="45">
        <f>VLOOKUP($B127,'[5]E.U.'!$R$9:$BZ$225,11,FALSE)</f>
        <v>2194.46</v>
      </c>
      <c r="AQ127" s="45">
        <f>VLOOKUP($B127,'[6]E.U.'!$R$9:$CA$225,11,FALSE)</f>
        <v>2259.4899999999998</v>
      </c>
      <c r="AR127" s="45">
        <f>VLOOKUP($B127,'[7]E.U.'!$R$9:$AZ$225,11,FALSE)</f>
        <v>1954.8899999999999</v>
      </c>
      <c r="AS127" s="45">
        <f>VLOOKUP($B127,'[8]E.U.'!$R$9:$AZ$225,11,FALSE)</f>
        <v>1941.71</v>
      </c>
      <c r="AT127" s="45">
        <f>VLOOKUP($B127,'[9]E.U.'!$R$9:$AZ$221,11,FALSE)</f>
        <v>1824.8200000000002</v>
      </c>
      <c r="AU127" s="45"/>
      <c r="AV127" s="45">
        <f>VLOOKUP($B127,'[10]E.U.'!$R$9:$AZ$221,11,FALSE)</f>
        <v>2080.6000000000004</v>
      </c>
      <c r="AW127" s="45">
        <f>VLOOKUP($B127,'[11]E.U.'!$R$9:$AZ$220,11,FALSE)</f>
        <v>1109.48</v>
      </c>
      <c r="AX127" s="45"/>
      <c r="AY127" s="45">
        <f>VLOOKUP($B127,'[12]E.U.'!$R$9:$AZ$220,11,FALSE)</f>
        <v>1176.03</v>
      </c>
      <c r="AZ127" s="45"/>
      <c r="BA127" s="45">
        <f>VLOOKUP($B127,'[13]E.U.'!$R$9:$AZ$221,11,FALSE)</f>
        <v>1229.3400000000001</v>
      </c>
      <c r="BB127" s="46">
        <f t="shared" si="15"/>
        <v>20706.019999999997</v>
      </c>
      <c r="BC127" s="47" t="e">
        <f>SUM(#REF!)</f>
        <v>#REF!</v>
      </c>
      <c r="BD127" s="43" t="e">
        <f>VLOOKUP(V127,[14]ELECTRIC!$C$1:$H$4000,6,FALSE)</f>
        <v>#N/A</v>
      </c>
      <c r="BE127" s="43" t="e">
        <f t="shared" si="19"/>
        <v>#N/A</v>
      </c>
      <c r="BF127" s="48">
        <f t="shared" si="14"/>
        <v>20706.019999999997</v>
      </c>
      <c r="BG127" s="49">
        <f t="shared" si="18"/>
        <v>36072.844842857136</v>
      </c>
      <c r="BH127" s="43" t="e">
        <f t="shared" si="20"/>
        <v>#REF!</v>
      </c>
      <c r="BI127" s="50" t="e">
        <f t="shared" si="21"/>
        <v>#REF!</v>
      </c>
      <c r="BJ127" s="51">
        <f t="shared" si="13"/>
        <v>5.1909066293169603E-2</v>
      </c>
      <c r="BK127" s="52"/>
      <c r="BL127" s="52"/>
      <c r="BM127" s="52"/>
      <c r="BN127" s="52"/>
      <c r="BO127" s="72"/>
      <c r="BP127" s="52"/>
      <c r="BQ127" s="52"/>
      <c r="BR127" s="50" t="s">
        <v>2424</v>
      </c>
      <c r="BS127" s="53" t="e">
        <f>(BB127-BC127)/BC127</f>
        <v>#REF!</v>
      </c>
      <c r="BT127" s="53"/>
      <c r="BU127" s="65"/>
      <c r="BV127" s="55"/>
      <c r="BW127" s="55" t="s">
        <v>2425</v>
      </c>
      <c r="BX127" s="56"/>
      <c r="BY127" s="67"/>
      <c r="BZ127" s="58"/>
    </row>
    <row r="128" spans="1:78" ht="15.6" x14ac:dyDescent="0.3">
      <c r="A128" s="81" t="s">
        <v>694</v>
      </c>
      <c r="B128" s="38" t="s">
        <v>364</v>
      </c>
      <c r="C128" s="1" t="s">
        <v>365</v>
      </c>
      <c r="D128" s="39" t="s">
        <v>2426</v>
      </c>
      <c r="E128" s="40" t="s">
        <v>366</v>
      </c>
      <c r="F128" s="41" t="s">
        <v>758</v>
      </c>
      <c r="G128" s="42" t="s">
        <v>2427</v>
      </c>
      <c r="H128" s="42" t="s">
        <v>2427</v>
      </c>
      <c r="I128" s="42" t="s">
        <v>2427</v>
      </c>
      <c r="J128" s="42" t="s">
        <v>2428</v>
      </c>
      <c r="K128" s="42" t="s">
        <v>2429</v>
      </c>
      <c r="L128" s="42" t="s">
        <v>2430</v>
      </c>
      <c r="M128" s="42" t="s">
        <v>2431</v>
      </c>
      <c r="N128" s="42" t="s">
        <v>2432</v>
      </c>
      <c r="O128" s="42" t="s">
        <v>2433</v>
      </c>
      <c r="P128" s="42" t="s">
        <v>2434</v>
      </c>
      <c r="Q128" s="42" t="s">
        <v>2435</v>
      </c>
      <c r="R128" s="42" t="s">
        <v>2436</v>
      </c>
      <c r="S128" s="42" t="s">
        <v>2437</v>
      </c>
      <c r="T128" s="42" t="s">
        <v>2438</v>
      </c>
      <c r="U128" s="42" t="s">
        <v>2439</v>
      </c>
      <c r="V128" s="42" t="str">
        <f>VLOOKUP(D128,[1]ALL!$A$15:$Z$983,3,FALSE)</f>
        <v>LHI-EGW</v>
      </c>
      <c r="W128" s="43">
        <v>261831.69608766187</v>
      </c>
      <c r="X128" s="43">
        <v>245318.72622336395</v>
      </c>
      <c r="Y128" s="43">
        <v>256049.19888441911</v>
      </c>
      <c r="Z128" s="43">
        <v>258179.14449750553</v>
      </c>
      <c r="AA128" s="43">
        <v>253774.67</v>
      </c>
      <c r="AB128" s="43">
        <v>240019.23</v>
      </c>
      <c r="AC128" s="43">
        <v>208297.67</v>
      </c>
      <c r="AD128" s="43">
        <v>129425.25</v>
      </c>
      <c r="AE128" s="43">
        <v>167690.92000000001</v>
      </c>
      <c r="AF128" s="43">
        <v>196105.67</v>
      </c>
      <c r="AG128" s="43">
        <v>209691.36</v>
      </c>
      <c r="AH128" s="43">
        <v>205292.24</v>
      </c>
      <c r="AI128" s="43">
        <v>197528.34</v>
      </c>
      <c r="AJ128" s="43">
        <v>197678.79</v>
      </c>
      <c r="AK128" s="43">
        <v>140477.21</v>
      </c>
      <c r="AL128" s="44"/>
      <c r="AM128" s="45">
        <f>VLOOKUP($B128,'[2]E.U.'!$R$9:$AZ$205,11,FALSE)</f>
        <v>9763.07</v>
      </c>
      <c r="AN128" s="45">
        <f>VLOOKUP($B128,'[3]E.U.'!$R9:$AZ$225,11,FALSE)</f>
        <v>8848.6</v>
      </c>
      <c r="AO128" s="45">
        <f>VLOOKUP($B128,'[4]E.U.'!$R$9:$BZ$225,11,FALSE)</f>
        <v>9978.5886954195357</v>
      </c>
      <c r="AP128" s="45">
        <f>VLOOKUP($B128,'[5]E.U.'!$R$9:$BZ$225,11,FALSE)</f>
        <v>9303.8932822951738</v>
      </c>
      <c r="AQ128" s="45">
        <f>VLOOKUP($B128,'[6]E.U.'!$R$9:$CA$225,11,FALSE)</f>
        <v>9245.8009064819944</v>
      </c>
      <c r="AR128" s="45">
        <f>VLOOKUP($B128,'[7]E.U.'!$R$9:$AZ$225,11,FALSE)</f>
        <v>8023.4184773967299</v>
      </c>
      <c r="AS128" s="45">
        <f>VLOOKUP($B128,'[8]E.U.'!$R$9:$AZ$225,11,FALSE)</f>
        <v>8861.5796697628866</v>
      </c>
      <c r="AT128" s="45">
        <f>VLOOKUP($B128,'[9]E.U.'!$R$9:$AZ$221,11,FALSE)</f>
        <v>9047.2617979018687</v>
      </c>
      <c r="AU128" s="45"/>
      <c r="AV128" s="45">
        <f>VLOOKUP($B128,'[10]E.U.'!$R$9:$AZ$221,11,FALSE)</f>
        <v>9690.6150572609968</v>
      </c>
      <c r="AW128" s="45">
        <f>VLOOKUP($B128,'[11]E.U.'!$R$9:$AZ$220,11,FALSE)</f>
        <v>9313.8539382776235</v>
      </c>
      <c r="AX128" s="252"/>
      <c r="AY128" s="45">
        <f>VLOOKUP($B128,'[12]E.U.'!$R$9:$AZ$220,11,FALSE)</f>
        <v>9051.3242840781877</v>
      </c>
      <c r="AZ128" s="45"/>
      <c r="BA128" s="45">
        <f>VLOOKUP($B128,'[13]E.U.'!$R$9:$AZ$221,11,FALSE)</f>
        <v>8124.2023745753895</v>
      </c>
      <c r="BB128" s="46">
        <f t="shared" si="15"/>
        <v>109252.20848345038</v>
      </c>
      <c r="BC128" s="47" t="e">
        <f>SUM(#REF!)</f>
        <v>#REF!</v>
      </c>
      <c r="BD128" s="43" t="e">
        <f>VLOOKUP(V128,[14]ELECTRIC!$C$1:$H$4000,6,FALSE)</f>
        <v>#N/A</v>
      </c>
      <c r="BE128" s="43" t="e">
        <f t="shared" si="19"/>
        <v>#N/A</v>
      </c>
      <c r="BF128" s="48">
        <f t="shared" si="14"/>
        <v>109252.20848345038</v>
      </c>
      <c r="BG128" s="43">
        <f t="shared" si="18"/>
        <v>190332.9546365253</v>
      </c>
      <c r="BH128" s="43" t="e">
        <f t="shared" si="20"/>
        <v>#REF!</v>
      </c>
      <c r="BI128" s="52" t="e">
        <f t="shared" si="21"/>
        <v>#REF!</v>
      </c>
      <c r="BJ128" s="51">
        <f t="shared" si="13"/>
        <v>-0.2222780586014601</v>
      </c>
      <c r="BK128" s="52"/>
      <c r="BL128" s="52"/>
      <c r="BM128" s="52"/>
      <c r="BN128" s="52"/>
      <c r="BO128" s="72" t="s">
        <v>2440</v>
      </c>
      <c r="BP128" s="72" t="s">
        <v>2441</v>
      </c>
      <c r="BQ128" s="52"/>
      <c r="BR128" s="50"/>
      <c r="BS128" s="53"/>
      <c r="BT128" s="53"/>
      <c r="BU128" s="65"/>
      <c r="BV128" s="55"/>
      <c r="BW128" s="55"/>
      <c r="BX128" s="56"/>
      <c r="BY128" s="67"/>
      <c r="BZ128" s="58"/>
    </row>
    <row r="129" spans="1:78" ht="15.6" x14ac:dyDescent="0.3">
      <c r="A129" s="81" t="s">
        <v>694</v>
      </c>
      <c r="B129" s="38" t="s">
        <v>367</v>
      </c>
      <c r="C129" s="1" t="s">
        <v>368</v>
      </c>
      <c r="D129" s="39" t="s">
        <v>2442</v>
      </c>
      <c r="E129" s="40" t="s">
        <v>369</v>
      </c>
      <c r="F129" s="41">
        <v>0</v>
      </c>
      <c r="G129" s="42" t="s">
        <v>2443</v>
      </c>
      <c r="H129" s="42" t="s">
        <v>2443</v>
      </c>
      <c r="I129" s="42" t="s">
        <v>2443</v>
      </c>
      <c r="J129" s="42" t="s">
        <v>2444</v>
      </c>
      <c r="K129" s="42" t="s">
        <v>2445</v>
      </c>
      <c r="L129" s="42" t="s">
        <v>2446</v>
      </c>
      <c r="M129" s="42" t="s">
        <v>2447</v>
      </c>
      <c r="N129" s="42" t="s">
        <v>2448</v>
      </c>
      <c r="O129" s="42" t="s">
        <v>2449</v>
      </c>
      <c r="P129" s="42" t="s">
        <v>2450</v>
      </c>
      <c r="Q129" s="42" t="s">
        <v>2451</v>
      </c>
      <c r="R129" s="42" t="s">
        <v>2452</v>
      </c>
      <c r="S129" s="42" t="s">
        <v>2453</v>
      </c>
      <c r="T129" s="42" t="s">
        <v>2454</v>
      </c>
      <c r="U129" s="42" t="s">
        <v>2455</v>
      </c>
      <c r="V129" s="42" t="str">
        <f>VLOOKUP(D129,[1]ALL!$A$15:$Z$983,3,FALSE)</f>
        <v>IMS-EGW</v>
      </c>
      <c r="W129" s="43">
        <v>3848.4091961402401</v>
      </c>
      <c r="X129" s="43">
        <v>3812.0872407414654</v>
      </c>
      <c r="Y129" s="43">
        <v>4808.503873325968</v>
      </c>
      <c r="Z129" s="43">
        <v>5068.5574652879768</v>
      </c>
      <c r="AA129" s="43">
        <v>5083.08</v>
      </c>
      <c r="AB129" s="43">
        <v>5194.2700000000004</v>
      </c>
      <c r="AC129" s="43">
        <v>5547.17</v>
      </c>
      <c r="AD129" s="43">
        <v>5423.67</v>
      </c>
      <c r="AE129" s="43">
        <v>6046.4</v>
      </c>
      <c r="AF129" s="43">
        <v>5188.37</v>
      </c>
      <c r="AG129" s="43">
        <v>4824.1400000000003</v>
      </c>
      <c r="AH129" s="43">
        <v>1975.46</v>
      </c>
      <c r="AI129" s="43">
        <v>0</v>
      </c>
      <c r="AJ129" s="43">
        <v>0</v>
      </c>
      <c r="AK129" s="43"/>
      <c r="AL129" s="44"/>
      <c r="AM129" s="45">
        <f>VLOOKUP($B129,'[2]E.U.'!$R$9:$AZ$205,11,FALSE)</f>
        <v>0</v>
      </c>
      <c r="AN129" s="45">
        <f>VLOOKUP($B129,'[3]E.U.'!$R9:$AZ$225,11,FALSE)</f>
        <v>0</v>
      </c>
      <c r="AO129" s="45">
        <f>VLOOKUP($B129,'[4]E.U.'!$R$9:$BZ$225,11,FALSE)</f>
        <v>0</v>
      </c>
      <c r="AP129" s="45">
        <f>VLOOKUP($B129,'[5]E.U.'!$R$9:$BZ$225,11,FALSE)</f>
        <v>0</v>
      </c>
      <c r="AQ129" s="45">
        <f>VLOOKUP($B129,'[6]E.U.'!$R$9:$CA$225,11,FALSE)</f>
        <v>0</v>
      </c>
      <c r="AR129" s="45">
        <f>VLOOKUP($B129,'[7]E.U.'!$R$9:$AZ$225,11,FALSE)</f>
        <v>0</v>
      </c>
      <c r="AS129" s="45">
        <f>VLOOKUP($B129,'[8]E.U.'!$R$9:$AZ$225,11,FALSE)</f>
        <v>0</v>
      </c>
      <c r="AT129" s="45">
        <f>VLOOKUP($B129,'[9]E.U.'!$R$9:$AZ$221,11,FALSE)</f>
        <v>0</v>
      </c>
      <c r="AU129" s="45"/>
      <c r="AV129" s="45">
        <f>VLOOKUP($B129,'[10]E.U.'!$R$9:$AZ$221,11,FALSE)</f>
        <v>0</v>
      </c>
      <c r="AW129" s="45" t="e">
        <f>VLOOKUP($B129,'[11]E.U.'!$R$9:$AZ$220,11,FALSE)</f>
        <v>#REF!</v>
      </c>
      <c r="AX129" s="45"/>
      <c r="AY129" s="45" t="e">
        <f>VLOOKUP($B129,'[12]E.U.'!$R$9:$AZ$220,11,FALSE)</f>
        <v>#REF!</v>
      </c>
      <c r="AZ129" s="45"/>
      <c r="BA129" s="45">
        <f>VLOOKUP($B129,'[13]E.U.'!$R$9:$AZ$221,11,FALSE)</f>
        <v>0</v>
      </c>
      <c r="BB129" s="46" t="e">
        <f t="shared" si="15"/>
        <v>#REF!</v>
      </c>
      <c r="BC129" s="47" t="e">
        <f>SUM(#REF!)</f>
        <v>#REF!</v>
      </c>
      <c r="BD129" s="43"/>
      <c r="BE129" s="43" t="e">
        <f t="shared" si="19"/>
        <v>#REF!</v>
      </c>
      <c r="BF129" s="48" t="e">
        <f t="shared" si="14"/>
        <v>#REF!</v>
      </c>
      <c r="BG129" s="49" t="e">
        <f t="shared" si="18"/>
        <v>#REF!</v>
      </c>
      <c r="BH129" s="43" t="e">
        <f t="shared" si="20"/>
        <v>#REF!</v>
      </c>
      <c r="BI129" s="50" t="e">
        <f t="shared" si="21"/>
        <v>#REF!</v>
      </c>
      <c r="BJ129" s="51" t="e">
        <f t="shared" si="13"/>
        <v>#REF!</v>
      </c>
      <c r="BK129" s="52"/>
      <c r="BL129" s="52"/>
      <c r="BM129" s="52"/>
      <c r="BN129" s="52"/>
      <c r="BO129" s="72"/>
      <c r="BP129" s="52"/>
      <c r="BQ129" s="52"/>
      <c r="BR129" s="50"/>
      <c r="BS129" s="53"/>
      <c r="BT129" s="53"/>
      <c r="BU129" s="65"/>
      <c r="BV129" s="55"/>
      <c r="BW129" s="55"/>
      <c r="BX129" s="56"/>
      <c r="BY129" s="67"/>
      <c r="BZ129" s="58"/>
    </row>
    <row r="130" spans="1:78" ht="15.6" x14ac:dyDescent="0.3">
      <c r="A130" s="81" t="s">
        <v>694</v>
      </c>
      <c r="B130" s="38" t="s">
        <v>370</v>
      </c>
      <c r="C130" s="1" t="s">
        <v>371</v>
      </c>
      <c r="D130" s="39" t="s">
        <v>2456</v>
      </c>
      <c r="E130" s="40" t="s">
        <v>372</v>
      </c>
      <c r="F130" s="41" t="s">
        <v>758</v>
      </c>
      <c r="G130" s="42" t="s">
        <v>2457</v>
      </c>
      <c r="H130" s="42" t="s">
        <v>2457</v>
      </c>
      <c r="I130" s="42" t="s">
        <v>2457</v>
      </c>
      <c r="J130" s="42" t="s">
        <v>2458</v>
      </c>
      <c r="K130" s="42" t="s">
        <v>2459</v>
      </c>
      <c r="L130" s="42" t="s">
        <v>2460</v>
      </c>
      <c r="M130" s="42" t="s">
        <v>2461</v>
      </c>
      <c r="N130" s="42" t="s">
        <v>2462</v>
      </c>
      <c r="O130" s="42" t="s">
        <v>2463</v>
      </c>
      <c r="P130" s="42" t="s">
        <v>2464</v>
      </c>
      <c r="Q130" s="42" t="s">
        <v>2465</v>
      </c>
      <c r="R130" s="42" t="s">
        <v>2466</v>
      </c>
      <c r="S130" s="42" t="s">
        <v>2467</v>
      </c>
      <c r="T130" s="42" t="s">
        <v>2468</v>
      </c>
      <c r="U130" s="42" t="s">
        <v>2469</v>
      </c>
      <c r="V130" s="42" t="str">
        <f>VLOOKUP(D130,[1]ALL!$A$15:$Z$983,3,FALSE)</f>
        <v>GFS-EGW</v>
      </c>
      <c r="W130" s="43">
        <v>91773.236293535374</v>
      </c>
      <c r="X130" s="43">
        <v>50874.168151913909</v>
      </c>
      <c r="Y130" s="43">
        <v>47520.021609849122</v>
      </c>
      <c r="Z130" s="43">
        <v>55779.621049594716</v>
      </c>
      <c r="AA130" s="43">
        <v>57464.959999999999</v>
      </c>
      <c r="AB130" s="43">
        <v>71015.509999999995</v>
      </c>
      <c r="AC130" s="43">
        <v>63360.06</v>
      </c>
      <c r="AD130" s="43">
        <v>73228.320000000007</v>
      </c>
      <c r="AE130" s="43">
        <v>69017.63</v>
      </c>
      <c r="AF130" s="43">
        <v>78353.289999999994</v>
      </c>
      <c r="AG130" s="43">
        <v>88080.35</v>
      </c>
      <c r="AH130" s="43">
        <v>81458.2</v>
      </c>
      <c r="AI130" s="43">
        <v>83963.71</v>
      </c>
      <c r="AJ130" s="43">
        <v>77476.19</v>
      </c>
      <c r="AK130" s="43">
        <v>93309.86</v>
      </c>
      <c r="AL130" s="44"/>
      <c r="AM130" s="45">
        <f>VLOOKUP($B130,'[2]E.U.'!$R$9:$AZ$205,11,FALSE)</f>
        <v>6761.56</v>
      </c>
      <c r="AN130" s="45">
        <f>VLOOKUP($B130,'[3]E.U.'!$R9:$AZ$225,11,FALSE)</f>
        <v>7320.04</v>
      </c>
      <c r="AO130" s="45">
        <f>VLOOKUP($B130,'[4]E.U.'!$R$9:$BZ$225,11,FALSE)</f>
        <v>6319.3348927020279</v>
      </c>
      <c r="AP130" s="45">
        <f>VLOOKUP($B130,'[5]E.U.'!$R$9:$BZ$225,11,FALSE)</f>
        <v>6818.6574472867605</v>
      </c>
      <c r="AQ130" s="45">
        <f>VLOOKUP($B130,'[6]E.U.'!$R$9:$CA$225,11,FALSE)</f>
        <v>7422.1086756707564</v>
      </c>
      <c r="AR130" s="45">
        <f>VLOOKUP($B130,'[7]E.U.'!$R$9:$AZ$225,11,FALSE)</f>
        <v>7023.9864139495376</v>
      </c>
      <c r="AS130" s="45">
        <f>VLOOKUP($B130,'[8]E.U.'!$R$9:$AZ$225,11,FALSE)</f>
        <v>7801.0491981181758</v>
      </c>
      <c r="AT130" s="45">
        <f>VLOOKUP($B130,'[9]E.U.'!$R$9:$AZ$221,11,FALSE)</f>
        <v>6716.2175458464135</v>
      </c>
      <c r="AU130" s="45"/>
      <c r="AV130" s="45">
        <f>VLOOKUP($B130,'[10]E.U.'!$R$9:$AZ$221,11,FALSE)</f>
        <v>6926.1624814951674</v>
      </c>
      <c r="AW130" s="45">
        <f>VLOOKUP($B130,'[11]E.U.'!$R$9:$AZ$220,11,FALSE)</f>
        <v>7001.73545490377</v>
      </c>
      <c r="AX130" s="252"/>
      <c r="AY130" s="45">
        <f>VLOOKUP($B130,'[12]E.U.'!$R$9:$AZ$220,11,FALSE)</f>
        <v>6963.832801231134</v>
      </c>
      <c r="AZ130" s="45"/>
      <c r="BA130" s="45">
        <f>VLOOKUP($B130,'[13]E.U.'!$R$9:$AZ$221,11,FALSE)</f>
        <v>6795.1599225689833</v>
      </c>
      <c r="BB130" s="46">
        <f t="shared" si="15"/>
        <v>83869.844833772746</v>
      </c>
      <c r="BC130" s="47" t="e">
        <f>SUM(#REF!)</f>
        <v>#REF!</v>
      </c>
      <c r="BD130" s="43" t="e">
        <f>VLOOKUP(V130,[14]ELECTRIC!$C$1:$H$4000,6,FALSE)</f>
        <v>#N/A</v>
      </c>
      <c r="BE130" s="43" t="e">
        <f t="shared" si="19"/>
        <v>#N/A</v>
      </c>
      <c r="BF130" s="48">
        <f t="shared" si="14"/>
        <v>83869.844833772746</v>
      </c>
      <c r="BG130" s="49">
        <f t="shared" si="18"/>
        <v>146113.25110683695</v>
      </c>
      <c r="BH130" s="43" t="e">
        <f t="shared" si="20"/>
        <v>#REF!</v>
      </c>
      <c r="BI130" s="50" t="e">
        <f t="shared" si="21"/>
        <v>#REF!</v>
      </c>
      <c r="BJ130" s="51">
        <f t="shared" si="13"/>
        <v>-0.10116846350672115</v>
      </c>
      <c r="BK130" s="52"/>
      <c r="BL130" s="52"/>
      <c r="BM130" s="52"/>
      <c r="BN130" s="52"/>
      <c r="BO130" s="72" t="s">
        <v>2470</v>
      </c>
      <c r="BP130" s="52"/>
      <c r="BQ130" s="52"/>
      <c r="BR130" s="50"/>
      <c r="BS130" s="75" t="s">
        <v>2471</v>
      </c>
      <c r="BT130" s="53"/>
      <c r="BU130" s="109" t="s">
        <v>2472</v>
      </c>
      <c r="BV130" s="55"/>
      <c r="BW130" s="55"/>
      <c r="BX130" s="56" t="s">
        <v>2473</v>
      </c>
      <c r="BY130" s="67"/>
      <c r="BZ130" s="58"/>
    </row>
    <row r="131" spans="1:78" ht="15.6" x14ac:dyDescent="0.3">
      <c r="A131" s="81" t="s">
        <v>1222</v>
      </c>
      <c r="B131" s="38" t="s">
        <v>373</v>
      </c>
      <c r="C131" s="1" t="s">
        <v>374</v>
      </c>
      <c r="D131" s="39" t="s">
        <v>2474</v>
      </c>
      <c r="E131" s="40" t="s">
        <v>375</v>
      </c>
      <c r="F131" s="41">
        <v>0</v>
      </c>
      <c r="G131" s="42" t="s">
        <v>2475</v>
      </c>
      <c r="H131" s="42" t="s">
        <v>2475</v>
      </c>
      <c r="I131" s="42" t="s">
        <v>2475</v>
      </c>
      <c r="J131" s="42" t="s">
        <v>2476</v>
      </c>
      <c r="K131" s="42" t="s">
        <v>2477</v>
      </c>
      <c r="L131" s="42" t="s">
        <v>2478</v>
      </c>
      <c r="M131" s="42" t="s">
        <v>2479</v>
      </c>
      <c r="N131" s="42" t="s">
        <v>2480</v>
      </c>
      <c r="O131" s="42" t="s">
        <v>2481</v>
      </c>
      <c r="P131" s="42" t="s">
        <v>2482</v>
      </c>
      <c r="Q131" s="42" t="s">
        <v>2483</v>
      </c>
      <c r="R131" s="42" t="s">
        <v>2484</v>
      </c>
      <c r="S131" s="42" t="s">
        <v>2485</v>
      </c>
      <c r="T131" s="42" t="s">
        <v>2486</v>
      </c>
      <c r="U131" s="42" t="s">
        <v>2487</v>
      </c>
      <c r="V131" s="42" t="str">
        <f>VLOOKUP(D131,[1]ALL!$A$15:$Z$983,3,FALSE)</f>
        <v>GEH-EGW</v>
      </c>
      <c r="W131" s="43">
        <v>376.3</v>
      </c>
      <c r="X131" s="43">
        <v>330.93</v>
      </c>
      <c r="Y131" s="43">
        <v>335.76</v>
      </c>
      <c r="Z131" s="43">
        <v>337.51</v>
      </c>
      <c r="AA131" s="43">
        <v>447.03</v>
      </c>
      <c r="AB131" s="43">
        <v>374.88</v>
      </c>
      <c r="AC131" s="43">
        <v>371.95</v>
      </c>
      <c r="AD131" s="43">
        <v>373.53</v>
      </c>
      <c r="AE131" s="43">
        <v>446.67</v>
      </c>
      <c r="AF131" s="43">
        <v>471.74</v>
      </c>
      <c r="AG131" s="43">
        <v>477.35</v>
      </c>
      <c r="AH131" s="43">
        <v>457.21</v>
      </c>
      <c r="AI131" s="43">
        <v>1045.05</v>
      </c>
      <c r="AJ131" s="43">
        <v>1169.5999999999999</v>
      </c>
      <c r="AK131" s="43">
        <v>1269.8399999999999</v>
      </c>
      <c r="AL131" s="44"/>
      <c r="AM131" s="45">
        <f>VLOOKUP($B131,'[2]E.U.'!$R$9:$AZ$205,11,FALSE)</f>
        <v>91.98</v>
      </c>
      <c r="AN131" s="45">
        <f>VLOOKUP($B131,'[3]E.U.'!$R9:$AZ$225,11,FALSE)</f>
        <v>89.1</v>
      </c>
      <c r="AO131" s="45">
        <f>VLOOKUP($B131,'[4]E.U.'!$R$9:$BZ$225,11,FALSE)</f>
        <v>84.95</v>
      </c>
      <c r="AP131" s="45">
        <f>VLOOKUP($B131,'[5]E.U.'!$R$9:$BZ$225,11,FALSE)</f>
        <v>91.7</v>
      </c>
      <c r="AQ131" s="45">
        <f>VLOOKUP($B131,'[6]E.U.'!$R$9:$CA$225,11,FALSE)</f>
        <v>135.21</v>
      </c>
      <c r="AR131" s="45">
        <f>VLOOKUP($B131,'[7]E.U.'!$R$9:$AZ$225,11,FALSE)</f>
        <v>107.62</v>
      </c>
      <c r="AS131" s="45">
        <f>VLOOKUP($B131,'[8]E.U.'!$R$9:$AZ$225,11,FALSE)</f>
        <v>114.12</v>
      </c>
      <c r="AT131" s="45">
        <f>VLOOKUP($B131,'[9]E.U.'!$R$9:$AZ$221,11,FALSE)</f>
        <v>11</v>
      </c>
      <c r="AU131" s="45"/>
      <c r="AV131" s="45">
        <f>VLOOKUP($B131,'[10]E.U.'!$R$9:$AZ$221,11,FALSE)</f>
        <v>242.19</v>
      </c>
      <c r="AW131" s="45">
        <f>VLOOKUP($B131,'[11]E.U.'!$R$9:$AZ$220,11,FALSE)</f>
        <v>93.35</v>
      </c>
      <c r="AX131" s="45"/>
      <c r="AY131" s="45">
        <f>VLOOKUP($B131,'[12]E.U.'!$R$9:$AZ$220,11,FALSE)</f>
        <v>80.930000000000007</v>
      </c>
      <c r="AZ131" s="45"/>
      <c r="BA131" s="45">
        <f>VLOOKUP($B131,'[13]E.U.'!$R$9:$AZ$221,11,FALSE)</f>
        <v>71.75</v>
      </c>
      <c r="BB131" s="46">
        <f t="shared" si="15"/>
        <v>1213.8999999999999</v>
      </c>
      <c r="BC131" s="47" t="e">
        <f>SUM(#REF!)</f>
        <v>#REF!</v>
      </c>
      <c r="BD131" s="43" t="e">
        <f>VLOOKUP(V131,[14]ELECTRIC!$C$1:$H$4000,6,FALSE)</f>
        <v>#N/A</v>
      </c>
      <c r="BE131" s="43" t="e">
        <f t="shared" si="19"/>
        <v>#N/A</v>
      </c>
      <c r="BF131" s="48">
        <f t="shared" si="14"/>
        <v>1213.8999999999999</v>
      </c>
      <c r="BG131" s="49">
        <f t="shared" si="18"/>
        <v>2114.7872142857141</v>
      </c>
      <c r="BH131" s="43" t="e">
        <f t="shared" si="20"/>
        <v>#REF!</v>
      </c>
      <c r="BI131" s="50" t="e">
        <f t="shared" si="21"/>
        <v>#REF!</v>
      </c>
      <c r="BJ131" s="51">
        <f t="shared" si="13"/>
        <v>-4.4052794052794053E-2</v>
      </c>
      <c r="BK131" s="52"/>
      <c r="BL131" s="52"/>
      <c r="BM131" s="52"/>
      <c r="BN131" s="52"/>
      <c r="BO131" s="72"/>
      <c r="BP131" s="52"/>
      <c r="BQ131" s="52"/>
      <c r="BR131" s="50"/>
      <c r="BS131" s="53"/>
      <c r="BT131" s="53"/>
      <c r="BU131" s="65"/>
      <c r="BV131" s="55"/>
      <c r="BW131" s="55"/>
      <c r="BX131" s="56"/>
      <c r="BY131" s="67"/>
      <c r="BZ131" s="58"/>
    </row>
    <row r="132" spans="1:78" ht="15.6" x14ac:dyDescent="0.3">
      <c r="A132" s="81" t="s">
        <v>1359</v>
      </c>
      <c r="B132" s="38" t="s">
        <v>376</v>
      </c>
      <c r="C132" s="110" t="s">
        <v>377</v>
      </c>
      <c r="D132" s="39" t="s">
        <v>2488</v>
      </c>
      <c r="E132" s="64" t="s">
        <v>378</v>
      </c>
      <c r="F132" s="41">
        <v>0</v>
      </c>
      <c r="G132" s="42" t="s">
        <v>1992</v>
      </c>
      <c r="H132" s="42" t="s">
        <v>1992</v>
      </c>
      <c r="I132" s="42" t="s">
        <v>1992</v>
      </c>
      <c r="J132" s="42" t="s">
        <v>2489</v>
      </c>
      <c r="K132" s="42" t="s">
        <v>2490</v>
      </c>
      <c r="L132" s="42" t="s">
        <v>2491</v>
      </c>
      <c r="M132" s="42" t="s">
        <v>2492</v>
      </c>
      <c r="N132" s="42" t="s">
        <v>2493</v>
      </c>
      <c r="O132" s="42" t="s">
        <v>2494</v>
      </c>
      <c r="P132" s="42" t="s">
        <v>2495</v>
      </c>
      <c r="Q132" s="42" t="s">
        <v>2496</v>
      </c>
      <c r="R132" s="42" t="s">
        <v>2497</v>
      </c>
      <c r="S132" s="42" t="s">
        <v>2498</v>
      </c>
      <c r="T132" s="42" t="s">
        <v>2499</v>
      </c>
      <c r="U132" s="42" t="s">
        <v>2500</v>
      </c>
      <c r="V132" s="42" t="str">
        <f>VLOOKUP(D132,[1]ALL!$A$15:$Z$983,3,FALSE)</f>
        <v>GEX-EGW</v>
      </c>
      <c r="W132" s="43">
        <v>164.69</v>
      </c>
      <c r="X132" s="43">
        <v>152.72999999999999</v>
      </c>
      <c r="Y132" s="43">
        <v>160.75</v>
      </c>
      <c r="Z132" s="43">
        <v>163.46</v>
      </c>
      <c r="AA132" s="43">
        <v>183.07</v>
      </c>
      <c r="AB132" s="43">
        <v>178.76</v>
      </c>
      <c r="AC132" s="43">
        <v>198.69</v>
      </c>
      <c r="AD132" s="43">
        <v>194.93</v>
      </c>
      <c r="AE132" s="43">
        <v>227.31</v>
      </c>
      <c r="AF132" s="43">
        <v>244.54</v>
      </c>
      <c r="AG132" s="43">
        <v>257.43</v>
      </c>
      <c r="AH132" s="43">
        <v>333.83</v>
      </c>
      <c r="AI132" s="43">
        <v>79.61</v>
      </c>
      <c r="AJ132" s="43">
        <v>0</v>
      </c>
      <c r="AK132" s="43">
        <v>0</v>
      </c>
      <c r="AL132" s="44"/>
      <c r="AM132" s="45">
        <f>VLOOKUP($B132,'[2]E.U.'!$R$9:$AZ$205,11,FALSE)</f>
        <v>0</v>
      </c>
      <c r="AN132" s="45">
        <f>VLOOKUP($B132,'[3]E.U.'!$R9:$AZ$225,11,FALSE)</f>
        <v>0</v>
      </c>
      <c r="AO132" s="45">
        <f>VLOOKUP($B132,'[4]E.U.'!$R$9:$BZ$225,11,FALSE)</f>
        <v>0</v>
      </c>
      <c r="AP132" s="45">
        <f>VLOOKUP($B132,'[5]E.U.'!$R$9:$BZ$225,11,FALSE)</f>
        <v>0</v>
      </c>
      <c r="AQ132" s="45">
        <f>VLOOKUP($B132,'[6]E.U.'!$R$9:$CA$225,11,FALSE)</f>
        <v>0</v>
      </c>
      <c r="AR132" s="45">
        <f>VLOOKUP($B132,'[7]E.U.'!$R$9:$AZ$225,11,FALSE)</f>
        <v>0</v>
      </c>
      <c r="AS132" s="45">
        <f>VLOOKUP($B132,'[8]E.U.'!$R$9:$AZ$225,11,FALSE)</f>
        <v>0</v>
      </c>
      <c r="AT132" s="45">
        <f>VLOOKUP($B132,'[9]E.U.'!$R$9:$AZ$221,11,FALSE)</f>
        <v>0</v>
      </c>
      <c r="AU132" s="45"/>
      <c r="AV132" s="45">
        <f>VLOOKUP($B132,'[10]E.U.'!$R$9:$AZ$221,11,FALSE)</f>
        <v>0</v>
      </c>
      <c r="AW132" s="45">
        <f>VLOOKUP($B132,'[11]E.U.'!$R$9:$AZ$220,11,FALSE)</f>
        <v>0</v>
      </c>
      <c r="AX132" s="45"/>
      <c r="AY132" s="45">
        <f>VLOOKUP($B132,'[12]E.U.'!$R$9:$AZ$220,11,FALSE)</f>
        <v>0</v>
      </c>
      <c r="AZ132" s="45"/>
      <c r="BA132" s="45">
        <f>VLOOKUP($B132,'[13]E.U.'!$R$9:$AZ$221,11,FALSE)</f>
        <v>0</v>
      </c>
      <c r="BB132" s="46">
        <f t="shared" si="15"/>
        <v>0</v>
      </c>
      <c r="BC132" s="47" t="e">
        <f>SUM(#REF!)</f>
        <v>#REF!</v>
      </c>
      <c r="BD132" s="43" t="e">
        <f>VLOOKUP(V132,[14]ELECTRIC!$C$1:$H$4000,6,FALSE)</f>
        <v>#N/A</v>
      </c>
      <c r="BE132" s="43" t="e">
        <f t="shared" si="19"/>
        <v>#N/A</v>
      </c>
      <c r="BF132" s="48">
        <f t="shared" si="14"/>
        <v>0</v>
      </c>
      <c r="BG132" s="49">
        <f t="shared" si="18"/>
        <v>0</v>
      </c>
      <c r="BH132" s="43" t="e">
        <f t="shared" si="20"/>
        <v>#REF!</v>
      </c>
      <c r="BI132" s="50" t="e">
        <f t="shared" si="21"/>
        <v>#REF!</v>
      </c>
      <c r="BJ132" s="51">
        <f t="shared" si="13"/>
        <v>0</v>
      </c>
      <c r="BK132" s="52"/>
      <c r="BL132" s="52"/>
      <c r="BM132" s="52"/>
      <c r="BN132" s="52"/>
      <c r="BO132" s="72"/>
      <c r="BP132" s="52"/>
      <c r="BQ132" s="52"/>
      <c r="BR132" s="50"/>
      <c r="BS132" s="53"/>
      <c r="BT132" s="53"/>
      <c r="BU132" s="65"/>
      <c r="BV132" s="55"/>
      <c r="BW132" s="55"/>
      <c r="BX132" s="56"/>
      <c r="BY132" s="67"/>
      <c r="BZ132" s="58"/>
    </row>
    <row r="133" spans="1:78" ht="15.6" x14ac:dyDescent="0.3">
      <c r="A133" s="81" t="s">
        <v>1359</v>
      </c>
      <c r="B133" s="38" t="s">
        <v>379</v>
      </c>
      <c r="C133" s="1" t="s">
        <v>380</v>
      </c>
      <c r="D133" t="s">
        <v>2501</v>
      </c>
      <c r="E133" s="40" t="s">
        <v>381</v>
      </c>
      <c r="F133" s="41">
        <v>0</v>
      </c>
      <c r="G133" s="42" t="s">
        <v>2502</v>
      </c>
      <c r="H133" s="42" t="s">
        <v>2503</v>
      </c>
      <c r="I133" s="42" t="s">
        <v>2504</v>
      </c>
      <c r="J133" s="42" t="s">
        <v>2505</v>
      </c>
      <c r="K133" s="42" t="s">
        <v>2506</v>
      </c>
      <c r="L133" s="42" t="s">
        <v>2507</v>
      </c>
      <c r="M133" s="42" t="s">
        <v>2508</v>
      </c>
      <c r="N133" s="42" t="s">
        <v>2509</v>
      </c>
      <c r="O133" s="42" t="s">
        <v>2510</v>
      </c>
      <c r="P133" s="42" t="s">
        <v>2511</v>
      </c>
      <c r="Q133" s="42" t="s">
        <v>2512</v>
      </c>
      <c r="R133" s="42" t="s">
        <v>2513</v>
      </c>
      <c r="S133" s="42" t="s">
        <v>2514</v>
      </c>
      <c r="T133" s="42" t="s">
        <v>2515</v>
      </c>
      <c r="U133" s="42" t="s">
        <v>2516</v>
      </c>
      <c r="V133" s="42" t="str">
        <f>VLOOKUP(D133,[1]ALL!$A$15:$Z$983,3,FALSE)</f>
        <v>PTD-ELC</v>
      </c>
      <c r="W133" s="43">
        <v>36788.138052428039</v>
      </c>
      <c r="X133" s="43">
        <v>33616.67682720389</v>
      </c>
      <c r="Y133" s="43">
        <v>36186.965895320602</v>
      </c>
      <c r="Z133" s="43">
        <v>35993.536918493119</v>
      </c>
      <c r="AA133" s="43">
        <v>34489.97</v>
      </c>
      <c r="AB133" s="43">
        <v>31054.68</v>
      </c>
      <c r="AC133" s="43">
        <v>30767.01</v>
      </c>
      <c r="AD133" s="43">
        <v>24710.400000000001</v>
      </c>
      <c r="AE133" s="43">
        <v>28735.29</v>
      </c>
      <c r="AF133" s="43">
        <v>36544.870000000003</v>
      </c>
      <c r="AG133" s="43">
        <v>38662.660000000003</v>
      </c>
      <c r="AH133" s="43">
        <v>39335</v>
      </c>
      <c r="AI133" s="43">
        <v>42024.69</v>
      </c>
      <c r="AJ133" s="43">
        <v>44319.41</v>
      </c>
      <c r="AK133" s="43">
        <v>44567.1</v>
      </c>
      <c r="AL133" s="44"/>
      <c r="AM133" s="45">
        <f>VLOOKUP($B133,'[2]E.U.'!$R$9:$AZ$205,11,FALSE)</f>
        <v>3488.78</v>
      </c>
      <c r="AN133" s="45">
        <f>VLOOKUP($B133,'[3]E.U.'!$R9:$AZ$225,11,FALSE)</f>
        <v>2838.65</v>
      </c>
      <c r="AO133" s="45">
        <f>VLOOKUP($B133,'[4]E.U.'!$R$9:$BZ$225,11,FALSE)</f>
        <v>3216.094853926933</v>
      </c>
      <c r="AP133" s="45">
        <f>VLOOKUP($B133,'[5]E.U.'!$R$9:$BZ$225,11,FALSE)</f>
        <v>3967.6530758565068</v>
      </c>
      <c r="AQ133" s="45">
        <f>VLOOKUP($B133,'[6]E.U.'!$R$9:$CA$225,11,FALSE)</f>
        <v>6086.2953224194071</v>
      </c>
      <c r="AR133" s="45">
        <f>VLOOKUP($B133,'[7]E.U.'!$R$9:$AZ$225,11,FALSE)</f>
        <v>4966.0416531978644</v>
      </c>
      <c r="AS133" s="45">
        <f>VLOOKUP($B133,'[8]E.U.'!$R$9:$AZ$225,11,FALSE)</f>
        <v>4360.1933976256178</v>
      </c>
      <c r="AT133" s="45">
        <f>VLOOKUP($B133,'[9]E.U.'!$R$9:$AZ$221,11,FALSE)</f>
        <v>3251.7938625666839</v>
      </c>
      <c r="AU133" s="45"/>
      <c r="AV133" s="45">
        <f>VLOOKUP($B133,'[10]E.U.'!$R$9:$AZ$221,11,FALSE)</f>
        <v>3352.5165196841399</v>
      </c>
      <c r="AW133" s="45">
        <f>VLOOKUP($B133,'[11]E.U.'!$R$9:$AZ$220,11,FALSE)</f>
        <v>3672.1991626667163</v>
      </c>
      <c r="AX133" s="252"/>
      <c r="AY133" s="45">
        <f>VLOOKUP($B133,'[12]E.U.'!$R$9:$AZ$220,11,FALSE)</f>
        <v>3485.3104403409884</v>
      </c>
      <c r="AZ133" s="45"/>
      <c r="BA133" s="45">
        <f>VLOOKUP($B133,'[13]E.U.'!$R$9:$AZ$221,11,FALSE)</f>
        <v>3588.5306813993843</v>
      </c>
      <c r="BB133" s="46">
        <f t="shared" si="15"/>
        <v>46274.058969684236</v>
      </c>
      <c r="BC133" s="47" t="e">
        <f>SUM(#REF!)</f>
        <v>#REF!</v>
      </c>
      <c r="BD133" s="43" t="e">
        <f>VLOOKUP(V133,[14]ELECTRIC!$C$1:$H$4000,6,FALSE)</f>
        <v>#N/A</v>
      </c>
      <c r="BE133" s="43" t="e">
        <f t="shared" si="19"/>
        <v>#N/A</v>
      </c>
      <c r="BF133" s="48">
        <f t="shared" si="14"/>
        <v>46274.058969684236</v>
      </c>
      <c r="BG133" s="49">
        <f t="shared" si="18"/>
        <v>80616.021305042741</v>
      </c>
      <c r="BH133" s="43" t="e">
        <f t="shared" si="20"/>
        <v>#REF!</v>
      </c>
      <c r="BI133" s="50" t="e">
        <f t="shared" si="21"/>
        <v>#REF!</v>
      </c>
      <c r="BJ133" s="51">
        <f t="shared" si="13"/>
        <v>3.8300875975422199E-2</v>
      </c>
      <c r="BK133" s="52"/>
      <c r="BL133" s="52"/>
      <c r="BM133" s="52"/>
      <c r="BN133" s="52"/>
      <c r="BO133" s="72" t="s">
        <v>2517</v>
      </c>
      <c r="BP133" s="52"/>
      <c r="BQ133" s="52"/>
      <c r="BR133" s="50"/>
      <c r="BS133" s="53"/>
      <c r="BT133" s="53"/>
      <c r="BU133" s="65"/>
      <c r="BV133" s="55"/>
      <c r="BW133" s="55"/>
      <c r="BX133" s="56"/>
      <c r="BY133" s="57" t="s">
        <v>1296</v>
      </c>
      <c r="BZ133" s="58"/>
    </row>
    <row r="134" spans="1:78" ht="15.6" x14ac:dyDescent="0.3">
      <c r="A134" s="81" t="s">
        <v>1359</v>
      </c>
      <c r="B134" s="38" t="s">
        <v>382</v>
      </c>
      <c r="C134" s="1" t="s">
        <v>383</v>
      </c>
      <c r="D134" t="s">
        <v>2518</v>
      </c>
      <c r="E134" s="40" t="s">
        <v>384</v>
      </c>
      <c r="F134" s="41">
        <v>0</v>
      </c>
      <c r="G134" s="42" t="s">
        <v>2519</v>
      </c>
      <c r="H134" s="42" t="s">
        <v>2520</v>
      </c>
      <c r="I134" s="42" t="s">
        <v>2521</v>
      </c>
      <c r="J134" s="42" t="s">
        <v>2522</v>
      </c>
      <c r="K134" s="42" t="s">
        <v>2523</v>
      </c>
      <c r="L134" s="42" t="s">
        <v>2524</v>
      </c>
      <c r="M134" s="42" t="s">
        <v>2525</v>
      </c>
      <c r="N134" s="42" t="s">
        <v>2526</v>
      </c>
      <c r="O134" s="42" t="s">
        <v>2527</v>
      </c>
      <c r="P134" s="42" t="s">
        <v>2528</v>
      </c>
      <c r="Q134" s="42" t="s">
        <v>2529</v>
      </c>
      <c r="R134" s="42" t="s">
        <v>2530</v>
      </c>
      <c r="S134" s="42" t="s">
        <v>2531</v>
      </c>
      <c r="T134" s="42" t="s">
        <v>2532</v>
      </c>
      <c r="U134" s="42" t="s">
        <v>2533</v>
      </c>
      <c r="V134" s="42" t="str">
        <f>VLOOKUP(D134,[1]ALL!$A$15:$Z$983,3,FALSE)</f>
        <v>PSA1-ELC</v>
      </c>
      <c r="W134" s="43">
        <v>21256.309903705409</v>
      </c>
      <c r="X134" s="43">
        <v>32692.716355342753</v>
      </c>
      <c r="Y134" s="43">
        <v>38804.07888555633</v>
      </c>
      <c r="Z134" s="43">
        <v>37670.146114305368</v>
      </c>
      <c r="AA134" s="43">
        <v>35041.67</v>
      </c>
      <c r="AB134" s="43">
        <v>37365.06</v>
      </c>
      <c r="AC134" s="43">
        <v>39080.94</v>
      </c>
      <c r="AD134" s="43">
        <v>42101.66</v>
      </c>
      <c r="AE134" s="43">
        <v>45266.63</v>
      </c>
      <c r="AF134" s="43">
        <v>50157.98</v>
      </c>
      <c r="AG134" s="43">
        <v>54299.5</v>
      </c>
      <c r="AH134" s="43">
        <v>56942.7</v>
      </c>
      <c r="AI134" s="43">
        <v>57231.39</v>
      </c>
      <c r="AJ134" s="43">
        <v>62008.71</v>
      </c>
      <c r="AK134" s="43">
        <v>67168.850000000006</v>
      </c>
      <c r="AL134" s="44"/>
      <c r="AM134" s="45">
        <f>VLOOKUP($B134,'[2]E.U.'!$R$9:$AZ$205,11,FALSE)</f>
        <v>5699.71</v>
      </c>
      <c r="AN134" s="45">
        <f>VLOOKUP($B134,'[3]E.U.'!$R9:$AZ$225,11,FALSE)</f>
        <v>6756.32</v>
      </c>
      <c r="AO134" s="45">
        <f>VLOOKUP($B134,'[4]E.U.'!$R$9:$BZ$225,11,FALSE)</f>
        <v>6692.0360859882085</v>
      </c>
      <c r="AP134" s="45">
        <f>VLOOKUP($B134,'[5]E.U.'!$R$9:$BZ$225,11,FALSE)</f>
        <v>6243.5350951830787</v>
      </c>
      <c r="AQ134" s="45">
        <f>VLOOKUP($B134,'[6]E.U.'!$R$9:$CA$225,11,FALSE)</f>
        <v>6484.7756863923732</v>
      </c>
      <c r="AR134" s="45">
        <f>VLOOKUP($B134,'[7]E.U.'!$R$9:$AZ$225,11,FALSE)</f>
        <v>5892.9000890298075</v>
      </c>
      <c r="AS134" s="45">
        <f>VLOOKUP($B134,'[8]E.U.'!$R$9:$AZ$225,11,FALSE)</f>
        <v>6733.256223870384</v>
      </c>
      <c r="AT134" s="45">
        <f>VLOOKUP($B134,'[9]E.U.'!$R$9:$AZ$221,11,FALSE)</f>
        <v>6152.2836120836419</v>
      </c>
      <c r="AU134" s="45"/>
      <c r="AV134" s="45">
        <f>VLOOKUP($B134,'[10]E.U.'!$R$9:$AZ$221,11,FALSE)</f>
        <v>6310.0556822746084</v>
      </c>
      <c r="AW134" s="45">
        <f>VLOOKUP($B134,'[11]E.U.'!$R$9:$AZ$220,11,FALSE)</f>
        <v>5751.2216833857601</v>
      </c>
      <c r="AX134" s="252"/>
      <c r="AY134" s="45">
        <f>VLOOKUP($B134,'[12]E.U.'!$R$9:$AZ$220,11,FALSE)</f>
        <v>5686.8145357227868</v>
      </c>
      <c r="AZ134" s="45"/>
      <c r="BA134" s="45">
        <f>VLOOKUP($B134,'[13]E.U.'!$R$9:$AZ$221,11,FALSE)</f>
        <v>5364.9634860843598</v>
      </c>
      <c r="BB134" s="46">
        <f t="shared" si="15"/>
        <v>73767.872180015009</v>
      </c>
      <c r="BC134" s="47" t="e">
        <f>SUM(#REF!)</f>
        <v>#REF!</v>
      </c>
      <c r="BD134" s="43" t="e">
        <f>VLOOKUP(V134,[14]ELECTRIC!$C$1:$H$4000,6,FALSE)</f>
        <v>#N/A</v>
      </c>
      <c r="BE134" s="43" t="e">
        <f t="shared" si="19"/>
        <v>#N/A</v>
      </c>
      <c r="BF134" s="48">
        <f t="shared" si="14"/>
        <v>73767.872180015009</v>
      </c>
      <c r="BG134" s="49">
        <f t="shared" si="18"/>
        <v>128514.17160504042</v>
      </c>
      <c r="BH134" s="43" t="e">
        <f t="shared" si="20"/>
        <v>#REF!</v>
      </c>
      <c r="BI134" s="50" t="e">
        <f t="shared" si="21"/>
        <v>#REF!</v>
      </c>
      <c r="BJ134" s="51">
        <f t="shared" si="13"/>
        <v>9.8245275600445714E-2</v>
      </c>
      <c r="BK134" s="52"/>
      <c r="BL134" s="52"/>
      <c r="BM134" s="52"/>
      <c r="BN134" s="52"/>
      <c r="BO134" s="72"/>
      <c r="BP134" s="52"/>
      <c r="BQ134" s="52"/>
      <c r="BR134" s="50"/>
      <c r="BS134" s="53"/>
      <c r="BT134" s="53"/>
      <c r="BU134" s="65"/>
      <c r="BV134" s="55"/>
      <c r="BW134" s="55" t="s">
        <v>2534</v>
      </c>
      <c r="BX134" s="56"/>
      <c r="BY134" s="57" t="s">
        <v>2535</v>
      </c>
      <c r="BZ134" s="58"/>
    </row>
    <row r="135" spans="1:78" ht="15.6" x14ac:dyDescent="0.3">
      <c r="A135" s="81" t="s">
        <v>694</v>
      </c>
      <c r="B135" s="38" t="s">
        <v>385</v>
      </c>
      <c r="C135" s="63" t="s">
        <v>386</v>
      </c>
      <c r="D135" s="213" t="s">
        <v>2536</v>
      </c>
      <c r="E135" s="40" t="s">
        <v>387</v>
      </c>
      <c r="F135" s="41">
        <v>0</v>
      </c>
      <c r="G135" s="42" t="s">
        <v>2537</v>
      </c>
      <c r="H135" s="42" t="s">
        <v>2537</v>
      </c>
      <c r="I135" s="42" t="s">
        <v>2537</v>
      </c>
      <c r="J135" s="42" t="s">
        <v>2538</v>
      </c>
      <c r="K135" s="42" t="s">
        <v>2539</v>
      </c>
      <c r="L135" s="42" t="s">
        <v>2540</v>
      </c>
      <c r="M135" s="42" t="s">
        <v>2541</v>
      </c>
      <c r="N135" s="42" t="s">
        <v>2542</v>
      </c>
      <c r="O135" s="42" t="s">
        <v>2543</v>
      </c>
      <c r="P135" s="42" t="s">
        <v>2544</v>
      </c>
      <c r="Q135" s="42" t="s">
        <v>2545</v>
      </c>
      <c r="R135" s="42" t="s">
        <v>2546</v>
      </c>
      <c r="S135" s="42" t="s">
        <v>2547</v>
      </c>
      <c r="T135" s="42" t="s">
        <v>2548</v>
      </c>
      <c r="U135" s="42" t="s">
        <v>2549</v>
      </c>
      <c r="V135" s="42" t="str">
        <f>VLOOKUP(D135,[1]ALL!$A$15:$Z$983,3,FALSE)</f>
        <v>PSA-XGW</v>
      </c>
      <c r="W135" s="43">
        <v>28978.750195436722</v>
      </c>
      <c r="X135" s="43">
        <v>28103.648482438151</v>
      </c>
      <c r="Y135" s="43">
        <v>24977.524745365263</v>
      </c>
      <c r="Z135" s="43">
        <v>28608.310640652115</v>
      </c>
      <c r="AA135" s="43">
        <v>29742.12</v>
      </c>
      <c r="AB135" s="43">
        <v>29550.02</v>
      </c>
      <c r="AC135" s="43">
        <v>32250.32</v>
      </c>
      <c r="AD135" s="43">
        <v>32398.25</v>
      </c>
      <c r="AE135" s="43">
        <v>35162.86</v>
      </c>
      <c r="AF135" s="43">
        <v>33906.86</v>
      </c>
      <c r="AG135" s="43">
        <v>32053.65</v>
      </c>
      <c r="AH135" s="43">
        <v>37907.339999999997</v>
      </c>
      <c r="AI135" s="43">
        <v>38071.49</v>
      </c>
      <c r="AJ135" s="43">
        <v>39265.85</v>
      </c>
      <c r="AK135" s="43">
        <v>64683.64</v>
      </c>
      <c r="AL135" s="44"/>
      <c r="AM135" s="45">
        <f>VLOOKUP($B135,'[2]E.U.'!$R$9:$AZ$205,11,FALSE)</f>
        <v>2801.77</v>
      </c>
      <c r="AN135" s="45">
        <f>VLOOKUP($B135,'[3]E.U.'!$R9:$AZ$225,11,FALSE)</f>
        <v>4627.1099999999997</v>
      </c>
      <c r="AO135" s="45">
        <f>VLOOKUP($B135,'[4]E.U.'!$R$9:$BZ$225,11,FALSE)</f>
        <v>4108.576008139813</v>
      </c>
      <c r="AP135" s="45">
        <f>VLOOKUP($B135,'[5]E.U.'!$R$9:$BZ$225,11,FALSE)</f>
        <v>4146.4023940174302</v>
      </c>
      <c r="AQ135" s="45">
        <f>VLOOKUP($B135,'[6]E.U.'!$R$9:$CA$225,11,FALSE)</f>
        <v>4774.8324964146304</v>
      </c>
      <c r="AR135" s="45">
        <f>VLOOKUP($B135,'[7]E.U.'!$R$9:$AZ$225,11,FALSE)</f>
        <v>4479.7498739620778</v>
      </c>
      <c r="AS135" s="45">
        <f>VLOOKUP($B135,'[8]E.U.'!$R$9:$AZ$225,11,FALSE)</f>
        <v>4085.850885671176</v>
      </c>
      <c r="AT135" s="45">
        <f>VLOOKUP($B135,'[9]E.U.'!$R$9:$AZ$221,11,FALSE)</f>
        <v>3112.0931587046398</v>
      </c>
      <c r="AU135" s="45"/>
      <c r="AV135" s="45">
        <f>VLOOKUP($B135,'[10]E.U.'!$R$9:$AZ$221,11,FALSE)</f>
        <v>3341.6323862684385</v>
      </c>
      <c r="AW135" s="45">
        <f>VLOOKUP($B135,'[11]E.U.'!$R$9:$AZ$220,11,FALSE)</f>
        <v>3516.8282991530846</v>
      </c>
      <c r="AX135" s="252"/>
      <c r="AY135" s="45">
        <f>VLOOKUP($B135,'[12]E.U.'!$R$9:$AZ$220,11,FALSE)</f>
        <v>3401.2029108665802</v>
      </c>
      <c r="AZ135" s="45"/>
      <c r="BA135" s="45">
        <f>VLOOKUP($B135,'[13]E.U.'!$R$9:$AZ$221,11,FALSE)</f>
        <v>3396.6775952600451</v>
      </c>
      <c r="BB135" s="46">
        <f t="shared" si="15"/>
        <v>45792.726008457917</v>
      </c>
      <c r="BC135" s="47" t="e">
        <f>SUM(#REF!)</f>
        <v>#REF!</v>
      </c>
      <c r="BD135" s="43" t="e">
        <f>VLOOKUP(V135,[14]ELECTRIC!$C$1:$H$4000,6,FALSE)</f>
        <v>#N/A</v>
      </c>
      <c r="BE135" s="43" t="e">
        <f t="shared" si="19"/>
        <v>#N/A</v>
      </c>
      <c r="BF135" s="48">
        <f t="shared" si="14"/>
        <v>45792.726008457917</v>
      </c>
      <c r="BG135" s="43">
        <f t="shared" si="18"/>
        <v>79777.470524734905</v>
      </c>
      <c r="BH135" s="43" t="e">
        <f t="shared" si="20"/>
        <v>#REF!</v>
      </c>
      <c r="BI135" s="52" t="e">
        <f t="shared" si="21"/>
        <v>#REF!</v>
      </c>
      <c r="BJ135" s="51">
        <f t="shared" si="13"/>
        <v>-0.29205088012273406</v>
      </c>
      <c r="BK135" s="52"/>
      <c r="BL135" s="52"/>
      <c r="BM135" s="52"/>
      <c r="BN135" s="52"/>
      <c r="BO135" s="72"/>
      <c r="BP135" s="72" t="s">
        <v>2550</v>
      </c>
      <c r="BQ135" s="52"/>
      <c r="BR135" s="50"/>
      <c r="BS135" s="53"/>
      <c r="BT135" s="53"/>
      <c r="BU135" s="65" t="s">
        <v>2551</v>
      </c>
      <c r="BV135" s="55"/>
      <c r="BW135" s="55" t="s">
        <v>2534</v>
      </c>
      <c r="BX135" s="56"/>
      <c r="BY135" s="57" t="s">
        <v>2535</v>
      </c>
      <c r="BZ135" s="58"/>
    </row>
    <row r="136" spans="1:78" ht="15.6" x14ac:dyDescent="0.3">
      <c r="A136" s="81" t="s">
        <v>1359</v>
      </c>
      <c r="B136" s="38">
        <v>1912</v>
      </c>
      <c r="C136" s="63" t="s">
        <v>388</v>
      </c>
      <c r="D136" t="s">
        <v>2552</v>
      </c>
      <c r="E136" s="40" t="s">
        <v>389</v>
      </c>
      <c r="F136" s="41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 t="str">
        <f>'[15]SWO MATRIX 04-15-16 NUMRC'!$D$552</f>
        <v>PSA2NELC</v>
      </c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>
        <v>0</v>
      </c>
      <c r="AK136" s="43">
        <v>156109.21</v>
      </c>
      <c r="AL136" s="44"/>
      <c r="AM136" s="45">
        <f>VLOOKUP($B136,'[2]E.U.'!$R$9:$AZ$205,11,FALSE)</f>
        <v>11957.31</v>
      </c>
      <c r="AN136" s="45">
        <f>VLOOKUP($B136,'[3]E.U.'!$R10:$AZ$225,11,FALSE)</f>
        <v>27676.78</v>
      </c>
      <c r="AO136" s="45">
        <f>VLOOKUP($B136,'[4]E.U.'!$R$9:$BZ$225,11,FALSE)</f>
        <v>91334.62978128501</v>
      </c>
      <c r="AP136" s="45">
        <f>VLOOKUP($B136,'[5]E.U.'!$R$9:$BZ$225,11,FALSE)</f>
        <v>100554.10597426856</v>
      </c>
      <c r="AQ136" s="45">
        <f>VLOOKUP($B136,'[6]E.U.'!$R$9:$CA$225,11,FALSE)</f>
        <v>113987.00074605188</v>
      </c>
      <c r="AR136" s="45">
        <f>VLOOKUP($B136,'[7]E.U.'!$R$9:$AZ$225,11,FALSE)</f>
        <v>82368.513427863421</v>
      </c>
      <c r="AS136" s="45">
        <f>VLOOKUP($B136,'[8]E.U.'!$R$9:$AZ$225,11,FALSE)</f>
        <v>37441.702166362804</v>
      </c>
      <c r="AT136" s="45">
        <f>VLOOKUP($B136,'[9]E.U.'!$R$9:$AZ$221,11,FALSE)</f>
        <v>16652.171946539318</v>
      </c>
      <c r="AU136" s="45"/>
      <c r="AV136" s="45">
        <f>VLOOKUP($B136,'[10]E.U.'!$R$9:$AZ$221,11,FALSE)</f>
        <v>10975.528673596558</v>
      </c>
      <c r="AW136" s="45">
        <f>VLOOKUP($B136,'[11]E.U.'!$R$9:$AZ$220,11,FALSE)</f>
        <v>28124.910320733343</v>
      </c>
      <c r="AX136" s="252"/>
      <c r="AY136" s="45">
        <f>VLOOKUP($B136,'[12]E.U.'!$R$9:$AZ$220,11,FALSE)</f>
        <v>30336.627209976814</v>
      </c>
      <c r="AZ136" s="45"/>
      <c r="BA136" s="45">
        <f>VLOOKUP($B136,'[13]E.U.'!$R$9:$AZ$221,11,FALSE)</f>
        <v>37216.905008509282</v>
      </c>
      <c r="BB136" s="46">
        <f t="shared" si="15"/>
        <v>588626.18525518698</v>
      </c>
      <c r="BC136" s="47" t="e">
        <f>SUM(#REF!)</f>
        <v>#REF!</v>
      </c>
      <c r="BD136" s="43"/>
      <c r="BE136" s="43"/>
      <c r="BF136" s="48">
        <f t="shared" si="14"/>
        <v>588626.18525518698</v>
      </c>
      <c r="BG136" s="43"/>
      <c r="BH136" s="43" t="e">
        <f t="shared" si="20"/>
        <v>#REF!</v>
      </c>
      <c r="BI136" s="52" t="e">
        <f>IF(OR(BB136=0,BC136=0),0,ABS(BB136/BC136)-1)</f>
        <v>#REF!</v>
      </c>
      <c r="BJ136" s="51">
        <f t="shared" ref="BJ136:BJ199" si="22">IF(OR(AK136=0,BF136=0),0,ABS(BF136/AK136)-1)</f>
        <v>2.7706051119929889</v>
      </c>
      <c r="BK136" s="52"/>
      <c r="BL136" s="52"/>
      <c r="BM136" s="52"/>
      <c r="BN136" s="52"/>
      <c r="BO136" s="72"/>
      <c r="BP136" s="72"/>
      <c r="BQ136" s="52"/>
      <c r="BR136" s="50"/>
      <c r="BS136" s="53"/>
      <c r="BT136" s="53"/>
      <c r="BU136" s="65"/>
      <c r="BV136" s="55"/>
      <c r="BW136" s="55"/>
      <c r="BX136" s="56"/>
      <c r="BY136" s="56"/>
      <c r="BZ136" s="58"/>
    </row>
    <row r="137" spans="1:78" ht="15.6" x14ac:dyDescent="0.3">
      <c r="A137" s="81" t="s">
        <v>1359</v>
      </c>
      <c r="B137" s="38">
        <v>1918</v>
      </c>
      <c r="C137" s="63" t="s">
        <v>390</v>
      </c>
      <c r="D137" s="39" t="s">
        <v>2553</v>
      </c>
      <c r="E137" s="258" t="s">
        <v>391</v>
      </c>
      <c r="F137" s="41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 t="str">
        <f>VLOOKUP(D137,[1]ALL!$A$15:$Z$983,3,FALSE)</f>
        <v>PSA8NELC</v>
      </c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>
        <v>3653.79</v>
      </c>
      <c r="AL137" s="44"/>
      <c r="AM137" s="45">
        <f>VLOOKUP($B137,'[2]E.U.'!$R$9:$AZ$205,11,FALSE)</f>
        <v>412.77</v>
      </c>
      <c r="AN137" s="45">
        <f>VLOOKUP($B137,'[3]E.U.'!$R11:$AZ$225,11,FALSE)</f>
        <v>506.36</v>
      </c>
      <c r="AO137" s="45">
        <f>VLOOKUP($B137,'[4]E.U.'!$R$9:$BZ$225,11,FALSE)</f>
        <v>495.24104023866602</v>
      </c>
      <c r="AP137" s="45">
        <f>VLOOKUP($B137,'[5]E.U.'!$R$9:$BZ$225,11,FALSE)</f>
        <v>391.35505243364167</v>
      </c>
      <c r="AQ137" s="45">
        <f>VLOOKUP($B137,'[6]E.U.'!$R$9:$CA$225,11,FALSE)</f>
        <v>422.87340502451707</v>
      </c>
      <c r="AR137" s="45">
        <f>VLOOKUP($B137,'[7]E.U.'!$R$9:$AZ$225,11,FALSE)</f>
        <v>90.159843838174595</v>
      </c>
      <c r="AS137" s="45">
        <f>VLOOKUP($B137,'[8]E.U.'!$R$9:$AZ$225,11,FALSE)</f>
        <v>109.30405222175467</v>
      </c>
      <c r="AT137" s="45">
        <f>VLOOKUP($B137,'[9]E.U.'!$R$9:$AZ$221,11,FALSE)</f>
        <v>103.79561358196445</v>
      </c>
      <c r="AU137" s="45"/>
      <c r="AV137" s="45">
        <f>VLOOKUP($B137,'[10]E.U.'!$R$9:$AZ$221,11,FALSE)</f>
        <v>99.004518507127656</v>
      </c>
      <c r="AW137" s="45">
        <f>VLOOKUP($B137,'[11]E.U.'!$R$9:$AZ$220,11,FALSE)</f>
        <v>91.235762089720993</v>
      </c>
      <c r="AX137" s="252"/>
      <c r="AY137" s="45">
        <f>VLOOKUP($B137,'[12]E.U.'!$R$9:$AZ$220,11,FALSE)</f>
        <v>91.912197478763545</v>
      </c>
      <c r="AZ137" s="45"/>
      <c r="BA137" s="45">
        <f>VLOOKUP($B137,'[13]E.U.'!$R$9:$AZ$221,11,FALSE)</f>
        <v>89.216069440829216</v>
      </c>
      <c r="BB137" s="46">
        <f t="shared" si="15"/>
        <v>2903.2275548551606</v>
      </c>
      <c r="BC137" s="47" t="e">
        <f>SUM(#REF!)</f>
        <v>#REF!</v>
      </c>
      <c r="BD137" s="43"/>
      <c r="BE137" s="43"/>
      <c r="BF137" s="48">
        <f t="shared" ref="BF137:BF200" si="23">BB137*(12/$BC$5)</f>
        <v>2903.2275548551606</v>
      </c>
      <c r="BG137" s="43"/>
      <c r="BH137" s="43">
        <f>BF137</f>
        <v>2903.2275548551606</v>
      </c>
      <c r="BI137" s="52" t="e">
        <f>IF(OR(BB137=0,BC137=0),0,ABS(BB137/BC137)-1)</f>
        <v>#REF!</v>
      </c>
      <c r="BJ137" s="51">
        <f t="shared" si="22"/>
        <v>-0.20542024723501884</v>
      </c>
      <c r="BK137" s="52"/>
      <c r="BL137" s="52"/>
      <c r="BM137" s="52"/>
      <c r="BN137" s="52"/>
      <c r="BO137" s="72"/>
      <c r="BP137" s="72"/>
      <c r="BQ137" s="52"/>
      <c r="BR137" s="50"/>
      <c r="BS137" s="53"/>
      <c r="BT137" s="53"/>
      <c r="BU137" s="65"/>
      <c r="BV137" s="55"/>
      <c r="BW137" s="55"/>
      <c r="BX137" s="56"/>
      <c r="BY137" s="56"/>
      <c r="BZ137" s="58"/>
    </row>
    <row r="138" spans="1:78" ht="15.6" x14ac:dyDescent="0.3">
      <c r="A138" s="81" t="s">
        <v>1359</v>
      </c>
      <c r="B138" s="62">
        <v>1919</v>
      </c>
      <c r="C138" s="111" t="s">
        <v>2554</v>
      </c>
      <c r="D138" t="s">
        <v>2555</v>
      </c>
      <c r="E138" s="258" t="s">
        <v>393</v>
      </c>
      <c r="F138" s="41">
        <v>0</v>
      </c>
      <c r="K138" s="3" t="s">
        <v>728</v>
      </c>
      <c r="L138" s="42" t="s">
        <v>2556</v>
      </c>
      <c r="M138" s="42" t="s">
        <v>2557</v>
      </c>
      <c r="N138" s="42" t="s">
        <v>2558</v>
      </c>
      <c r="O138" s="42" t="s">
        <v>2559</v>
      </c>
      <c r="P138" s="42" t="s">
        <v>2560</v>
      </c>
      <c r="Q138" s="42" t="s">
        <v>2561</v>
      </c>
      <c r="R138" s="42" t="s">
        <v>2562</v>
      </c>
      <c r="S138" s="42" t="s">
        <v>2563</v>
      </c>
      <c r="T138" s="42" t="s">
        <v>2564</v>
      </c>
      <c r="U138" s="42" t="s">
        <v>2565</v>
      </c>
      <c r="V138" s="42" t="str">
        <f>VLOOKUP(D138,[1]ALL!$A$15:$Z$983,3,FALSE)</f>
        <v>PSA9-EL</v>
      </c>
      <c r="X138" s="6"/>
      <c r="Y138" s="6"/>
      <c r="Z138" s="6"/>
      <c r="AA138" s="43">
        <v>2581.37</v>
      </c>
      <c r="AB138" s="43">
        <v>4344.28</v>
      </c>
      <c r="AC138" s="43">
        <v>5059.978000000001</v>
      </c>
      <c r="AD138" s="43">
        <v>6434.8240000000005</v>
      </c>
      <c r="AE138" s="43">
        <v>7638.5870000000004</v>
      </c>
      <c r="AF138" s="43">
        <v>8947.6089999999986</v>
      </c>
      <c r="AG138" s="43">
        <v>14261.885000000004</v>
      </c>
      <c r="AH138" s="43">
        <v>7570.98</v>
      </c>
      <c r="AI138" s="43">
        <v>2079.69</v>
      </c>
      <c r="AJ138" s="43">
        <v>2464.75</v>
      </c>
      <c r="AK138" s="43">
        <v>3141.28</v>
      </c>
      <c r="AL138" s="44"/>
      <c r="AM138" s="45">
        <f>VLOOKUP($B138,'[2]E.U.'!$R$9:$AZ$205,11,FALSE)</f>
        <v>212.32</v>
      </c>
      <c r="AN138" s="45">
        <f>VLOOKUP($B138,'[3]E.U.'!$R9:$AZ$225,11,FALSE)</f>
        <v>245.68</v>
      </c>
      <c r="AO138" s="45">
        <f>VLOOKUP($B138,'[4]E.U.'!$R$9:$BZ$225,11,FALSE)</f>
        <v>236.94704936845122</v>
      </c>
      <c r="AP138" s="45">
        <f>VLOOKUP($B138,'[5]E.U.'!$R$9:$BZ$225,11,FALSE)</f>
        <v>223.82341822876899</v>
      </c>
      <c r="AQ138" s="45">
        <f>VLOOKUP($B138,'[6]E.U.'!$R$9:$CA$225,11,FALSE)</f>
        <v>247.96089584249376</v>
      </c>
      <c r="AR138" s="45">
        <f>VLOOKUP($B138,'[7]E.U.'!$R$9:$AZ$225,11,FALSE)</f>
        <v>217.99062834536065</v>
      </c>
      <c r="AS138" s="45">
        <f>VLOOKUP($B138,'[8]E.U.'!$R$9:$AZ$225,11,FALSE)</f>
        <v>221.61502093802676</v>
      </c>
      <c r="AT138" s="45">
        <f>VLOOKUP($B138,'[9]E.U.'!$R$9:$AZ$221,11,FALSE)</f>
        <v>195.53390180962259</v>
      </c>
      <c r="AU138" s="45"/>
      <c r="AV138" s="45">
        <f>VLOOKUP($B138,'[10]E.U.'!$R$9:$AZ$221,11,FALSE)</f>
        <v>202.17342051930584</v>
      </c>
      <c r="AW138" s="45">
        <f>VLOOKUP($B138,'[11]E.U.'!$R$9:$AZ$220,11,FALSE)</f>
        <v>193.50906918352908</v>
      </c>
      <c r="AX138" s="252"/>
      <c r="AY138" s="45">
        <f>VLOOKUP($B138,'[12]E.U.'!$R$9:$AZ$220,11,FALSE)</f>
        <v>187.86732736885315</v>
      </c>
      <c r="AZ138" s="45"/>
      <c r="BA138" s="45">
        <f>VLOOKUP($B138,'[13]E.U.'!$R$9:$AZ$221,11,FALSE)</f>
        <v>180.65582658475915</v>
      </c>
      <c r="BB138" s="46">
        <f t="shared" si="15"/>
        <v>2566.0765581891715</v>
      </c>
      <c r="BC138" s="47" t="e">
        <f>SUM(#REF!)</f>
        <v>#REF!</v>
      </c>
      <c r="BD138" s="43" t="e">
        <f>VLOOKUP(V138,[14]ELECTRIC!$C$1:$H$4000,6,FALSE)</f>
        <v>#N/A</v>
      </c>
      <c r="BE138" s="242" t="e">
        <f t="shared" si="19"/>
        <v>#N/A</v>
      </c>
      <c r="BF138" s="48">
        <f t="shared" si="23"/>
        <v>2566.0765581891715</v>
      </c>
      <c r="BG138" s="49">
        <f t="shared" si="18"/>
        <v>4470.4719467309924</v>
      </c>
      <c r="BH138" s="43" t="e">
        <f>IF(BC138=0,0,(BB138*(AK138/BC138)))</f>
        <v>#REF!</v>
      </c>
      <c r="BI138" s="50" t="e">
        <f t="shared" ref="BI138:BI169" si="24">IF(OR(BB138=0,BC138=0),0,ABS(BB138/BC138)-1)</f>
        <v>#REF!</v>
      </c>
      <c r="BJ138" s="51">
        <f t="shared" si="22"/>
        <v>-0.18311116545192685</v>
      </c>
      <c r="BK138" s="52"/>
      <c r="BL138" s="52"/>
      <c r="BM138" s="52"/>
      <c r="BN138" s="52"/>
      <c r="BO138" s="72"/>
      <c r="BP138" s="52"/>
      <c r="BQ138" s="52"/>
      <c r="BR138" s="50"/>
      <c r="BS138" s="9" t="s">
        <v>2566</v>
      </c>
      <c r="BT138" s="9" t="s">
        <v>2566</v>
      </c>
    </row>
    <row r="139" spans="1:78" ht="15.6" x14ac:dyDescent="0.3">
      <c r="A139" s="81" t="s">
        <v>694</v>
      </c>
      <c r="B139" s="38" t="s">
        <v>394</v>
      </c>
      <c r="C139" s="63" t="s">
        <v>395</v>
      </c>
      <c r="D139" t="s">
        <v>2567</v>
      </c>
      <c r="E139" s="40" t="s">
        <v>396</v>
      </c>
      <c r="F139" s="41">
        <v>0</v>
      </c>
      <c r="G139" s="42" t="s">
        <v>2040</v>
      </c>
      <c r="H139" s="42" t="s">
        <v>2040</v>
      </c>
      <c r="I139" s="42" t="s">
        <v>2040</v>
      </c>
      <c r="J139" s="42" t="s">
        <v>2568</v>
      </c>
      <c r="K139" s="42" t="s">
        <v>2569</v>
      </c>
      <c r="L139" s="42" t="s">
        <v>2570</v>
      </c>
      <c r="M139" s="42" t="s">
        <v>2571</v>
      </c>
      <c r="N139" s="42" t="s">
        <v>2572</v>
      </c>
      <c r="O139" s="42" t="s">
        <v>2573</v>
      </c>
      <c r="P139" s="42" t="s">
        <v>2574</v>
      </c>
      <c r="Q139" s="42" t="s">
        <v>2575</v>
      </c>
      <c r="R139" s="42" t="s">
        <v>2576</v>
      </c>
      <c r="S139" s="42" t="s">
        <v>2577</v>
      </c>
      <c r="T139" s="42" t="s">
        <v>2578</v>
      </c>
      <c r="U139" s="42" t="s">
        <v>2579</v>
      </c>
      <c r="V139" s="42" t="str">
        <f>VLOOKUP(D139,[1]ALL!$A$15:$Z$983,3,FALSE)</f>
        <v>PSB-XGW</v>
      </c>
      <c r="W139" s="43">
        <v>14397.119874024673</v>
      </c>
      <c r="X139" s="43">
        <v>10462.109732420773</v>
      </c>
      <c r="Y139" s="43">
        <v>11546.013508754742</v>
      </c>
      <c r="Z139" s="43">
        <v>12965.85141391007</v>
      </c>
      <c r="AA139" s="43">
        <v>14169.76</v>
      </c>
      <c r="AB139" s="43">
        <v>14927.31</v>
      </c>
      <c r="AC139" s="43">
        <v>14903.67</v>
      </c>
      <c r="AD139" s="43">
        <v>10263.17</v>
      </c>
      <c r="AE139" s="43">
        <v>17703.3</v>
      </c>
      <c r="AF139" s="43">
        <v>23380.32</v>
      </c>
      <c r="AG139" s="43">
        <v>24458.560000000001</v>
      </c>
      <c r="AH139" s="43">
        <v>25058.77</v>
      </c>
      <c r="AI139" s="43">
        <v>24665.35</v>
      </c>
      <c r="AJ139" s="43">
        <v>32700.13</v>
      </c>
      <c r="AK139" s="43">
        <v>40001.629999999997</v>
      </c>
      <c r="AL139" s="44"/>
      <c r="AM139" s="45">
        <f>VLOOKUP($B139,'[2]E.U.'!$R$9:$AZ$205,11,FALSE)</f>
        <v>3052.27</v>
      </c>
      <c r="AN139" s="45">
        <f>VLOOKUP($B139,'[3]E.U.'!$R9:$AZ$225,11,FALSE)</f>
        <v>3425.15</v>
      </c>
      <c r="AO139" s="45">
        <f>VLOOKUP($B139,'[4]E.U.'!$R$9:$BZ$225,11,FALSE)</f>
        <v>3167.4085541975801</v>
      </c>
      <c r="AP139" s="45">
        <f>VLOOKUP($B139,'[5]E.U.'!$R$9:$BZ$225,11,FALSE)</f>
        <v>3031.0730313819481</v>
      </c>
      <c r="AQ139" s="45">
        <f>VLOOKUP($B139,'[6]E.U.'!$R$9:$CA$225,11,FALSE)</f>
        <v>3127.1794756941831</v>
      </c>
      <c r="AR139" s="45">
        <f>VLOOKUP($B139,'[7]E.U.'!$R$9:$AZ$225,11,FALSE)</f>
        <v>2853.694148298569</v>
      </c>
      <c r="AS139" s="45">
        <f>VLOOKUP($B141,'[8]E.U.'!$R$9:$AZ$225,11,FALSE)</f>
        <v>1562.8475472773459</v>
      </c>
      <c r="AT139" s="45">
        <f>VLOOKUP($B139,'[9]E.U.'!$R$9:$AZ$221,11,FALSE)</f>
        <v>3034.8858076083161</v>
      </c>
      <c r="AU139" s="45"/>
      <c r="AV139" s="45">
        <f>VLOOKUP($B139,'[10]E.U.'!$R$9:$AZ$221,11,FALSE)</f>
        <v>2963.1228808330743</v>
      </c>
      <c r="AW139" s="45">
        <f>VLOOKUP($B139,'[11]E.U.'!$R$9:$AZ$220,11,FALSE)</f>
        <v>2676.1413324744344</v>
      </c>
      <c r="AX139" s="252"/>
      <c r="AY139" s="45">
        <f>VLOOKUP($B139,'[12]E.U.'!$R$9:$AZ$220,11,FALSE)</f>
        <v>2741.1128399210052</v>
      </c>
      <c r="AZ139" s="45"/>
      <c r="BA139" s="45">
        <f>VLOOKUP($B139,'[13]E.U.'!$R$9:$AZ$221,11,FALSE)</f>
        <v>2485.5875764195507</v>
      </c>
      <c r="BB139" s="46">
        <f t="shared" si="15"/>
        <v>34120.473194106009</v>
      </c>
      <c r="BC139" s="47" t="e">
        <f>SUM(#REF!)</f>
        <v>#REF!</v>
      </c>
      <c r="BD139" s="43" t="e">
        <f>VLOOKUP(V139,[14]ELECTRIC!$C$1:$H$4000,6,FALSE)</f>
        <v>#N/A</v>
      </c>
      <c r="BE139" s="43" t="e">
        <f t="shared" si="19"/>
        <v>#N/A</v>
      </c>
      <c r="BF139" s="48">
        <f t="shared" si="23"/>
        <v>34120.473194106009</v>
      </c>
      <c r="BG139" s="49">
        <f t="shared" si="18"/>
        <v>59442.738657446112</v>
      </c>
      <c r="BH139" s="43" t="e">
        <f>IF(BC139=0,0,(BB139*(AK139/BC139)))</f>
        <v>#REF!</v>
      </c>
      <c r="BI139" s="50" t="e">
        <f t="shared" si="24"/>
        <v>#REF!</v>
      </c>
      <c r="BJ139" s="51">
        <f t="shared" si="22"/>
        <v>-0.14702292896299451</v>
      </c>
      <c r="BK139" s="52"/>
      <c r="BL139" s="52"/>
      <c r="BM139" s="52"/>
      <c r="BN139" s="52"/>
      <c r="BO139" s="72" t="s">
        <v>2580</v>
      </c>
      <c r="BP139" s="52"/>
      <c r="BQ139" s="52"/>
      <c r="BR139" s="50"/>
      <c r="BS139" s="53"/>
      <c r="BT139" s="53"/>
      <c r="BU139" s="54" t="s">
        <v>2581</v>
      </c>
      <c r="BV139" s="55"/>
      <c r="BW139" s="55"/>
      <c r="BX139" s="56"/>
      <c r="BY139" s="67"/>
      <c r="BZ139" s="58"/>
    </row>
    <row r="140" spans="1:78" ht="15.6" x14ac:dyDescent="0.3">
      <c r="A140" s="81" t="s">
        <v>1359</v>
      </c>
      <c r="B140" s="38" t="s">
        <v>397</v>
      </c>
      <c r="C140" s="1" t="s">
        <v>398</v>
      </c>
      <c r="D140" t="s">
        <v>2582</v>
      </c>
      <c r="E140" s="40" t="s">
        <v>399</v>
      </c>
      <c r="F140" s="41">
        <v>0</v>
      </c>
      <c r="G140" s="42" t="s">
        <v>2583</v>
      </c>
      <c r="H140" s="42" t="s">
        <v>2584</v>
      </c>
      <c r="I140" s="42" t="s">
        <v>2585</v>
      </c>
      <c r="J140" s="42" t="s">
        <v>2586</v>
      </c>
      <c r="K140" s="42" t="s">
        <v>2587</v>
      </c>
      <c r="L140" s="42" t="s">
        <v>2588</v>
      </c>
      <c r="M140" s="42" t="s">
        <v>2589</v>
      </c>
      <c r="N140" s="42" t="s">
        <v>2590</v>
      </c>
      <c r="O140" s="42" t="s">
        <v>2591</v>
      </c>
      <c r="P140" s="42" t="s">
        <v>2592</v>
      </c>
      <c r="Q140" s="42" t="s">
        <v>2593</v>
      </c>
      <c r="R140" s="42" t="s">
        <v>2594</v>
      </c>
      <c r="S140" s="42" t="s">
        <v>2595</v>
      </c>
      <c r="T140" s="42" t="s">
        <v>2596</v>
      </c>
      <c r="U140" s="42" t="s">
        <v>2597</v>
      </c>
      <c r="V140" s="42" t="str">
        <f>VLOOKUP(D140,[1]ALL!$A$15:$Z$983,3,FALSE)</f>
        <v>PSB1-ELC</v>
      </c>
      <c r="W140" s="43">
        <v>13701.362045820448</v>
      </c>
      <c r="X140" s="43">
        <v>16554.117927476251</v>
      </c>
      <c r="Y140" s="43">
        <v>15954.732426534607</v>
      </c>
      <c r="Z140" s="43">
        <v>16248.855134785452</v>
      </c>
      <c r="AA140" s="43">
        <v>15872.93</v>
      </c>
      <c r="AB140" s="43">
        <v>15498.78</v>
      </c>
      <c r="AC140" s="43">
        <v>16249.9</v>
      </c>
      <c r="AD140" s="43">
        <v>16614.95</v>
      </c>
      <c r="AE140" s="43">
        <v>17980.47</v>
      </c>
      <c r="AF140" s="43">
        <v>20099.419999999998</v>
      </c>
      <c r="AG140" s="43">
        <v>21336.57</v>
      </c>
      <c r="AH140" s="43">
        <v>20737.38</v>
      </c>
      <c r="AI140" s="43">
        <v>17850.62</v>
      </c>
      <c r="AJ140" s="43">
        <v>26033.759999999998</v>
      </c>
      <c r="AK140" s="43">
        <v>26704.19</v>
      </c>
      <c r="AL140" s="44"/>
      <c r="AM140" s="45">
        <f>VLOOKUP($B140,'[2]E.U.'!$R$9:$AZ$205,11,FALSE)</f>
        <v>1564.68</v>
      </c>
      <c r="AN140" s="45">
        <f>VLOOKUP($B140,'[3]E.U.'!$R9:$AZ$225,11,FALSE)</f>
        <v>1863.61</v>
      </c>
      <c r="AO140" s="45">
        <f>VLOOKUP($B140,'[4]E.U.'!$R$9:$BZ$225,11,FALSE)</f>
        <v>1547.2137576474488</v>
      </c>
      <c r="AP140" s="45">
        <f>VLOOKUP($B140,'[5]E.U.'!$R$9:$BZ$225,11,FALSE)</f>
        <v>1733.795764210076</v>
      </c>
      <c r="AQ140" s="45">
        <f>VLOOKUP($B140,'[6]E.U.'!$R$9:$CA$225,11,FALSE)</f>
        <v>1974.894640444197</v>
      </c>
      <c r="AR140" s="45">
        <f>VLOOKUP($B140,'[7]E.U.'!$R$9:$AZ$225,11,FALSE)</f>
        <v>1837.3434854988463</v>
      </c>
      <c r="AS140" s="45">
        <f>VLOOKUP($B140,'[8]E.U.'!$R$9:$AZ$225,11,FALSE)</f>
        <v>3215.8214571145695</v>
      </c>
      <c r="AT140" s="45">
        <f>VLOOKUP($B140,'[9]E.U.'!$R$9:$AZ$221,11,FALSE)</f>
        <v>1682.422952014588</v>
      </c>
      <c r="AU140" s="45"/>
      <c r="AV140" s="45">
        <f>VLOOKUP($B140,'[10]E.U.'!$R$9:$AZ$221,11,FALSE)</f>
        <v>1647.7367338936201</v>
      </c>
      <c r="AW140" s="45">
        <f>VLOOKUP($B140,'[11]E.U.'!$R$9:$AZ$220,11,FALSE)</f>
        <v>1526.65560507943</v>
      </c>
      <c r="AX140" s="252"/>
      <c r="AY140" s="45">
        <f>VLOOKUP($B140,'[12]E.U.'!$R$9:$AZ$220,11,FALSE)</f>
        <v>2570.3023623209729</v>
      </c>
      <c r="AZ140" s="45"/>
      <c r="BA140" s="45">
        <f>VLOOKUP($B140,'[13]E.U.'!$R$9:$AZ$221,11,FALSE)</f>
        <v>2420.453330231177</v>
      </c>
      <c r="BB140" s="46">
        <f t="shared" si="15"/>
        <v>23584.930088454927</v>
      </c>
      <c r="BC140" s="47" t="e">
        <f>SUM(#REF!)</f>
        <v>#REF!</v>
      </c>
      <c r="BD140" s="43" t="e">
        <f>VLOOKUP(V140,[14]ELECTRIC!$C$1:$H$4000,6,FALSE)</f>
        <v>#N/A</v>
      </c>
      <c r="BE140" s="43" t="e">
        <f t="shared" si="19"/>
        <v>#N/A</v>
      </c>
      <c r="BF140" s="48">
        <f t="shared" si="23"/>
        <v>23584.930088454927</v>
      </c>
      <c r="BG140" s="49">
        <f t="shared" si="18"/>
        <v>41088.317489815403</v>
      </c>
      <c r="BH140" s="43" t="e">
        <f>IF(BC140=0,0,(BB140*(AK140/BC140)))</f>
        <v>#REF!</v>
      </c>
      <c r="BI140" s="50" t="e">
        <f t="shared" si="24"/>
        <v>#REF!</v>
      </c>
      <c r="BJ140" s="51">
        <f t="shared" si="22"/>
        <v>-0.11680788339002501</v>
      </c>
      <c r="BK140" s="52"/>
      <c r="BL140" s="52"/>
      <c r="BM140" s="52"/>
      <c r="BN140" s="52"/>
      <c r="BO140" s="72"/>
      <c r="BP140" s="52"/>
      <c r="BQ140" s="52"/>
      <c r="BR140" s="50"/>
      <c r="BS140" s="53"/>
      <c r="BT140" s="53"/>
      <c r="BU140" s="65"/>
      <c r="BV140" s="55"/>
      <c r="BW140" s="55"/>
      <c r="BX140" s="56"/>
      <c r="BY140" s="67"/>
      <c r="BZ140" s="58"/>
    </row>
    <row r="141" spans="1:78" ht="15.6" x14ac:dyDescent="0.3">
      <c r="A141" s="81" t="s">
        <v>1359</v>
      </c>
      <c r="B141" s="38">
        <v>1928</v>
      </c>
      <c r="C141" s="100" t="s">
        <v>400</v>
      </c>
      <c r="D141" s="100" t="s">
        <v>2598</v>
      </c>
      <c r="E141" s="40" t="s">
        <v>401</v>
      </c>
      <c r="F141" s="41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 t="str">
        <f>VLOOKUP(D141,[1]ALL!$A$15:$Z$983,3,FALSE)</f>
        <v>PSB8NELC</v>
      </c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>
        <v>3316.09</v>
      </c>
      <c r="AL141" s="44"/>
      <c r="AM141" s="45">
        <f>VLOOKUP($B141,'[2]E.U.'!$R$9:$AZ$205,11,FALSE)</f>
        <v>346.05</v>
      </c>
      <c r="AN141" s="45">
        <f>VLOOKUP($B141,'[3]E.U.'!$R10:$AZ$225,11,FALSE)</f>
        <v>439.44</v>
      </c>
      <c r="AO141" s="45">
        <f>VLOOKUP($B141,'[4]E.U.'!$R$9:$BZ$225,11,FALSE)</f>
        <v>383.79452026551064</v>
      </c>
      <c r="AP141" s="45">
        <f>VLOOKUP($B141,'[5]E.U.'!$R$9:$BZ$225,11,FALSE)</f>
        <v>325.28410488814706</v>
      </c>
      <c r="AQ141" s="45">
        <f>VLOOKUP($B141,'[6]E.U.'!$R$9:$CA$225,11,FALSE)</f>
        <v>350.46214908417926</v>
      </c>
      <c r="AR141" s="45">
        <f>VLOOKUP($B141,'[7]E.U.'!$R$9:$AZ$225,11,FALSE)</f>
        <v>278.66986065117669</v>
      </c>
      <c r="AS141" s="45">
        <f>+VLOOKUP($B139,'[8]E.U.'!$R$9:$AZ$225,11,FALSE)</f>
        <v>279.50593150000327</v>
      </c>
      <c r="AT141" s="45">
        <f>VLOOKUP($B141,'[9]E.U.'!$R$9:$AZ$221,11,FALSE)</f>
        <v>256.79611428618165</v>
      </c>
      <c r="AU141" s="45"/>
      <c r="AV141" s="45">
        <f>VLOOKUP($B141,'[10]E.U.'!$R$9:$AZ$221,11,FALSE)</f>
        <v>250.99781263189473</v>
      </c>
      <c r="AW141" s="45">
        <f>VLOOKUP($B141,'[11]E.U.'!$R$9:$AZ$220,11,FALSE)</f>
        <v>232.74468608711527</v>
      </c>
      <c r="AX141" s="252"/>
      <c r="AY141" s="45">
        <f>VLOOKUP($B141,'[12]E.U.'!$R$9:$AZ$220,11,FALSE)</f>
        <v>283.69954492101994</v>
      </c>
      <c r="AZ141" s="45"/>
      <c r="BA141" s="45">
        <f>VLOOKUP($B141,'[13]E.U.'!$R$9:$AZ$221,11,FALSE)</f>
        <v>277.26196814975629</v>
      </c>
      <c r="BB141" s="46">
        <f t="shared" si="15"/>
        <v>3704.7066924649853</v>
      </c>
      <c r="BC141" s="47" t="e">
        <f>SUM(#REF!)</f>
        <v>#REF!</v>
      </c>
      <c r="BD141" s="43"/>
      <c r="BE141" s="43"/>
      <c r="BF141" s="48">
        <f t="shared" si="23"/>
        <v>3704.7066924649853</v>
      </c>
      <c r="BG141" s="49"/>
      <c r="BH141" s="43">
        <f>BF141</f>
        <v>3704.7066924649853</v>
      </c>
      <c r="BI141" s="50" t="e">
        <f t="shared" si="24"/>
        <v>#REF!</v>
      </c>
      <c r="BJ141" s="51">
        <f t="shared" si="22"/>
        <v>0.11719123801374054</v>
      </c>
      <c r="BK141" s="52"/>
      <c r="BL141" s="52"/>
      <c r="BM141" s="52"/>
      <c r="BN141" s="52"/>
      <c r="BO141" s="72"/>
      <c r="BP141" s="52"/>
      <c r="BQ141" s="52"/>
      <c r="BR141" s="50"/>
      <c r="BS141" s="53"/>
      <c r="BT141" s="53"/>
      <c r="BU141" s="65"/>
      <c r="BV141" s="55"/>
      <c r="BW141" s="55"/>
      <c r="BX141" s="56"/>
      <c r="BY141" s="67"/>
      <c r="BZ141" s="58"/>
    </row>
    <row r="142" spans="1:78" ht="15.6" x14ac:dyDescent="0.3">
      <c r="A142" s="81" t="s">
        <v>1222</v>
      </c>
      <c r="B142" s="38" t="s">
        <v>402</v>
      </c>
      <c r="C142" s="1" t="s">
        <v>403</v>
      </c>
      <c r="D142" s="39"/>
      <c r="E142" s="40" t="s">
        <v>404</v>
      </c>
      <c r="F142" s="41">
        <v>0</v>
      </c>
      <c r="G142" s="42" t="s">
        <v>2599</v>
      </c>
      <c r="H142" s="42" t="s">
        <v>2599</v>
      </c>
      <c r="I142" s="42" t="s">
        <v>2599</v>
      </c>
      <c r="J142" s="42" t="s">
        <v>2600</v>
      </c>
      <c r="K142" s="42" t="s">
        <v>2601</v>
      </c>
      <c r="L142" s="42" t="s">
        <v>2602</v>
      </c>
      <c r="M142" s="42" t="s">
        <v>2603</v>
      </c>
      <c r="N142" s="42" t="s">
        <v>2604</v>
      </c>
      <c r="O142" s="42" t="s">
        <v>2605</v>
      </c>
      <c r="P142" s="42" t="s">
        <v>2606</v>
      </c>
      <c r="Q142" s="42" t="s">
        <v>2607</v>
      </c>
      <c r="R142" s="42"/>
      <c r="S142" s="42"/>
      <c r="T142" s="42"/>
      <c r="U142" s="42"/>
      <c r="V142" s="42"/>
      <c r="W142" s="43">
        <v>4387.2299999999996</v>
      </c>
      <c r="X142" s="43">
        <v>4626.3599999999997</v>
      </c>
      <c r="Y142" s="43">
        <v>4747.5</v>
      </c>
      <c r="Z142" s="43">
        <v>4987.41</v>
      </c>
      <c r="AA142" s="43">
        <v>4984.63</v>
      </c>
      <c r="AB142" s="43">
        <v>4965.75</v>
      </c>
      <c r="AC142" s="43">
        <v>4343.07</v>
      </c>
      <c r="AD142" s="43">
        <v>4418.07</v>
      </c>
      <c r="AE142" s="43">
        <v>0</v>
      </c>
      <c r="AF142" s="43">
        <v>0</v>
      </c>
      <c r="AG142" s="43">
        <v>0</v>
      </c>
      <c r="AH142" s="43">
        <v>0</v>
      </c>
      <c r="AI142" s="43">
        <v>0</v>
      </c>
      <c r="AJ142" s="43"/>
      <c r="AK142" s="43"/>
      <c r="AL142" s="262" t="s">
        <v>1898</v>
      </c>
      <c r="AM142" s="45">
        <f>VLOOKUP($B142,'[2]E.U.'!$R$9:$AZ$205,11,FALSE)</f>
        <v>0</v>
      </c>
      <c r="AN142" s="45">
        <f>VLOOKUP($B142,'[3]E.U.'!$R9:$AZ$225,11,FALSE)</f>
        <v>0</v>
      </c>
      <c r="AO142" s="45">
        <f>VLOOKUP($B142,'[4]E.U.'!$R$9:$BZ$225,11,FALSE)</f>
        <v>0</v>
      </c>
      <c r="AP142" s="45">
        <f>VLOOKUP($B142,'[5]E.U.'!$R$9:$BZ$225,11,FALSE)</f>
        <v>0</v>
      </c>
      <c r="AQ142" s="45">
        <f>VLOOKUP($B142,'[6]E.U.'!$R$9:$CA$225,11,FALSE)</f>
        <v>0</v>
      </c>
      <c r="AR142" s="45">
        <f>VLOOKUP($B142,'[7]E.U.'!$R$9:$AZ$225,11,FALSE)</f>
        <v>0</v>
      </c>
      <c r="AS142" s="45">
        <f>VLOOKUP($B142,'[8]E.U.'!$R$9:$AZ$225,11,FALSE)</f>
        <v>0</v>
      </c>
      <c r="AT142" s="45">
        <f>VLOOKUP($B142,'[9]E.U.'!$R$9:$AZ$221,11,FALSE)</f>
        <v>0</v>
      </c>
      <c r="AU142" s="45"/>
      <c r="AV142" s="45">
        <f>VLOOKUP($B142,'[10]E.U.'!$R$9:$AZ$221,11,FALSE)</f>
        <v>0</v>
      </c>
      <c r="AW142" s="45" t="e">
        <f>VLOOKUP($B142,'[11]E.U.'!$R$9:$AZ$220,11,FALSE)</f>
        <v>#REF!</v>
      </c>
      <c r="AX142" s="45"/>
      <c r="AY142" s="45" t="e">
        <f>VLOOKUP($B142,'[12]E.U.'!$R$9:$AZ$220,11,FALSE)</f>
        <v>#REF!</v>
      </c>
      <c r="AZ142" s="45"/>
      <c r="BA142" s="45">
        <f>VLOOKUP($B142,'[13]E.U.'!$R$9:$AZ$221,11,FALSE)</f>
        <v>0</v>
      </c>
      <c r="BB142" s="46" t="e">
        <f t="shared" si="15"/>
        <v>#REF!</v>
      </c>
      <c r="BC142" s="47" t="e">
        <f>SUM(#REF!)</f>
        <v>#REF!</v>
      </c>
      <c r="BD142" s="43"/>
      <c r="BE142" s="43" t="e">
        <f t="shared" si="19"/>
        <v>#REF!</v>
      </c>
      <c r="BF142" s="48" t="e">
        <f t="shared" si="23"/>
        <v>#REF!</v>
      </c>
      <c r="BG142" s="49" t="e">
        <f t="shared" si="18"/>
        <v>#REF!</v>
      </c>
      <c r="BH142" s="43" t="e">
        <f t="shared" ref="BH142:BH154" si="25">IF(BC142=0,0,(BB142*(AK142/BC142)))</f>
        <v>#REF!</v>
      </c>
      <c r="BI142" s="50" t="e">
        <f t="shared" si="24"/>
        <v>#REF!</v>
      </c>
      <c r="BJ142" s="51" t="e">
        <f t="shared" si="22"/>
        <v>#REF!</v>
      </c>
      <c r="BK142" s="52"/>
      <c r="BL142" s="52"/>
      <c r="BM142" s="52"/>
      <c r="BN142" s="52"/>
      <c r="BO142" s="72"/>
      <c r="BP142" s="52"/>
      <c r="BQ142" s="52"/>
      <c r="BR142" s="50"/>
      <c r="BS142" s="53"/>
      <c r="BT142" s="53"/>
      <c r="BU142" s="65"/>
      <c r="BV142" s="55"/>
      <c r="BW142" s="55"/>
      <c r="BX142" s="56"/>
      <c r="BY142" s="57"/>
      <c r="BZ142" s="58"/>
    </row>
    <row r="143" spans="1:78" ht="15.6" x14ac:dyDescent="0.3">
      <c r="A143" s="81" t="s">
        <v>1222</v>
      </c>
      <c r="B143" s="38" t="s">
        <v>405</v>
      </c>
      <c r="C143" s="1" t="s">
        <v>406</v>
      </c>
      <c r="D143" s="39" t="s">
        <v>2608</v>
      </c>
      <c r="E143" s="40" t="s">
        <v>407</v>
      </c>
      <c r="F143" s="41">
        <v>0</v>
      </c>
      <c r="G143" s="42" t="s">
        <v>2609</v>
      </c>
      <c r="H143" s="42" t="s">
        <v>2609</v>
      </c>
      <c r="I143" s="42" t="s">
        <v>2609</v>
      </c>
      <c r="J143" s="42" t="s">
        <v>2610</v>
      </c>
      <c r="K143" s="42" t="s">
        <v>2611</v>
      </c>
      <c r="L143" s="42" t="s">
        <v>2612</v>
      </c>
      <c r="M143" s="42" t="s">
        <v>2613</v>
      </c>
      <c r="N143" s="42" t="s">
        <v>2614</v>
      </c>
      <c r="O143" s="42" t="s">
        <v>2615</v>
      </c>
      <c r="P143" s="42" t="s">
        <v>2616</v>
      </c>
      <c r="Q143" s="42" t="s">
        <v>2617</v>
      </c>
      <c r="R143" s="42" t="s">
        <v>2618</v>
      </c>
      <c r="S143" s="42" t="s">
        <v>2619</v>
      </c>
      <c r="T143" s="42" t="s">
        <v>2620</v>
      </c>
      <c r="U143" s="42" t="s">
        <v>2621</v>
      </c>
      <c r="V143" s="42" t="str">
        <f>VLOOKUP(D143,[1]ALL!$A$15:$Z$983,3,FALSE)</f>
        <v>RZC-EGW</v>
      </c>
      <c r="W143" s="43">
        <v>120509.75</v>
      </c>
      <c r="X143" s="43">
        <v>129839.42</v>
      </c>
      <c r="Y143" s="43">
        <v>145683.69834999999</v>
      </c>
      <c r="Z143" s="43">
        <v>144106.34</v>
      </c>
      <c r="AA143" s="43">
        <v>162545.79999999999</v>
      </c>
      <c r="AB143" s="43">
        <v>153980.57999999999</v>
      </c>
      <c r="AC143" s="43">
        <v>176136.99</v>
      </c>
      <c r="AD143" s="43">
        <v>173285.7</v>
      </c>
      <c r="AE143" s="43">
        <v>218226.33</v>
      </c>
      <c r="AF143" s="43">
        <v>183810.9</v>
      </c>
      <c r="AG143" s="43">
        <v>180638.66</v>
      </c>
      <c r="AH143" s="43">
        <v>180107.91</v>
      </c>
      <c r="AI143" s="43">
        <v>196021.5</v>
      </c>
      <c r="AJ143" s="43">
        <v>197114.4</v>
      </c>
      <c r="AK143" s="43">
        <v>205321.67</v>
      </c>
      <c r="AL143" s="44"/>
      <c r="AM143" s="45">
        <f>VLOOKUP($B143,'[2]E.U.'!$R$9:$AZ$205,11,FALSE)</f>
        <v>12572.11</v>
      </c>
      <c r="AN143" s="45">
        <f>VLOOKUP($B143,'[3]E.U.'!$R9:$AZ$225,11,FALSE)</f>
        <v>16149.009999999998</v>
      </c>
      <c r="AO143" s="45">
        <f>VLOOKUP($B143,'[4]E.U.'!$R$9:$BZ$225,11,FALSE)</f>
        <v>15913.54</v>
      </c>
      <c r="AP143" s="45">
        <f>VLOOKUP($B143,'[5]E.U.'!$R$9:$BZ$225,11,FALSE)</f>
        <v>18286.57</v>
      </c>
      <c r="AQ143" s="45">
        <f>VLOOKUP($B143,'[6]E.U.'!$R$9:$CA$225,11,FALSE)</f>
        <v>18899.919999999998</v>
      </c>
      <c r="AR143" s="113">
        <f>VLOOKUP($B143,'[7]E.U.'!$R$9:$AZ$225,11,FALSE)</f>
        <v>15166.11</v>
      </c>
      <c r="AS143" s="45">
        <f>VLOOKUP($B143,'[8]E.U.'!$R$9:$AZ$225,11,FALSE)</f>
        <v>14269.51</v>
      </c>
      <c r="AT143" s="45">
        <f>VLOOKUP($B143,'[9]E.U.'!$R$9:$AZ$221,11,FALSE)</f>
        <v>10846.77</v>
      </c>
      <c r="AU143" s="45"/>
      <c r="AV143" s="45">
        <f>VLOOKUP($B143,'[10]E.U.'!$R$9:$AZ$221,11,FALSE)</f>
        <v>11595.310000000001</v>
      </c>
      <c r="AW143" s="45">
        <f>VLOOKUP($B143,'[11]E.U.'!$R$9:$AZ$220,11,FALSE)</f>
        <v>12368.1</v>
      </c>
      <c r="AX143" s="45"/>
      <c r="AY143" s="45">
        <f>VLOOKUP($B143,'[12]E.U.'!$R$9:$AZ$220,11,FALSE)</f>
        <v>12314.119999999999</v>
      </c>
      <c r="AZ143" s="45"/>
      <c r="BA143" s="45">
        <f>VLOOKUP($B143,'[13]E.U.'!$R$9:$AZ$221,11,FALSE)</f>
        <v>12667.3</v>
      </c>
      <c r="BB143" s="46">
        <f t="shared" si="15"/>
        <v>171048.37</v>
      </c>
      <c r="BC143" s="47" t="e">
        <f>SUM(#REF!)</f>
        <v>#REF!</v>
      </c>
      <c r="BD143" s="43" t="e">
        <f>VLOOKUP(V143,[14]ELECTRIC!$C$1:$H$4000,6,FALSE)</f>
        <v>#N/A</v>
      </c>
      <c r="BE143" s="43" t="e">
        <f t="shared" si="19"/>
        <v>#N/A</v>
      </c>
      <c r="BF143" s="48">
        <f t="shared" si="23"/>
        <v>171048.37</v>
      </c>
      <c r="BG143" s="49">
        <f t="shared" si="18"/>
        <v>297990.69602142856</v>
      </c>
      <c r="BH143" s="43" t="e">
        <f t="shared" si="25"/>
        <v>#REF!</v>
      </c>
      <c r="BI143" s="50" t="e">
        <f t="shared" si="24"/>
        <v>#REF!</v>
      </c>
      <c r="BJ143" s="51">
        <f t="shared" si="22"/>
        <v>-0.1669249037376328</v>
      </c>
      <c r="BK143" s="52"/>
      <c r="BL143" s="52"/>
      <c r="BM143" s="52"/>
      <c r="BN143" s="52"/>
      <c r="BO143" s="72"/>
      <c r="BP143" s="52"/>
      <c r="BQ143" s="52"/>
      <c r="BR143" s="50"/>
      <c r="BS143" s="53"/>
      <c r="BT143" s="53"/>
      <c r="BU143" s="65"/>
      <c r="BV143" s="55"/>
      <c r="BW143" s="55"/>
      <c r="BX143" s="56"/>
      <c r="BY143" s="57" t="s">
        <v>2535</v>
      </c>
      <c r="BZ143" s="58"/>
    </row>
    <row r="144" spans="1:78" ht="15.6" x14ac:dyDescent="0.3">
      <c r="A144" s="81" t="s">
        <v>1222</v>
      </c>
      <c r="B144" s="38" t="s">
        <v>410</v>
      </c>
      <c r="C144" s="63" t="s">
        <v>411</v>
      </c>
      <c r="D144" t="s">
        <v>2622</v>
      </c>
      <c r="E144" s="40" t="s">
        <v>412</v>
      </c>
      <c r="F144" s="41">
        <v>0</v>
      </c>
      <c r="G144" s="42" t="s">
        <v>2623</v>
      </c>
      <c r="H144" s="42" t="s">
        <v>2623</v>
      </c>
      <c r="I144" s="42" t="s">
        <v>2623</v>
      </c>
      <c r="J144" s="42" t="s">
        <v>2624</v>
      </c>
      <c r="K144" s="42" t="s">
        <v>2625</v>
      </c>
      <c r="L144" s="42" t="s">
        <v>2626</v>
      </c>
      <c r="M144" s="42" t="s">
        <v>2627</v>
      </c>
      <c r="N144" s="42" t="s">
        <v>2628</v>
      </c>
      <c r="O144" s="42" t="s">
        <v>2629</v>
      </c>
      <c r="P144" s="42" t="s">
        <v>2630</v>
      </c>
      <c r="Q144" s="42" t="s">
        <v>2631</v>
      </c>
      <c r="R144" s="42" t="s">
        <v>2632</v>
      </c>
      <c r="S144" s="42" t="s">
        <v>2633</v>
      </c>
      <c r="T144" s="42" t="s">
        <v>2634</v>
      </c>
      <c r="U144" s="42" t="s">
        <v>2635</v>
      </c>
      <c r="V144" s="42" t="str">
        <f>VLOOKUP(D144,[1]ALL!$A$15:$Z$983,3,FALSE)</f>
        <v>UPX-XGW</v>
      </c>
      <c r="W144" s="43">
        <v>41508.719112427389</v>
      </c>
      <c r="X144" s="43">
        <v>45093.522154000006</v>
      </c>
      <c r="Y144" s="43">
        <v>42081.230588999999</v>
      </c>
      <c r="Z144" s="43">
        <v>45881.401461000001</v>
      </c>
      <c r="AA144" s="43">
        <v>45426.1</v>
      </c>
      <c r="AB144" s="43">
        <v>52215.94</v>
      </c>
      <c r="AC144" s="43">
        <v>58641.540272999999</v>
      </c>
      <c r="AD144" s="43">
        <v>49949.126814999989</v>
      </c>
      <c r="AE144" s="43">
        <v>50661.554667999997</v>
      </c>
      <c r="AF144" s="43">
        <v>54928.387660999986</v>
      </c>
      <c r="AG144" s="43">
        <v>62730.469612999979</v>
      </c>
      <c r="AH144" s="43">
        <v>55820.012843999983</v>
      </c>
      <c r="AI144" s="43">
        <v>113259.03</v>
      </c>
      <c r="AJ144" s="43">
        <v>88325.56</v>
      </c>
      <c r="AK144" s="43">
        <v>99705.51</v>
      </c>
      <c r="AL144" s="44"/>
      <c r="AM144" s="45">
        <f>VLOOKUP($B144,'[2]E.U.'!$R$9:$AZ$205,11,FALSE)</f>
        <v>0</v>
      </c>
      <c r="AN144" s="45">
        <f>VLOOKUP($B144,'[3]E.U.'!$R9:$AZ$225,11,FALSE)</f>
        <v>14722.607625000001</v>
      </c>
      <c r="AO144" s="45">
        <f>VLOOKUP($B144,'[4]E.U.'!$R$9:$BZ$225,11,FALSE)</f>
        <v>8022.0423499999997</v>
      </c>
      <c r="AP144" s="45">
        <f>VLOOKUP($B144,'[5]E.U.'!$R$9:$BZ$225,11,FALSE)</f>
        <v>21320.08138</v>
      </c>
      <c r="AQ144" s="45">
        <f>VLOOKUP($B144,'[6]E.U.'!$R$9:$CA$225,11,FALSE)</f>
        <v>0</v>
      </c>
      <c r="AR144" s="45">
        <f>VLOOKUP($B144,'[7]E.U.'!$R$9:$AZ$225,11,FALSE)</f>
        <v>16518.7219</v>
      </c>
      <c r="AS144" s="45">
        <f>VLOOKUP($B144,'[8]E.U.'!$R$9:$AZ$225,11,FALSE)</f>
        <v>7625.3140850000009</v>
      </c>
      <c r="AT144" s="45">
        <f>VLOOKUP($B144,'[9]E.U.'!$R$9:$AZ$221,11,FALSE)</f>
        <v>13311.899289999999</v>
      </c>
      <c r="AU144" s="45"/>
      <c r="AV144" s="45">
        <f>VLOOKUP($B144,'[10]E.U.'!$R$9:$AZ$221,11,FALSE)</f>
        <v>8492.2973600000005</v>
      </c>
      <c r="AW144" s="45">
        <f>VLOOKUP($B144,'[11]E.U.'!$R$9:$AZ$220,11,FALSE)</f>
        <v>8111.3102950000002</v>
      </c>
      <c r="AX144" s="45"/>
      <c r="AY144" s="45">
        <f>VLOOKUP($B144,'[12]E.U.'!$R$9:$AZ$220,11,FALSE)</f>
        <v>0</v>
      </c>
      <c r="AZ144" s="45"/>
      <c r="BA144" s="45">
        <f>VLOOKUP($B144,'[13]E.U.'!$R$9:$AZ$221,11,FALSE)</f>
        <v>17758.604865000001</v>
      </c>
      <c r="BB144" s="46">
        <f t="shared" si="15"/>
        <v>115882.87915000001</v>
      </c>
      <c r="BC144" s="47" t="e">
        <f>SUM(#REF!)</f>
        <v>#REF!</v>
      </c>
      <c r="BD144" s="43" t="e">
        <f>VLOOKUP(V144,[14]ELECTRIC!$C$1:$H$4000,6,FALSE)</f>
        <v>#N/A</v>
      </c>
      <c r="BE144" s="43" t="e">
        <f t="shared" si="19"/>
        <v>#N/A</v>
      </c>
      <c r="BF144" s="48">
        <f t="shared" si="23"/>
        <v>115882.87915000001</v>
      </c>
      <c r="BG144" s="49">
        <f t="shared" si="18"/>
        <v>201884.53017632145</v>
      </c>
      <c r="BH144" s="43" t="e">
        <f t="shared" si="25"/>
        <v>#REF!</v>
      </c>
      <c r="BI144" s="50" t="e">
        <f t="shared" si="24"/>
        <v>#REF!</v>
      </c>
      <c r="BJ144" s="51">
        <f t="shared" si="22"/>
        <v>0.16225150595990145</v>
      </c>
      <c r="BK144" s="52"/>
      <c r="BL144" s="52"/>
      <c r="BM144" s="72" t="s">
        <v>2636</v>
      </c>
      <c r="BN144" s="72"/>
      <c r="BO144" s="72"/>
      <c r="BP144" s="52"/>
      <c r="BQ144" s="52"/>
      <c r="BR144" s="50" t="s">
        <v>2637</v>
      </c>
      <c r="BS144" s="53"/>
      <c r="BT144" s="53"/>
      <c r="BU144" s="65"/>
      <c r="BV144" s="55"/>
      <c r="BW144" s="55"/>
      <c r="BX144" s="56"/>
      <c r="BY144" s="114"/>
      <c r="BZ144" s="58"/>
    </row>
    <row r="145" spans="1:78" ht="15.6" x14ac:dyDescent="0.3">
      <c r="A145" s="81" t="s">
        <v>1359</v>
      </c>
      <c r="B145" s="38" t="s">
        <v>413</v>
      </c>
      <c r="C145" s="1" t="s">
        <v>414</v>
      </c>
      <c r="D145" t="s">
        <v>2638</v>
      </c>
      <c r="E145" s="40" t="s">
        <v>415</v>
      </c>
      <c r="F145" s="41">
        <v>0</v>
      </c>
      <c r="G145" s="42" t="s">
        <v>2639</v>
      </c>
      <c r="H145" s="42" t="s">
        <v>2640</v>
      </c>
      <c r="I145" s="42" t="s">
        <v>2641</v>
      </c>
      <c r="J145" s="42" t="s">
        <v>2642</v>
      </c>
      <c r="K145" s="42" t="s">
        <v>2643</v>
      </c>
      <c r="L145" s="42" t="s">
        <v>2644</v>
      </c>
      <c r="M145" s="42" t="s">
        <v>2645</v>
      </c>
      <c r="N145" s="42" t="s">
        <v>2646</v>
      </c>
      <c r="O145" s="42" t="s">
        <v>2647</v>
      </c>
      <c r="P145" s="42" t="s">
        <v>2648</v>
      </c>
      <c r="Q145" s="42" t="s">
        <v>2649</v>
      </c>
      <c r="R145" s="42" t="s">
        <v>2650</v>
      </c>
      <c r="S145" s="42" t="s">
        <v>2651</v>
      </c>
      <c r="T145" s="42" t="s">
        <v>2652</v>
      </c>
      <c r="U145" s="42" t="s">
        <v>2653</v>
      </c>
      <c r="V145" s="42" t="str">
        <f>VLOOKUP(D145,[1]ALL!$A$15:$Z$983,3,FALSE)</f>
        <v>UPX1-ELC</v>
      </c>
      <c r="W145" s="43">
        <v>183037.9808875726</v>
      </c>
      <c r="X145" s="43">
        <v>177080.09784599999</v>
      </c>
      <c r="Y145" s="43">
        <v>166980.94941100004</v>
      </c>
      <c r="Z145" s="43">
        <v>173898.36853899999</v>
      </c>
      <c r="AA145" s="43">
        <v>178539.81</v>
      </c>
      <c r="AB145" s="43">
        <v>199295.22</v>
      </c>
      <c r="AC145" s="43">
        <v>215586.40972699999</v>
      </c>
      <c r="AD145" s="43">
        <v>242256.28318500001</v>
      </c>
      <c r="AE145" s="43">
        <v>248669.48533199998</v>
      </c>
      <c r="AF145" s="43">
        <v>270669.64233900001</v>
      </c>
      <c r="AG145" s="43">
        <v>312924.19038699998</v>
      </c>
      <c r="AH145" s="43">
        <v>287086.41715600004</v>
      </c>
      <c r="AI145" s="43">
        <v>226348.26</v>
      </c>
      <c r="AJ145" s="43">
        <v>176518.7</v>
      </c>
      <c r="AK145" s="43">
        <v>199261.53</v>
      </c>
      <c r="AL145" s="44"/>
      <c r="AM145" s="45">
        <f>VLOOKUP($B145,'[2]E.U.'!$R$9:$AZ$205,11,FALSE)</f>
        <v>0</v>
      </c>
      <c r="AN145" s="45">
        <f>VLOOKUP($B145,'[3]E.U.'!$R9:$AZ$225,11,FALSE)</f>
        <v>29423.142374999999</v>
      </c>
      <c r="AO145" s="45">
        <f>VLOOKUP($B145,'[4]E.U.'!$R$9:$BZ$225,11,FALSE)</f>
        <v>16032.057649999999</v>
      </c>
      <c r="AP145" s="45">
        <f>VLOOKUP($B145,'[5]E.U.'!$R$9:$BZ$225,11,FALSE)</f>
        <v>42608.198619999996</v>
      </c>
      <c r="AQ145" s="45">
        <f>VLOOKUP($B145,'[6]E.U.'!$R$9:$CA$225,11,FALSE)</f>
        <v>0</v>
      </c>
      <c r="AR145" s="45">
        <f>VLOOKUP($B145,'[7]E.U.'!$R$9:$AZ$225,11,FALSE)</f>
        <v>33012.678099999997</v>
      </c>
      <c r="AS145" s="45">
        <f>VLOOKUP($B145,'[8]E.U.'!$R$9:$AZ$225,11,FALSE)</f>
        <v>15239.195915</v>
      </c>
      <c r="AT145" s="45">
        <f>VLOOKUP($B145,'[9]E.U.'!$R$9:$AZ$221,11,FALSE)</f>
        <v>26603.840709999997</v>
      </c>
      <c r="AU145" s="45"/>
      <c r="AV145" s="45">
        <f>VLOOKUP($B145,'[10]E.U.'!$R$9:$AZ$221,11,FALSE)</f>
        <v>16971.862639999999</v>
      </c>
      <c r="AW145" s="45">
        <f>VLOOKUP($B145,'[11]E.U.'!$R$9:$AZ$220,11,FALSE)</f>
        <v>16210.459704999999</v>
      </c>
      <c r="AX145" s="45"/>
      <c r="AY145" s="45">
        <f>VLOOKUP($B145,'[12]E.U.'!$R$9:$AZ$220,11,FALSE)</f>
        <v>0</v>
      </c>
      <c r="AZ145" s="45"/>
      <c r="BA145" s="45">
        <f>VLOOKUP($B145,'[13]E.U.'!$R$9:$AZ$221,11,FALSE)</f>
        <v>35490.585134999994</v>
      </c>
      <c r="BB145" s="46">
        <f t="shared" si="15"/>
        <v>231592.02084999997</v>
      </c>
      <c r="BC145" s="47" t="e">
        <f>SUM(#REF!)</f>
        <v>#REF!</v>
      </c>
      <c r="BD145" s="43" t="e">
        <f>VLOOKUP(V145,[14]ELECTRIC!$C$1:$H$4000,6,FALSE)</f>
        <v>#N/A</v>
      </c>
      <c r="BE145" s="43" t="e">
        <f t="shared" si="19"/>
        <v>#N/A</v>
      </c>
      <c r="BF145" s="48">
        <f t="shared" si="23"/>
        <v>231592.02084999997</v>
      </c>
      <c r="BG145" s="49">
        <f t="shared" si="18"/>
        <v>403466.38489510707</v>
      </c>
      <c r="BH145" s="43" t="e">
        <f t="shared" si="25"/>
        <v>#REF!</v>
      </c>
      <c r="BI145" s="50" t="e">
        <f t="shared" si="24"/>
        <v>#REF!</v>
      </c>
      <c r="BJ145" s="51">
        <f t="shared" si="22"/>
        <v>0.16225154373751915</v>
      </c>
      <c r="BK145" s="263" t="e">
        <f>(1286506-894693)*(BF145/Electricity!#REF!)</f>
        <v>#REF!</v>
      </c>
      <c r="BL145" s="263" t="s">
        <v>2654</v>
      </c>
      <c r="BM145" s="72" t="s">
        <v>2655</v>
      </c>
      <c r="BN145" s="72"/>
      <c r="BO145" s="72"/>
      <c r="BP145" s="52"/>
      <c r="BQ145" s="52"/>
      <c r="BR145" s="50"/>
      <c r="BS145" s="53"/>
      <c r="BT145" s="53"/>
      <c r="BU145" s="54" t="s">
        <v>2656</v>
      </c>
      <c r="BV145" s="55"/>
      <c r="BW145" s="55"/>
      <c r="BX145" s="56" t="s">
        <v>2657</v>
      </c>
      <c r="BY145" s="114"/>
      <c r="BZ145" s="58"/>
    </row>
    <row r="146" spans="1:78" ht="15.6" x14ac:dyDescent="0.3">
      <c r="A146" s="81" t="s">
        <v>1222</v>
      </c>
      <c r="B146" s="62">
        <v>1992</v>
      </c>
      <c r="C146" s="100" t="s">
        <v>416</v>
      </c>
      <c r="D146" t="s">
        <v>2658</v>
      </c>
      <c r="E146" s="115" t="s">
        <v>417</v>
      </c>
      <c r="F146" s="41">
        <v>0</v>
      </c>
      <c r="J146" s="116" t="s">
        <v>2659</v>
      </c>
      <c r="K146" s="42" t="s">
        <v>2660</v>
      </c>
      <c r="L146" s="117" t="s">
        <v>2661</v>
      </c>
      <c r="M146" s="42" t="s">
        <v>2662</v>
      </c>
      <c r="N146" s="42" t="s">
        <v>2663</v>
      </c>
      <c r="O146" s="42" t="s">
        <v>2664</v>
      </c>
      <c r="P146" s="42" t="s">
        <v>2665</v>
      </c>
      <c r="Q146" s="42" t="s">
        <v>2666</v>
      </c>
      <c r="R146" s="42" t="s">
        <v>2667</v>
      </c>
      <c r="S146" s="42" t="s">
        <v>2668</v>
      </c>
      <c r="T146" s="42" t="s">
        <v>2669</v>
      </c>
      <c r="U146" s="42" t="s">
        <v>2670</v>
      </c>
      <c r="V146" s="42" t="str">
        <f>VLOOKUP(D146,[1]ALL!$A$15:$Z$983,3,FALSE)</f>
        <v>UPX2-ELC</v>
      </c>
      <c r="W146" s="118"/>
      <c r="X146" s="119"/>
      <c r="Y146" s="119"/>
      <c r="Z146" s="120">
        <v>11013.79</v>
      </c>
      <c r="AA146" s="43">
        <v>8190.97</v>
      </c>
      <c r="AB146" s="43">
        <v>10363.41</v>
      </c>
      <c r="AC146" s="43">
        <v>11780.45</v>
      </c>
      <c r="AD146" s="43">
        <v>14884.81</v>
      </c>
      <c r="AE146" s="43">
        <v>16792.12</v>
      </c>
      <c r="AF146" s="43">
        <v>29961.279999999999</v>
      </c>
      <c r="AG146" s="43">
        <v>11333.06</v>
      </c>
      <c r="AH146" s="43">
        <v>9365.23</v>
      </c>
      <c r="AI146" s="43">
        <v>43623.97</v>
      </c>
      <c r="AJ146" s="43">
        <v>67592.02</v>
      </c>
      <c r="AK146" s="43">
        <v>94455.55</v>
      </c>
      <c r="AL146" s="44"/>
      <c r="AM146" s="45">
        <f>VLOOKUP($B146,'[2]E.U.'!$R$9:$AZ$205,11,FALSE)</f>
        <v>7529.98</v>
      </c>
      <c r="AN146" s="45">
        <f>VLOOKUP($B146,'[3]E.U.'!$R9:$AZ$225,11,FALSE)</f>
        <v>7709.03</v>
      </c>
      <c r="AO146" s="45">
        <f>VLOOKUP($B146,'[4]E.U.'!$R$9:$BZ$225,11,FALSE)</f>
        <v>8585.1200000000008</v>
      </c>
      <c r="AP146" s="45">
        <f>VLOOKUP($B146,'[5]E.U.'!$R$9:$BZ$225,11,FALSE)</f>
        <v>8629.93</v>
      </c>
      <c r="AQ146" s="45">
        <f>VLOOKUP($B146,'[6]E.U.'!$R$9:$CA$225,11,FALSE)</f>
        <v>8470.61</v>
      </c>
      <c r="AR146" s="45">
        <f>VLOOKUP($B146,'[7]E.U.'!$R$9:$AZ$225,11,FALSE)</f>
        <v>7702.3</v>
      </c>
      <c r="AS146" s="45">
        <f>VLOOKUP($B146,'[8]E.U.'!$R$9:$AZ$225,11,FALSE)</f>
        <v>7335.33</v>
      </c>
      <c r="AT146" s="45">
        <f>VLOOKUP($B146,'[9]E.U.'!$R$9:$AZ$221,11,FALSE)</f>
        <v>6688.47</v>
      </c>
      <c r="AU146" s="45"/>
      <c r="AV146" s="45">
        <f>VLOOKUP($B146,'[10]E.U.'!$R$9:$AZ$221,11,FALSE)</f>
        <v>5834.41</v>
      </c>
      <c r="AW146" s="45">
        <f>VLOOKUP($B146,'[11]E.U.'!$R$9:$AZ$220,11,FALSE)</f>
        <v>6344.18</v>
      </c>
      <c r="AX146" s="45"/>
      <c r="AY146" s="45">
        <f>VLOOKUP($B146,'[12]E.U.'!$R$9:$AZ$220,11,FALSE)</f>
        <v>6059.21</v>
      </c>
      <c r="AZ146" s="45"/>
      <c r="BA146" s="45">
        <f>VLOOKUP($B146,'[13]E.U.'!$R$9:$AZ$221,11,FALSE)</f>
        <v>6495.27</v>
      </c>
      <c r="BB146" s="46">
        <f t="shared" ref="BB146:BB212" si="26">SUM(AM146:BA146)</f>
        <v>87383.840000000026</v>
      </c>
      <c r="BC146" s="47" t="e">
        <f>SUM(#REF!)</f>
        <v>#REF!</v>
      </c>
      <c r="BD146" s="43" t="e">
        <f>VLOOKUP(V146,[14]ELECTRIC!$C$1:$H$4000,6,FALSE)</f>
        <v>#N/A</v>
      </c>
      <c r="BE146" s="43" t="e">
        <f t="shared" si="19"/>
        <v>#N/A</v>
      </c>
      <c r="BF146" s="48">
        <f t="shared" si="23"/>
        <v>87383.840000000026</v>
      </c>
      <c r="BG146" s="49">
        <f t="shared" si="18"/>
        <v>152235.13268571434</v>
      </c>
      <c r="BH146" s="43" t="e">
        <f t="shared" si="25"/>
        <v>#REF!</v>
      </c>
      <c r="BI146" s="50" t="e">
        <f t="shared" si="24"/>
        <v>#REF!</v>
      </c>
      <c r="BJ146" s="51">
        <f t="shared" si="22"/>
        <v>-7.4868125800971796E-2</v>
      </c>
      <c r="BK146" s="264" t="e">
        <f>(0.1882-0.2227)*Electricity!#REF!</f>
        <v>#REF!</v>
      </c>
      <c r="BL146" s="264" t="s">
        <v>2671</v>
      </c>
      <c r="BM146" s="52"/>
      <c r="BN146" s="52"/>
      <c r="BO146" s="72" t="s">
        <v>2672</v>
      </c>
      <c r="BP146" s="52"/>
      <c r="BQ146" s="52"/>
      <c r="BR146" s="50"/>
      <c r="BS146" s="121"/>
      <c r="BT146" s="121"/>
      <c r="BU146" s="122"/>
      <c r="BV146" s="123"/>
      <c r="BW146" s="123"/>
      <c r="BY146" s="9"/>
      <c r="BZ146" s="9"/>
    </row>
    <row r="147" spans="1:78" ht="15.6" x14ac:dyDescent="0.3">
      <c r="A147" s="81" t="s">
        <v>694</v>
      </c>
      <c r="B147" s="38" t="s">
        <v>418</v>
      </c>
      <c r="C147" s="1" t="s">
        <v>419</v>
      </c>
      <c r="D147" t="s">
        <v>2673</v>
      </c>
      <c r="E147" s="40" t="s">
        <v>420</v>
      </c>
      <c r="F147" s="41">
        <v>0</v>
      </c>
      <c r="G147" s="42" t="s">
        <v>2674</v>
      </c>
      <c r="H147" s="42" t="s">
        <v>2674</v>
      </c>
      <c r="I147" s="42" t="s">
        <v>2674</v>
      </c>
      <c r="J147" s="42" t="s">
        <v>2675</v>
      </c>
      <c r="K147" s="42" t="s">
        <v>2676</v>
      </c>
      <c r="L147" s="42" t="s">
        <v>2677</v>
      </c>
      <c r="M147" s="42" t="s">
        <v>2678</v>
      </c>
      <c r="N147" s="42" t="s">
        <v>2679</v>
      </c>
      <c r="O147" s="42" t="s">
        <v>2680</v>
      </c>
      <c r="P147" s="42" t="s">
        <v>2681</v>
      </c>
      <c r="Q147" s="42" t="s">
        <v>2682</v>
      </c>
      <c r="R147" s="42" t="s">
        <v>2683</v>
      </c>
      <c r="S147" s="42" t="s">
        <v>2684</v>
      </c>
      <c r="T147" s="42" t="s">
        <v>2685</v>
      </c>
      <c r="U147" s="42" t="s">
        <v>2686</v>
      </c>
      <c r="V147" s="42" t="str">
        <f>VLOOKUP(D147,[1]ALL!$A$15:$Z$983,3,FALSE)</f>
        <v>LPB-EGW</v>
      </c>
      <c r="W147" s="43">
        <v>224612.34886209763</v>
      </c>
      <c r="X147" s="43">
        <v>189622.88978366082</v>
      </c>
      <c r="Y147" s="43">
        <v>177858.93862257147</v>
      </c>
      <c r="Z147" s="43">
        <f>179550.140846951</f>
        <v>179550.14084695099</v>
      </c>
      <c r="AA147" s="43">
        <v>187233.56</v>
      </c>
      <c r="AB147" s="43">
        <f>13931.19+168034.29</f>
        <v>181965.48</v>
      </c>
      <c r="AC147" s="43">
        <v>191935.13</v>
      </c>
      <c r="AD147" s="43">
        <v>199379.5</v>
      </c>
      <c r="AE147" s="43">
        <v>0</v>
      </c>
      <c r="AF147" s="43">
        <v>0</v>
      </c>
      <c r="AG147" s="43">
        <v>45348.41</v>
      </c>
      <c r="AH147" s="43">
        <v>28043.41</v>
      </c>
      <c r="AI147" s="43">
        <v>29134.61</v>
      </c>
      <c r="AJ147" s="43">
        <v>31348.28</v>
      </c>
      <c r="AK147" s="43">
        <v>36480.17</v>
      </c>
      <c r="AL147" s="44"/>
      <c r="AM147" s="45">
        <f>VLOOKUP($B147,'[2]E.U.'!$R$9:$AZ$205,11,FALSE)</f>
        <v>2696.6</v>
      </c>
      <c r="AN147" s="45">
        <f>VLOOKUP($B147,'[3]E.U.'!$R9:$AZ$225,11,FALSE)</f>
        <v>2890.85</v>
      </c>
      <c r="AO147" s="45">
        <f>VLOOKUP($B147,'[4]E.U.'!$R$9:$BZ$225,11,FALSE)</f>
        <v>3019.6841032403349</v>
      </c>
      <c r="AP147" s="45">
        <f>VLOOKUP($B147,'[5]E.U.'!$R$9:$BZ$225,11,FALSE)</f>
        <v>2821.3506222582764</v>
      </c>
      <c r="AQ147" s="45">
        <f>VLOOKUP($B147,'[6]E.U.'!$R$9:$CA$225,11,FALSE)</f>
        <v>3124.4154796142466</v>
      </c>
      <c r="AR147" s="45">
        <f>VLOOKUP($B147,'[7]E.U.'!$R$9:$AZ$225,11,FALSE)</f>
        <v>2791.2412439887457</v>
      </c>
      <c r="AS147" s="45">
        <f>VLOOKUP($B147,'[8]E.U.'!$R$9:$AZ$225,11,FALSE)</f>
        <v>3121.7989613911964</v>
      </c>
      <c r="AT147" s="45">
        <f>VLOOKUP($B147,'[9]E.U.'!$R$9:$AZ$221,11,FALSE)</f>
        <v>2639.3958087819178</v>
      </c>
      <c r="AU147" s="45"/>
      <c r="AV147" s="45">
        <f>+VLOOKUP($B147,'[10]E.U.'!$R$9:$AZ$221,11,FALSE)</f>
        <v>2598.669604569991</v>
      </c>
      <c r="AW147" s="45">
        <f>VLOOKUP($B147,'[11]E.U.'!$R$9:$AZ$220,11,FALSE)</f>
        <v>2542.8489935820139</v>
      </c>
      <c r="AX147" s="45"/>
      <c r="AY147" s="45">
        <f>VLOOKUP($B147,'[12]E.U.'!$R$9:$AZ$220,11,FALSE)</f>
        <v>2522.6910221738299</v>
      </c>
      <c r="AZ147" s="45"/>
      <c r="BA147" s="45">
        <f>VLOOKUP($B147,'[13]E.U.'!$R$9:$AZ$221,11,FALSE)</f>
        <v>2448.4741285649429</v>
      </c>
      <c r="BB147" s="46">
        <f t="shared" si="26"/>
        <v>33218.019968165492</v>
      </c>
      <c r="BC147" s="47" t="e">
        <f>SUM(#REF!)</f>
        <v>#REF!</v>
      </c>
      <c r="BD147" s="43" t="e">
        <f>VLOOKUP(V147,[14]ELECTRIC!$C$1:$H$4000,6,FALSE)</f>
        <v>#N/A</v>
      </c>
      <c r="BE147" s="43" t="e">
        <f t="shared" si="19"/>
        <v>#N/A</v>
      </c>
      <c r="BF147" s="48">
        <f t="shared" si="23"/>
        <v>33218.019968165492</v>
      </c>
      <c r="BG147" s="43">
        <f t="shared" si="18"/>
        <v>57870.536215968314</v>
      </c>
      <c r="BH147" s="43" t="e">
        <f t="shared" si="25"/>
        <v>#REF!</v>
      </c>
      <c r="BI147" s="52" t="e">
        <f t="shared" si="24"/>
        <v>#REF!</v>
      </c>
      <c r="BJ147" s="51">
        <f t="shared" si="22"/>
        <v>-8.9422555646931134E-2</v>
      </c>
      <c r="BK147" s="263" t="e">
        <f>BK145+BK146</f>
        <v>#REF!</v>
      </c>
      <c r="BL147" s="263" t="s">
        <v>2687</v>
      </c>
      <c r="BM147" s="52"/>
      <c r="BN147" s="52"/>
      <c r="BO147" s="72"/>
      <c r="BQ147" s="52"/>
      <c r="BR147" s="50"/>
      <c r="BS147" s="53"/>
      <c r="BT147" s="53"/>
      <c r="BU147" s="65"/>
      <c r="BV147" s="55"/>
      <c r="BW147" s="55"/>
      <c r="BX147" s="56"/>
      <c r="BY147" s="57"/>
      <c r="BZ147" s="58"/>
    </row>
    <row r="148" spans="1:78" ht="15.6" x14ac:dyDescent="0.3">
      <c r="A148" s="81" t="s">
        <v>694</v>
      </c>
      <c r="B148" s="38" t="s">
        <v>421</v>
      </c>
      <c r="C148" s="1" t="s">
        <v>422</v>
      </c>
      <c r="D148" s="39" t="s">
        <v>2688</v>
      </c>
      <c r="E148" s="40" t="s">
        <v>423</v>
      </c>
      <c r="F148" s="41">
        <v>0</v>
      </c>
      <c r="G148" s="42" t="s">
        <v>2689</v>
      </c>
      <c r="H148" s="42" t="s">
        <v>2689</v>
      </c>
      <c r="I148" s="42" t="s">
        <v>2689</v>
      </c>
      <c r="J148" s="42" t="s">
        <v>2690</v>
      </c>
      <c r="K148" s="42" t="s">
        <v>2691</v>
      </c>
      <c r="L148" s="42" t="s">
        <v>2692</v>
      </c>
      <c r="M148" s="42" t="s">
        <v>2693</v>
      </c>
      <c r="N148" s="42" t="s">
        <v>2694</v>
      </c>
      <c r="O148" s="42" t="s">
        <v>2695</v>
      </c>
      <c r="P148" s="42" t="s">
        <v>2696</v>
      </c>
      <c r="Q148" s="42" t="s">
        <v>2697</v>
      </c>
      <c r="R148" s="42" t="s">
        <v>2698</v>
      </c>
      <c r="S148" s="42"/>
      <c r="T148" s="42"/>
      <c r="U148" s="42"/>
      <c r="V148" s="42"/>
      <c r="W148" s="43">
        <v>0</v>
      </c>
      <c r="X148" s="43">
        <v>0</v>
      </c>
      <c r="Y148" s="43">
        <v>0</v>
      </c>
      <c r="Z148" s="43">
        <v>0</v>
      </c>
      <c r="AA148" s="43">
        <v>0</v>
      </c>
      <c r="AB148" s="43">
        <v>0</v>
      </c>
      <c r="AC148" s="43">
        <v>0</v>
      </c>
      <c r="AD148" s="43">
        <v>0</v>
      </c>
      <c r="AE148" s="43">
        <v>0</v>
      </c>
      <c r="AF148" s="43">
        <v>0</v>
      </c>
      <c r="AG148" s="43">
        <v>0</v>
      </c>
      <c r="AH148" s="43">
        <v>0</v>
      </c>
      <c r="AI148" s="43">
        <v>0</v>
      </c>
      <c r="AJ148" s="43">
        <v>0</v>
      </c>
      <c r="AK148" s="43"/>
      <c r="AL148" s="44"/>
      <c r="AM148" s="45">
        <f>VLOOKUP($B148,'[2]E.U.'!$R$9:$AZ$205,11,FALSE)</f>
        <v>0</v>
      </c>
      <c r="AN148" s="45">
        <f>VLOOKUP($B148,'[3]E.U.'!$R9:$AZ$225,11,FALSE)</f>
        <v>0</v>
      </c>
      <c r="AO148" s="45">
        <f>VLOOKUP($B148,'[4]E.U.'!$R$9:$BZ$225,11,FALSE)</f>
        <v>0</v>
      </c>
      <c r="AP148" s="45">
        <f>VLOOKUP($B148,'[5]E.U.'!$R$9:$BZ$225,11,FALSE)</f>
        <v>0</v>
      </c>
      <c r="AQ148" s="45">
        <f>VLOOKUP($B148,'[6]E.U.'!$R$9:$CA$225,11,FALSE)</f>
        <v>0</v>
      </c>
      <c r="AR148" s="45">
        <f>VLOOKUP($B148,'[7]E.U.'!$R$9:$AZ$225,11,FALSE)</f>
        <v>0</v>
      </c>
      <c r="AS148" s="45">
        <f>VLOOKUP($B148,'[8]E.U.'!$R$9:$AZ$225,11,FALSE)</f>
        <v>0</v>
      </c>
      <c r="AT148" s="45">
        <f>VLOOKUP($B148,'[9]E.U.'!$R$9:$AZ$221,11,FALSE)</f>
        <v>0</v>
      </c>
      <c r="AU148" s="45"/>
      <c r="AV148" s="45">
        <f>VLOOKUP($B148,'[10]E.U.'!$R$9:$AZ$221,11,FALSE)</f>
        <v>0</v>
      </c>
      <c r="AW148" s="45" t="e">
        <f>VLOOKUP($B148,'[11]E.U.'!$R$9:$AZ$220,11,FALSE)</f>
        <v>#REF!</v>
      </c>
      <c r="AX148" s="45"/>
      <c r="AY148" s="45" t="e">
        <f>VLOOKUP($B148,'[12]E.U.'!$R$9:$AZ$220,11,FALSE)</f>
        <v>#REF!</v>
      </c>
      <c r="AZ148" s="45"/>
      <c r="BA148" s="45">
        <f>VLOOKUP($B148,'[13]E.U.'!$R$9:$AZ$221,11,FALSE)</f>
        <v>0</v>
      </c>
      <c r="BB148" s="46" t="e">
        <f t="shared" si="26"/>
        <v>#REF!</v>
      </c>
      <c r="BC148" s="47" t="e">
        <f>SUM(#REF!)</f>
        <v>#REF!</v>
      </c>
      <c r="BD148" s="43"/>
      <c r="BE148" s="43" t="e">
        <f t="shared" si="19"/>
        <v>#REF!</v>
      </c>
      <c r="BF148" s="48" t="e">
        <f t="shared" si="23"/>
        <v>#REF!</v>
      </c>
      <c r="BG148" s="49" t="e">
        <f t="shared" si="18"/>
        <v>#REF!</v>
      </c>
      <c r="BH148" s="43" t="e">
        <f t="shared" si="25"/>
        <v>#REF!</v>
      </c>
      <c r="BI148" s="50" t="e">
        <f t="shared" si="24"/>
        <v>#REF!</v>
      </c>
      <c r="BJ148" s="51" t="e">
        <f t="shared" si="22"/>
        <v>#REF!</v>
      </c>
      <c r="BK148" s="52"/>
      <c r="BL148" s="52"/>
      <c r="BM148" s="52"/>
      <c r="BN148" s="52"/>
      <c r="BO148" s="72"/>
      <c r="BP148" s="52"/>
      <c r="BQ148" s="52"/>
      <c r="BR148" s="50"/>
      <c r="BS148" s="53"/>
      <c r="BT148" s="53"/>
      <c r="BU148" s="65"/>
      <c r="BV148" s="55"/>
      <c r="BW148" s="55"/>
      <c r="BX148" s="56"/>
      <c r="BY148" s="57"/>
      <c r="BZ148" s="58"/>
    </row>
    <row r="149" spans="1:78" ht="15.75" customHeight="1" x14ac:dyDescent="0.3">
      <c r="A149" s="81" t="s">
        <v>694</v>
      </c>
      <c r="B149" s="38" t="s">
        <v>424</v>
      </c>
      <c r="C149" s="1" t="s">
        <v>425</v>
      </c>
      <c r="D149" s="39" t="s">
        <v>2699</v>
      </c>
      <c r="E149" s="40" t="s">
        <v>426</v>
      </c>
      <c r="F149" s="41">
        <v>0</v>
      </c>
      <c r="G149" s="42" t="s">
        <v>2700</v>
      </c>
      <c r="H149" s="42" t="s">
        <v>2700</v>
      </c>
      <c r="I149" s="42" t="s">
        <v>2700</v>
      </c>
      <c r="J149" s="42" t="s">
        <v>2701</v>
      </c>
      <c r="K149" s="42" t="s">
        <v>2702</v>
      </c>
      <c r="L149" s="42" t="s">
        <v>2703</v>
      </c>
      <c r="M149" s="42" t="s">
        <v>2704</v>
      </c>
      <c r="N149" s="42" t="s">
        <v>2705</v>
      </c>
      <c r="O149" s="42" t="s">
        <v>2706</v>
      </c>
      <c r="P149" s="42" t="s">
        <v>2707</v>
      </c>
      <c r="Q149" s="42" t="s">
        <v>2708</v>
      </c>
      <c r="R149" s="42" t="s">
        <v>2709</v>
      </c>
      <c r="S149" s="42" t="s">
        <v>2710</v>
      </c>
      <c r="T149" s="42" t="s">
        <v>2711</v>
      </c>
      <c r="U149" s="42" t="s">
        <v>2712</v>
      </c>
      <c r="V149" s="42" t="str">
        <f>VLOOKUP(D149,[1]ALL!$A$15:$Z$983,3,FALSE)</f>
        <v>CTC-EGW</v>
      </c>
      <c r="W149" s="43">
        <v>0</v>
      </c>
      <c r="X149" s="43">
        <v>0</v>
      </c>
      <c r="Y149" s="43">
        <v>0</v>
      </c>
      <c r="Z149" s="43">
        <v>0</v>
      </c>
      <c r="AA149" s="43">
        <v>0</v>
      </c>
      <c r="AB149" s="43">
        <v>0</v>
      </c>
      <c r="AC149" s="43">
        <v>0</v>
      </c>
      <c r="AD149" s="43">
        <v>0</v>
      </c>
      <c r="AE149" s="43">
        <v>212911.58</v>
      </c>
      <c r="AF149" s="43">
        <v>87875.48</v>
      </c>
      <c r="AG149" s="43">
        <v>10809.85</v>
      </c>
      <c r="AH149" s="43">
        <v>34653.39</v>
      </c>
      <c r="AI149" s="43">
        <v>33434.839999999997</v>
      </c>
      <c r="AJ149" s="43">
        <v>38169.33</v>
      </c>
      <c r="AK149" s="43">
        <v>40724.75</v>
      </c>
      <c r="AL149" s="44"/>
      <c r="AM149" s="45">
        <f>VLOOKUP($B149,'[2]E.U.'!$R$9:$AZ$205,11,FALSE)</f>
        <v>2953.52</v>
      </c>
      <c r="AN149" s="45">
        <f>VLOOKUP($B149,'[3]E.U.'!$R9:$AZ$225,11,FALSE)</f>
        <v>3276.67</v>
      </c>
      <c r="AO149" s="45">
        <f>VLOOKUP($B149,'[4]E.U.'!$R$9:$BZ$225,11,FALSE)</f>
        <v>2991.2996680274409</v>
      </c>
      <c r="AP149" s="45">
        <f>VLOOKUP($B149,'[5]E.U.'!$R$9:$BZ$225,11,FALSE)</f>
        <v>2743.0263088054594</v>
      </c>
      <c r="AQ149" s="45">
        <f>VLOOKUP($B149,'[6]E.U.'!$R$9:$CA$225,11,FALSE)</f>
        <v>3172.0360656103694</v>
      </c>
      <c r="AR149" s="45">
        <f>VLOOKUP($B149,'[7]E.U.'!$R$9:$AZ$225,11,FALSE)</f>
        <v>2721.5630814181022</v>
      </c>
      <c r="AS149" s="45">
        <f>VLOOKUP($B149,'[8]E.U.'!$R$9:$AZ$225,11,FALSE)</f>
        <v>3062.664536176781</v>
      </c>
      <c r="AT149" s="45">
        <f>VLOOKUP($B149,'[9]E.U.'!$R$9:$AZ$221,11,FALSE)</f>
        <v>3059.0145185541537</v>
      </c>
      <c r="AU149" s="45"/>
      <c r="AV149" s="45">
        <f>VLOOKUP($B149,'[10]E.U.'!$R$9:$AZ$221,11,FALSE)</f>
        <v>2818.7108628734791</v>
      </c>
      <c r="AW149" s="45">
        <f>VLOOKUP($B149,'[11]E.U.'!$R$9:$AZ$220,11,FALSE)</f>
        <v>3267.8756520809025</v>
      </c>
      <c r="AX149" s="252"/>
      <c r="AY149" s="45">
        <f>VLOOKUP($B149,'[12]E.U.'!$R$9:$AZ$220,11,FALSE)</f>
        <v>2941.8039539277256</v>
      </c>
      <c r="AZ149" s="45"/>
      <c r="BA149" s="45">
        <f>VLOOKUP($B149,'[13]E.U.'!$R$9:$AZ$221,11,FALSE)</f>
        <v>2901.7545344788791</v>
      </c>
      <c r="BB149" s="46">
        <f t="shared" si="26"/>
        <v>35909.939181953298</v>
      </c>
      <c r="BC149" s="47" t="e">
        <f>SUM(#REF!)</f>
        <v>#REF!</v>
      </c>
      <c r="BD149" s="43" t="e">
        <f>VLOOKUP(V149,[14]ELECTRIC!$C$1:$H$4000,6,FALSE)</f>
        <v>#N/A</v>
      </c>
      <c r="BE149" s="43" t="e">
        <f t="shared" si="19"/>
        <v>#N/A</v>
      </c>
      <c r="BF149" s="48">
        <f t="shared" si="23"/>
        <v>35909.939181953298</v>
      </c>
      <c r="BG149" s="49">
        <f t="shared" si="18"/>
        <v>62560.244046274354</v>
      </c>
      <c r="BH149" s="43" t="e">
        <f t="shared" si="25"/>
        <v>#REF!</v>
      </c>
      <c r="BI149" s="50" t="e">
        <f t="shared" si="24"/>
        <v>#REF!</v>
      </c>
      <c r="BJ149" s="51">
        <f t="shared" si="22"/>
        <v>-0.11822812461824084</v>
      </c>
      <c r="BK149" s="52"/>
      <c r="BL149" s="52"/>
      <c r="BM149" s="52"/>
      <c r="BN149" s="52"/>
      <c r="BO149" s="72"/>
      <c r="BP149" s="105" t="s">
        <v>2713</v>
      </c>
      <c r="BQ149" s="52"/>
      <c r="BR149" s="50"/>
      <c r="BS149" s="53" t="s">
        <v>2714</v>
      </c>
      <c r="BT149" s="53"/>
      <c r="BU149" s="65"/>
      <c r="BV149" s="55"/>
      <c r="BW149" s="55"/>
      <c r="BX149" s="56"/>
      <c r="BY149" s="57"/>
      <c r="BZ149" s="58"/>
    </row>
    <row r="150" spans="1:78" ht="15.6" x14ac:dyDescent="0.3">
      <c r="A150" s="81" t="s">
        <v>1359</v>
      </c>
      <c r="B150" s="38" t="s">
        <v>429</v>
      </c>
      <c r="C150" s="63" t="s">
        <v>2715</v>
      </c>
      <c r="D150" t="s">
        <v>2716</v>
      </c>
      <c r="E150" s="40" t="s">
        <v>431</v>
      </c>
      <c r="F150" s="41">
        <v>0</v>
      </c>
      <c r="G150" s="42" t="s">
        <v>2717</v>
      </c>
      <c r="H150" s="42" t="s">
        <v>2718</v>
      </c>
      <c r="I150" s="42" t="s">
        <v>2719</v>
      </c>
      <c r="J150" s="42" t="s">
        <v>2720</v>
      </c>
      <c r="K150" s="42" t="s">
        <v>2721</v>
      </c>
      <c r="L150" s="117" t="s">
        <v>2722</v>
      </c>
      <c r="M150" s="42" t="s">
        <v>2723</v>
      </c>
      <c r="N150" s="42" t="s">
        <v>2724</v>
      </c>
      <c r="O150" s="42" t="s">
        <v>2725</v>
      </c>
      <c r="P150" s="42" t="s">
        <v>2726</v>
      </c>
      <c r="Q150" s="42" t="s">
        <v>2727</v>
      </c>
      <c r="R150" s="42" t="s">
        <v>2728</v>
      </c>
      <c r="S150" s="42" t="s">
        <v>2729</v>
      </c>
      <c r="T150" s="42" t="s">
        <v>2730</v>
      </c>
      <c r="U150" s="42" t="s">
        <v>2731</v>
      </c>
      <c r="V150" s="42" t="str">
        <f>VLOOKUP(D150,[1]ALL!$A$15:$Z$983,3,FALSE)</f>
        <v>KOH-ELC</v>
      </c>
      <c r="W150" s="43">
        <v>59229.240727905279</v>
      </c>
      <c r="X150" s="43">
        <v>57202.204169375487</v>
      </c>
      <c r="Y150" s="43">
        <v>55553.500258256674</v>
      </c>
      <c r="Z150" s="43">
        <v>60479.301809154829</v>
      </c>
      <c r="AA150" s="43">
        <v>61004.02</v>
      </c>
      <c r="AB150" s="43">
        <v>60746.01</v>
      </c>
      <c r="AC150" s="43">
        <v>70194.569466999994</v>
      </c>
      <c r="AD150" s="43">
        <v>68713.908152999997</v>
      </c>
      <c r="AE150" s="43">
        <v>76042.854250999997</v>
      </c>
      <c r="AF150" s="43">
        <v>83313.142494</v>
      </c>
      <c r="AG150" s="43">
        <v>77452.095306999996</v>
      </c>
      <c r="AH150" s="43">
        <v>71964.89</v>
      </c>
      <c r="AI150" s="43">
        <v>53770.65</v>
      </c>
      <c r="AJ150" s="43">
        <v>69365.66</v>
      </c>
      <c r="AK150" s="43">
        <v>82245.41</v>
      </c>
      <c r="AL150" s="44"/>
      <c r="AM150" s="45">
        <f>VLOOKUP($B150,'[2]E.U.'!$R$9:$AZ$205,11,FALSE)</f>
        <v>6438.4712460000001</v>
      </c>
      <c r="AN150" s="45">
        <f>VLOOKUP($B150,'[3]E.U.'!$R9:$AZ$225,11,FALSE)</f>
        <v>6869.2594530000006</v>
      </c>
      <c r="AO150" s="45">
        <f>VLOOKUP($B150,'[4]E.U.'!$R$9:$BZ$225,11,FALSE)</f>
        <v>6678.2459566564849</v>
      </c>
      <c r="AP150" s="45">
        <f>VLOOKUP($B150,'[5]E.U.'!$R$9:$BZ$225,11,FALSE)</f>
        <v>7311.6606706491939</v>
      </c>
      <c r="AQ150" s="45">
        <f>VLOOKUP($B150,'[6]E.U.'!$R$9:$CA$225,11,FALSE)</f>
        <v>8660.7158396816903</v>
      </c>
      <c r="AR150" s="45">
        <f>VLOOKUP($B150,'[7]E.U.'!$R$9:$AZ$225,11,FALSE)</f>
        <v>7792.485922625031</v>
      </c>
      <c r="AS150" s="45">
        <f>VLOOKUP($B150,'[8]E.U.'!$R$9:$AZ$225,11,FALSE)</f>
        <v>7057.4397882335852</v>
      </c>
      <c r="AT150" s="45">
        <f>VLOOKUP($B150,'[9]E.U.'!$R$9:$AZ$221,11,FALSE)</f>
        <v>5925.5910183054057</v>
      </c>
      <c r="AU150" s="45"/>
      <c r="AV150" s="45">
        <f>VLOOKUP($B150,'[10]E.U.'!$R$9:$AZ$221,11,FALSE)</f>
        <v>5980.5473006404827</v>
      </c>
      <c r="AW150" s="45">
        <f>VLOOKUP($B150,'[11]E.U.'!$R$9:$AZ$220,11,FALSE)</f>
        <v>6087.1720893778756</v>
      </c>
      <c r="AX150" s="45"/>
      <c r="AY150" s="45">
        <f>VLOOKUP($B150,'[12]E.U.'!$R$9:$AZ$220,11,FALSE)</f>
        <v>5583.2362971425464</v>
      </c>
      <c r="AZ150" s="45"/>
      <c r="BA150" s="45">
        <f>VLOOKUP($B150,'[13]E.U.'!$R$9:$AZ$221,11,FALSE)</f>
        <v>5793.1978810922074</v>
      </c>
      <c r="BB150" s="46">
        <f t="shared" si="26"/>
        <v>80178.02346340449</v>
      </c>
      <c r="BC150" s="47" t="e">
        <f>SUM(#REF!)</f>
        <v>#REF!</v>
      </c>
      <c r="BD150" s="43" t="e">
        <f>VLOOKUP(V150,[14]ELECTRIC!$C$1:$H$4000,6,FALSE)</f>
        <v>#N/A</v>
      </c>
      <c r="BE150" s="43" t="e">
        <f t="shared" si="19"/>
        <v>#N/A</v>
      </c>
      <c r="BF150" s="48">
        <f t="shared" si="23"/>
        <v>80178.02346340449</v>
      </c>
      <c r="BG150" s="49">
        <f t="shared" si="18"/>
        <v>139681.57087660255</v>
      </c>
      <c r="BH150" s="43" t="e">
        <f t="shared" si="25"/>
        <v>#REF!</v>
      </c>
      <c r="BI150" s="50" t="e">
        <f t="shared" si="24"/>
        <v>#REF!</v>
      </c>
      <c r="BJ150" s="51">
        <f t="shared" si="22"/>
        <v>-2.5136801392266261E-2</v>
      </c>
      <c r="BK150" s="52"/>
      <c r="BL150" s="52"/>
      <c r="BM150" s="52"/>
      <c r="BN150" s="52"/>
      <c r="BO150" s="72"/>
      <c r="BP150" s="52"/>
      <c r="BQ150" s="52"/>
      <c r="BR150" s="71" t="s">
        <v>2732</v>
      </c>
      <c r="BS150" s="53"/>
      <c r="BT150" s="53"/>
      <c r="BU150" s="65"/>
      <c r="BV150" s="55"/>
      <c r="BW150" s="55"/>
      <c r="BX150" s="56"/>
      <c r="BY150" s="67"/>
      <c r="BZ150" s="58"/>
    </row>
    <row r="151" spans="1:78" ht="15.6" x14ac:dyDescent="0.3">
      <c r="A151" s="81" t="s">
        <v>694</v>
      </c>
      <c r="B151" s="38" t="s">
        <v>432</v>
      </c>
      <c r="C151" s="63" t="s">
        <v>433</v>
      </c>
      <c r="D151" s="39" t="s">
        <v>2733</v>
      </c>
      <c r="E151" s="40" t="s">
        <v>434</v>
      </c>
      <c r="F151" s="41">
        <v>0</v>
      </c>
      <c r="G151" s="42" t="s">
        <v>2734</v>
      </c>
      <c r="H151" s="42" t="s">
        <v>2734</v>
      </c>
      <c r="I151" s="42" t="s">
        <v>2734</v>
      </c>
      <c r="J151" s="42" t="s">
        <v>2735</v>
      </c>
      <c r="K151" s="42" t="s">
        <v>2736</v>
      </c>
      <c r="L151" s="42" t="s">
        <v>2737</v>
      </c>
      <c r="M151" s="42" t="s">
        <v>2738</v>
      </c>
      <c r="N151" s="42" t="s">
        <v>2739</v>
      </c>
      <c r="O151" s="42" t="s">
        <v>2740</v>
      </c>
      <c r="P151" s="42" t="s">
        <v>2741</v>
      </c>
      <c r="Q151" s="42" t="s">
        <v>2742</v>
      </c>
      <c r="R151" s="42" t="s">
        <v>2743</v>
      </c>
      <c r="S151" s="42" t="s">
        <v>2744</v>
      </c>
      <c r="T151" s="42" t="s">
        <v>2745</v>
      </c>
      <c r="U151" s="42" t="s">
        <v>2746</v>
      </c>
      <c r="V151" s="42" t="str">
        <f>VLOOKUP(D151,[1]ALL!$A$15:$Z$983,3,FALSE)</f>
        <v>KOH-EGW</v>
      </c>
      <c r="W151" s="43">
        <v>47374.864253925676</v>
      </c>
      <c r="X151" s="43">
        <v>45753.526877016673</v>
      </c>
      <c r="Y151" s="43">
        <v>44434.80114249327</v>
      </c>
      <c r="Z151" s="43">
        <v>43251.911848390533</v>
      </c>
      <c r="AA151" s="43">
        <v>43151.72</v>
      </c>
      <c r="AB151" s="43">
        <v>42969.22</v>
      </c>
      <c r="AC151" s="43">
        <v>49652.740533000004</v>
      </c>
      <c r="AD151" s="43">
        <v>48605.381846999997</v>
      </c>
      <c r="AE151" s="43">
        <v>53789.575748999996</v>
      </c>
      <c r="AF151" s="43">
        <v>58932.277505999991</v>
      </c>
      <c r="AG151" s="43">
        <v>54786.414693000006</v>
      </c>
      <c r="AH151" s="43">
        <v>50904.99</v>
      </c>
      <c r="AI151" s="43">
        <v>38035.129999999997</v>
      </c>
      <c r="AJ151" s="43">
        <v>47756.65</v>
      </c>
      <c r="AK151" s="43">
        <v>58177.01</v>
      </c>
      <c r="AL151" s="44"/>
      <c r="AM151" s="45">
        <f>VLOOKUP($B151,'[2]E.U.'!$R$9:$AZ$205,11,FALSE)</f>
        <v>4554.3087540000006</v>
      </c>
      <c r="AN151" s="45">
        <f>VLOOKUP($B151,'[3]E.U.'!$R9:$AZ$225,11,FALSE)</f>
        <v>4859.0305470000003</v>
      </c>
      <c r="AO151" s="45">
        <f>VLOOKUP($B151,'[4]E.U.'!$R$9:$BZ$225,11,FALSE)</f>
        <v>4723.9154854751268</v>
      </c>
      <c r="AP151" s="45">
        <f>VLOOKUP($B151,'[5]E.U.'!$R$9:$BZ$225,11,FALSE)</f>
        <v>5171.9669043024778</v>
      </c>
      <c r="AQ151" s="45">
        <f>VLOOKUP($B151,'[6]E.U.'!$R$9:$CA$225,11,FALSE)</f>
        <v>6126.2328365718367</v>
      </c>
      <c r="AR151" s="45">
        <f>VLOOKUP($B151,'[7]E.U.'!$R$9:$AZ$225,11,FALSE)</f>
        <v>5512.0828371923353</v>
      </c>
      <c r="AS151" s="45">
        <f>VLOOKUP($B151,'[8]E.U.'!$R$9:$AZ$225,11,FALSE)</f>
        <v>4992.1415473197449</v>
      </c>
      <c r="AT151" s="45">
        <f>VLOOKUP($B151,'[9]E.U.'!$R$9:$AZ$221,11,FALSE)</f>
        <v>4191.5184546421879</v>
      </c>
      <c r="AU151" s="45"/>
      <c r="AV151" s="45">
        <f>VLOOKUP($B151,'[10]E.U.'!$R$9:$AZ$221,11,FALSE)</f>
        <v>4230.3922599545022</v>
      </c>
      <c r="AW151" s="45">
        <f>VLOOKUP($B151,'[11]E.U.'!$R$9:$AZ$220,11,FALSE)</f>
        <v>4305.8142336166193</v>
      </c>
      <c r="AX151" s="45"/>
      <c r="AY151" s="45">
        <f>VLOOKUP($B151,'[12]E.U.'!$R$9:$AZ$220,11,FALSE)</f>
        <v>3949.3508586412104</v>
      </c>
      <c r="AZ151" s="45"/>
      <c r="BA151" s="45">
        <f>VLOOKUP($B151,'[13]E.U.'!$R$9:$AZ$221,11,FALSE)</f>
        <v>4097.869015087078</v>
      </c>
      <c r="BB151" s="46">
        <f t="shared" si="26"/>
        <v>56714.623733803128</v>
      </c>
      <c r="BC151" s="47" t="e">
        <f>SUM(#REF!)</f>
        <v>#REF!</v>
      </c>
      <c r="BD151" s="43" t="e">
        <f>VLOOKUP(V151,[14]ELECTRIC!$C$1:$H$4000,6,FALSE)</f>
        <v>#N/A</v>
      </c>
      <c r="BE151" s="43" t="e">
        <f t="shared" si="19"/>
        <v>#N/A</v>
      </c>
      <c r="BF151" s="48">
        <f t="shared" si="23"/>
        <v>56714.623733803128</v>
      </c>
      <c r="BG151" s="49">
        <f t="shared" si="18"/>
        <v>98804.976633389873</v>
      </c>
      <c r="BH151" s="43" t="e">
        <f t="shared" si="25"/>
        <v>#REF!</v>
      </c>
      <c r="BI151" s="50" t="e">
        <f t="shared" si="24"/>
        <v>#REF!</v>
      </c>
      <c r="BJ151" s="51">
        <f t="shared" si="22"/>
        <v>-2.5136841274532196E-2</v>
      </c>
      <c r="BK151" s="52"/>
      <c r="BL151" s="52"/>
      <c r="BM151" s="52"/>
      <c r="BN151" s="52"/>
      <c r="BO151" s="72"/>
      <c r="BP151" s="52"/>
      <c r="BQ151" s="52"/>
      <c r="BR151" s="71"/>
      <c r="BS151" s="53"/>
      <c r="BT151" s="53"/>
      <c r="BU151" s="65"/>
      <c r="BV151" s="55"/>
      <c r="BW151" s="55"/>
      <c r="BX151" s="56"/>
      <c r="BY151" s="67"/>
      <c r="BZ151" s="58"/>
    </row>
    <row r="152" spans="1:78" ht="15.6" x14ac:dyDescent="0.3">
      <c r="A152" s="81" t="s">
        <v>694</v>
      </c>
      <c r="B152" s="38" t="s">
        <v>435</v>
      </c>
      <c r="C152" s="1" t="s">
        <v>436</v>
      </c>
      <c r="D152" s="39" t="s">
        <v>2747</v>
      </c>
      <c r="E152" s="40" t="s">
        <v>437</v>
      </c>
      <c r="F152" s="41">
        <v>0</v>
      </c>
      <c r="G152" s="42" t="s">
        <v>2748</v>
      </c>
      <c r="H152" s="42" t="s">
        <v>2748</v>
      </c>
      <c r="I152" s="42" t="s">
        <v>2748</v>
      </c>
      <c r="J152" s="42" t="s">
        <v>2749</v>
      </c>
      <c r="K152" s="42" t="s">
        <v>2750</v>
      </c>
      <c r="L152" s="42" t="s">
        <v>2751</v>
      </c>
      <c r="M152" s="42" t="s">
        <v>2752</v>
      </c>
      <c r="N152" s="42" t="s">
        <v>2753</v>
      </c>
      <c r="O152" s="42" t="s">
        <v>2754</v>
      </c>
      <c r="P152" s="42" t="s">
        <v>2755</v>
      </c>
      <c r="Q152" s="42" t="s">
        <v>2756</v>
      </c>
      <c r="R152" s="42" t="s">
        <v>2757</v>
      </c>
      <c r="S152" s="42" t="s">
        <v>2758</v>
      </c>
      <c r="T152" s="42" t="s">
        <v>2759</v>
      </c>
      <c r="U152" s="42" t="s">
        <v>2760</v>
      </c>
      <c r="V152" s="42" t="str">
        <f>VLOOKUP(D152,[1]ALL!$A$15:$Z$983,3,FALSE)</f>
        <v>CFH-EGW</v>
      </c>
      <c r="W152" s="43">
        <v>3272.0046423417261</v>
      </c>
      <c r="X152" s="43">
        <v>11.796536796536795</v>
      </c>
      <c r="Y152" s="43">
        <v>0</v>
      </c>
      <c r="Z152" s="43">
        <v>0</v>
      </c>
      <c r="AA152" s="43">
        <v>0</v>
      </c>
      <c r="AB152" s="43">
        <v>0</v>
      </c>
      <c r="AC152" s="43">
        <v>0</v>
      </c>
      <c r="AD152" s="43">
        <v>0</v>
      </c>
      <c r="AE152" s="43">
        <v>0</v>
      </c>
      <c r="AF152" s="43">
        <v>0</v>
      </c>
      <c r="AG152" s="43">
        <v>0</v>
      </c>
      <c r="AH152" s="43">
        <v>0</v>
      </c>
      <c r="AI152" s="43">
        <v>0</v>
      </c>
      <c r="AJ152" s="43">
        <v>0</v>
      </c>
      <c r="AK152" s="43">
        <v>0</v>
      </c>
      <c r="AL152" s="44"/>
      <c r="AM152" s="45">
        <f>VLOOKUP($B152,'[2]E.U.'!$R$9:$AZ$205,11,FALSE)</f>
        <v>0</v>
      </c>
      <c r="AN152" s="45">
        <f>VLOOKUP($B152,'[3]E.U.'!$R9:$AZ$225,11,FALSE)</f>
        <v>0</v>
      </c>
      <c r="AO152" s="45">
        <f>VLOOKUP($B152,'[4]E.U.'!$R$9:$BZ$225,11,FALSE)</f>
        <v>0</v>
      </c>
      <c r="AP152" s="45">
        <f>VLOOKUP($B152,'[5]E.U.'!$R$9:$BZ$225,11,FALSE)</f>
        <v>0</v>
      </c>
      <c r="AQ152" s="45">
        <f>VLOOKUP($B152,'[6]E.U.'!$R$9:$CA$225,11,FALSE)</f>
        <v>0</v>
      </c>
      <c r="AR152" s="45">
        <f>VLOOKUP($B152,'[7]E.U.'!$R$9:$AZ$225,11,FALSE)</f>
        <v>0</v>
      </c>
      <c r="AS152" s="45">
        <f>VLOOKUP($B152,'[8]E.U.'!$R$9:$AZ$225,11,FALSE)</f>
        <v>0</v>
      </c>
      <c r="AT152" s="45">
        <f>VLOOKUP($B152,'[9]E.U.'!$R$9:$AZ$221,11,FALSE)</f>
        <v>0</v>
      </c>
      <c r="AU152" s="45"/>
      <c r="AV152" s="45">
        <f>VLOOKUP($B152,'[10]E.U.'!$R$9:$AZ$221,11,FALSE)</f>
        <v>0</v>
      </c>
      <c r="AW152" s="45">
        <f>VLOOKUP($B152,'[11]E.U.'!$R$9:$AZ$220,11,FALSE)</f>
        <v>0</v>
      </c>
      <c r="AX152" s="45"/>
      <c r="AY152" s="45">
        <f>VLOOKUP($B152,'[12]E.U.'!$R$9:$AZ$220,11,FALSE)</f>
        <v>0</v>
      </c>
      <c r="AZ152" s="45"/>
      <c r="BA152" s="45">
        <f>VLOOKUP($B152,'[13]E.U.'!$R$9:$AZ$221,11,FALSE)</f>
        <v>0</v>
      </c>
      <c r="BB152" s="46">
        <f t="shared" si="26"/>
        <v>0</v>
      </c>
      <c r="BC152" s="47" t="e">
        <f>SUM(#REF!)</f>
        <v>#REF!</v>
      </c>
      <c r="BD152" s="43"/>
      <c r="BE152" s="43">
        <f t="shared" si="19"/>
        <v>0</v>
      </c>
      <c r="BF152" s="48">
        <f t="shared" si="23"/>
        <v>0</v>
      </c>
      <c r="BG152" s="49">
        <f t="shared" si="18"/>
        <v>0</v>
      </c>
      <c r="BH152" s="43" t="e">
        <f t="shared" si="25"/>
        <v>#REF!</v>
      </c>
      <c r="BI152" s="50" t="e">
        <f t="shared" si="24"/>
        <v>#REF!</v>
      </c>
      <c r="BJ152" s="51">
        <f t="shared" si="22"/>
        <v>0</v>
      </c>
      <c r="BK152" s="52"/>
      <c r="BL152" s="52"/>
      <c r="BM152" s="52"/>
      <c r="BN152" s="52"/>
      <c r="BO152" s="72"/>
      <c r="BP152" s="52"/>
      <c r="BQ152" s="52"/>
      <c r="BR152" s="50"/>
      <c r="BS152" s="53"/>
      <c r="BT152" s="53"/>
      <c r="BU152" s="65"/>
      <c r="BV152" s="55"/>
      <c r="BW152" s="55"/>
      <c r="BX152" s="56" t="s">
        <v>2761</v>
      </c>
      <c r="BY152" s="67"/>
      <c r="BZ152" s="58"/>
    </row>
    <row r="153" spans="1:78" ht="15.6" x14ac:dyDescent="0.3">
      <c r="A153" s="81" t="s">
        <v>1359</v>
      </c>
      <c r="B153" s="38">
        <v>2330</v>
      </c>
      <c r="C153" s="241" t="s">
        <v>2762</v>
      </c>
      <c r="D153" t="s">
        <v>2763</v>
      </c>
      <c r="E153" s="40" t="s">
        <v>439</v>
      </c>
      <c r="F153" s="41">
        <v>0</v>
      </c>
      <c r="G153" s="42"/>
      <c r="H153" s="42"/>
      <c r="I153" s="42"/>
      <c r="J153" s="42"/>
      <c r="K153" s="42"/>
      <c r="L153" s="42"/>
      <c r="M153" s="42" t="s">
        <v>2764</v>
      </c>
      <c r="N153" s="42" t="s">
        <v>2765</v>
      </c>
      <c r="O153" s="42" t="s">
        <v>2766</v>
      </c>
      <c r="P153" s="42" t="s">
        <v>2767</v>
      </c>
      <c r="Q153" s="42" t="s">
        <v>2768</v>
      </c>
      <c r="R153" s="42" t="s">
        <v>2769</v>
      </c>
      <c r="S153" s="42" t="s">
        <v>2770</v>
      </c>
      <c r="T153" s="42" t="s">
        <v>2771</v>
      </c>
      <c r="U153" s="42" t="s">
        <v>2772</v>
      </c>
      <c r="V153" s="42" t="str">
        <f>VLOOKUP(D153,[1]ALL!$A$15:$Z$983,3,FALSE)</f>
        <v>EPS-NELC</v>
      </c>
      <c r="W153" s="43"/>
      <c r="X153" s="43"/>
      <c r="Y153" s="43"/>
      <c r="Z153" s="43"/>
      <c r="AA153" s="43" t="s">
        <v>2286</v>
      </c>
      <c r="AB153" s="43"/>
      <c r="AC153" s="43">
        <v>22461.520559501303</v>
      </c>
      <c r="AD153" s="43">
        <v>35122.208348679917</v>
      </c>
      <c r="AE153" s="43">
        <v>43361.774134692583</v>
      </c>
      <c r="AF153" s="43">
        <v>46739.690992452954</v>
      </c>
      <c r="AG153" s="43">
        <v>41978.985133834271</v>
      </c>
      <c r="AH153" s="43">
        <v>49825.35</v>
      </c>
      <c r="AI153" s="43">
        <v>65668.33</v>
      </c>
      <c r="AJ153" s="43">
        <v>66541.259999999995</v>
      </c>
      <c r="AK153" s="43">
        <v>53974.64</v>
      </c>
      <c r="AL153" s="44"/>
      <c r="AM153" s="45">
        <f>VLOOKUP($B153,'[2]E.U.'!$R$9:$AZ$205,11,FALSE)</f>
        <v>4231.9441927680036</v>
      </c>
      <c r="AN153" s="45">
        <f>VLOOKUP($B153,'[3]E.U.'!$R9:$AZ$225,11,FALSE)</f>
        <v>4626.6825467631052</v>
      </c>
      <c r="AO153" s="45">
        <f>VLOOKUP($B153,'[4]E.U.'!$R$9:$BZ$225,11,FALSE)</f>
        <v>4860.281471631838</v>
      </c>
      <c r="AP153" s="45">
        <f>VLOOKUP($B153,'[5]E.U.'!$R$9:$BZ$225,11,FALSE)</f>
        <v>4820.557374451093</v>
      </c>
      <c r="AQ153" s="45">
        <f>VLOOKUP($B153,'[6]E.U.'!$R$9:$CA$225,11,FALSE)</f>
        <v>4853.7538004200533</v>
      </c>
      <c r="AR153" s="45">
        <f>VLOOKUP($B153,'[7]E.U.'!$R$9:$AZ$225,11,FALSE)</f>
        <v>4497.8930747267377</v>
      </c>
      <c r="AS153" s="45">
        <f>VLOOKUP($B153,'[8]E.U.'!$R$9:$AZ$225,11,FALSE)</f>
        <v>4474.3159035287399</v>
      </c>
      <c r="AT153" s="45">
        <f>VLOOKUP($B153,'[9]E.U.'!$R$9:$AZ$221,11,FALSE)</f>
        <v>5028.1240415728171</v>
      </c>
      <c r="AU153" s="45"/>
      <c r="AV153" s="45">
        <f>VLOOKUP($B153,'[10]E.U.'!$R$9:$AZ$221,11,FALSE)</f>
        <v>4776.6712783873627</v>
      </c>
      <c r="AW153" s="45">
        <f>(VLOOKUP($B153,'[11]E.U.'!$R$9:$AZ$220,11,FALSE-1.97)*1)</f>
        <v>4376.7755931670226</v>
      </c>
      <c r="AX153" s="45"/>
      <c r="AY153" s="45">
        <f>VLOOKUP($B153,'[12]E.U.'!$R$9:$AZ$220,11,FALSE)</f>
        <v>4224.2411857713732</v>
      </c>
      <c r="AZ153" s="45"/>
      <c r="BA153" s="45">
        <f>VLOOKUP($B153,'[13]E.U.'!$R$9:$AZ$221,11,FALSE)</f>
        <v>3984.0221317661717</v>
      </c>
      <c r="BB153" s="46">
        <f t="shared" si="26"/>
        <v>54755.262594954322</v>
      </c>
      <c r="BC153" s="47" t="e">
        <f>SUM(#REF!)</f>
        <v>#REF!</v>
      </c>
      <c r="BD153" s="43" t="e">
        <f>VLOOKUP(V153,[14]ELECTRIC!$C$1:$H$4000,6,FALSE)</f>
        <v>#N/A</v>
      </c>
      <c r="BE153" s="242" t="e">
        <f t="shared" si="19"/>
        <v>#N/A</v>
      </c>
      <c r="BF153" s="48">
        <f t="shared" si="23"/>
        <v>54755.262594954322</v>
      </c>
      <c r="BG153" s="43">
        <f t="shared" si="18"/>
        <v>95391.48962078114</v>
      </c>
      <c r="BH153" s="43" t="e">
        <f t="shared" si="25"/>
        <v>#REF!</v>
      </c>
      <c r="BI153" s="52" t="e">
        <f t="shared" si="24"/>
        <v>#REF!</v>
      </c>
      <c r="BJ153" s="51">
        <f t="shared" si="22"/>
        <v>1.4462766124133886E-2</v>
      </c>
      <c r="BK153" s="52"/>
      <c r="BL153" s="52"/>
      <c r="BM153" s="52"/>
      <c r="BN153" s="52"/>
      <c r="BO153" s="72" t="s">
        <v>2773</v>
      </c>
      <c r="BP153" s="72" t="s">
        <v>2774</v>
      </c>
      <c r="BQ153" s="52"/>
      <c r="BR153" s="50" t="s">
        <v>2775</v>
      </c>
      <c r="BS153" s="53"/>
      <c r="BT153" s="53"/>
      <c r="BU153" s="65"/>
      <c r="BV153" s="55"/>
      <c r="BW153" s="55"/>
      <c r="BX153" s="56"/>
      <c r="BY153" s="67"/>
      <c r="BZ153" s="58"/>
    </row>
    <row r="154" spans="1:78" ht="15.6" x14ac:dyDescent="0.3">
      <c r="A154" s="81" t="s">
        <v>1222</v>
      </c>
      <c r="B154" s="38" t="s">
        <v>440</v>
      </c>
      <c r="C154" s="1" t="s">
        <v>441</v>
      </c>
      <c r="D154" s="39" t="s">
        <v>2776</v>
      </c>
      <c r="E154" s="40" t="s">
        <v>442</v>
      </c>
      <c r="F154" s="41">
        <v>0</v>
      </c>
      <c r="G154" s="42" t="s">
        <v>2146</v>
      </c>
      <c r="H154" s="42" t="s">
        <v>2146</v>
      </c>
      <c r="I154" s="42" t="s">
        <v>2146</v>
      </c>
      <c r="J154" s="42" t="s">
        <v>2777</v>
      </c>
      <c r="K154" s="42" t="s">
        <v>2778</v>
      </c>
      <c r="L154" s="42" t="s">
        <v>2779</v>
      </c>
      <c r="M154" s="42" t="s">
        <v>2780</v>
      </c>
      <c r="N154" s="42" t="s">
        <v>2781</v>
      </c>
      <c r="O154" s="42" t="s">
        <v>2782</v>
      </c>
      <c r="P154" s="42" t="s">
        <v>2783</v>
      </c>
      <c r="Q154" s="42" t="s">
        <v>2784</v>
      </c>
      <c r="R154" s="42" t="s">
        <v>2785</v>
      </c>
      <c r="S154" s="42" t="s">
        <v>2786</v>
      </c>
      <c r="T154" s="42" t="s">
        <v>2787</v>
      </c>
      <c r="U154" s="42" t="s">
        <v>2788</v>
      </c>
      <c r="V154" s="42" t="str">
        <f>VLOOKUP(D154,[1]ALL!$A$15:$Z$983,3,FALSE)</f>
        <v>SSH-EGW</v>
      </c>
      <c r="W154" s="43">
        <v>1007.77</v>
      </c>
      <c r="X154" s="43">
        <v>0</v>
      </c>
      <c r="Y154" s="43">
        <v>0</v>
      </c>
      <c r="Z154" s="43">
        <v>0</v>
      </c>
      <c r="AA154" s="43">
        <v>0</v>
      </c>
      <c r="AB154" s="43">
        <v>0</v>
      </c>
      <c r="AC154" s="43">
        <v>0</v>
      </c>
      <c r="AD154" s="43">
        <v>0</v>
      </c>
      <c r="AE154" s="43">
        <v>0</v>
      </c>
      <c r="AF154" s="43">
        <v>0</v>
      </c>
      <c r="AG154" s="43">
        <v>0</v>
      </c>
      <c r="AH154" s="43">
        <v>0</v>
      </c>
      <c r="AI154" s="43">
        <v>0</v>
      </c>
      <c r="AJ154" s="43">
        <v>0</v>
      </c>
      <c r="AK154" s="43">
        <v>0</v>
      </c>
      <c r="AL154" s="44"/>
      <c r="AM154" s="45">
        <f>VLOOKUP($B154,'[2]E.U.'!$R$9:$AZ$205,11,FALSE)</f>
        <v>0</v>
      </c>
      <c r="AN154" s="45">
        <f>VLOOKUP($B154,'[3]E.U.'!$R9:$AZ$225,11,FALSE)</f>
        <v>0</v>
      </c>
      <c r="AO154" s="45">
        <f>VLOOKUP($B154,'[4]E.U.'!$R$9:$BZ$225,11,FALSE)</f>
        <v>0</v>
      </c>
      <c r="AP154" s="45">
        <f>VLOOKUP($B154,'[5]E.U.'!$R$9:$BZ$225,11,FALSE)</f>
        <v>0</v>
      </c>
      <c r="AQ154" s="45">
        <f>VLOOKUP($B154,'[6]E.U.'!$R$9:$CA$225,11,FALSE)</f>
        <v>0</v>
      </c>
      <c r="AR154" s="45">
        <f>VLOOKUP($B154,'[7]E.U.'!$R$9:$AZ$225,11,FALSE)</f>
        <v>0</v>
      </c>
      <c r="AS154" s="45">
        <f>VLOOKUP($B154,'[8]E.U.'!$R$9:$AZ$225,11,FALSE)</f>
        <v>0</v>
      </c>
      <c r="AT154" s="45">
        <f>VLOOKUP($B154,'[9]E.U.'!$R$9:$AZ$221,11,FALSE)</f>
        <v>0</v>
      </c>
      <c r="AU154" s="45"/>
      <c r="AV154" s="45">
        <f>VLOOKUP($B154,'[10]E.U.'!$R$9:$AZ$221,11,FALSE)</f>
        <v>0</v>
      </c>
      <c r="AW154" s="45">
        <f>VLOOKUP($B154,'[11]E.U.'!$R$9:$AZ$220,11,FALSE)</f>
        <v>0</v>
      </c>
      <c r="AX154" s="45"/>
      <c r="AY154" s="45">
        <f>VLOOKUP($B154,'[12]E.U.'!$R$9:$AZ$220,11,FALSE)</f>
        <v>0</v>
      </c>
      <c r="AZ154" s="45"/>
      <c r="BA154" s="45">
        <f>VLOOKUP($B154,'[13]E.U.'!$R$9:$AZ$221,11,FALSE)</f>
        <v>0</v>
      </c>
      <c r="BB154" s="46">
        <f t="shared" si="26"/>
        <v>0</v>
      </c>
      <c r="BC154" s="47" t="e">
        <f>SUM(#REF!)</f>
        <v>#REF!</v>
      </c>
      <c r="BD154" s="43"/>
      <c r="BE154" s="43">
        <f t="shared" si="19"/>
        <v>0</v>
      </c>
      <c r="BF154" s="48">
        <f t="shared" si="23"/>
        <v>0</v>
      </c>
      <c r="BG154" s="43">
        <f t="shared" si="18"/>
        <v>0</v>
      </c>
      <c r="BH154" s="43" t="e">
        <f t="shared" si="25"/>
        <v>#REF!</v>
      </c>
      <c r="BI154" s="52" t="e">
        <f t="shared" si="24"/>
        <v>#REF!</v>
      </c>
      <c r="BJ154" s="51">
        <f t="shared" si="22"/>
        <v>0</v>
      </c>
      <c r="BK154" s="52"/>
      <c r="BL154" s="52"/>
      <c r="BM154" s="52"/>
      <c r="BN154" s="52"/>
      <c r="BO154" s="72"/>
      <c r="BP154" s="52"/>
      <c r="BQ154" s="52"/>
      <c r="BR154" s="50"/>
      <c r="BS154" s="53"/>
      <c r="BT154" s="53"/>
      <c r="BU154" s="65"/>
      <c r="BV154" s="55"/>
      <c r="BW154" s="55"/>
      <c r="BX154" s="56"/>
      <c r="BY154" s="56" t="s">
        <v>2789</v>
      </c>
      <c r="BZ154" s="58"/>
    </row>
    <row r="155" spans="1:78" ht="15.6" x14ac:dyDescent="0.3">
      <c r="A155" s="81" t="s">
        <v>1222</v>
      </c>
      <c r="B155" s="38">
        <v>2360</v>
      </c>
      <c r="C155" s="124" t="s">
        <v>2790</v>
      </c>
      <c r="D155" s="212" t="s">
        <v>2791</v>
      </c>
      <c r="E155" s="40" t="s">
        <v>444</v>
      </c>
      <c r="F155" s="41">
        <v>0</v>
      </c>
      <c r="G155" s="42"/>
      <c r="H155" s="42"/>
      <c r="I155" s="42"/>
      <c r="J155" s="42"/>
      <c r="K155" s="42"/>
      <c r="L155" s="42"/>
      <c r="M155" s="42" t="s">
        <v>2792</v>
      </c>
      <c r="N155" s="42" t="s">
        <v>2793</v>
      </c>
      <c r="O155" s="42" t="s">
        <v>2794</v>
      </c>
      <c r="P155" s="42" t="s">
        <v>2795</v>
      </c>
      <c r="Q155" s="42" t="s">
        <v>2796</v>
      </c>
      <c r="R155" s="42" t="s">
        <v>2797</v>
      </c>
      <c r="S155" s="42" t="s">
        <v>2798</v>
      </c>
      <c r="T155" s="42" t="s">
        <v>2799</v>
      </c>
      <c r="U155" s="42" t="s">
        <v>2800</v>
      </c>
      <c r="V155" s="42" t="str">
        <f>VLOOKUP(D155,[1]ALL!$A$15:$Z$983,3,FALSE)</f>
        <v>GAP-NELC</v>
      </c>
      <c r="W155" s="43"/>
      <c r="X155" s="43"/>
      <c r="Y155" s="43"/>
      <c r="Z155" s="43"/>
      <c r="AA155" s="43" t="s">
        <v>2286</v>
      </c>
      <c r="AB155" s="43"/>
      <c r="AC155" s="43">
        <v>0.18990443382062949</v>
      </c>
      <c r="AD155" s="43">
        <v>0</v>
      </c>
      <c r="AE155" s="43">
        <v>0</v>
      </c>
      <c r="AF155" s="43">
        <v>0</v>
      </c>
      <c r="AG155" s="43">
        <v>0</v>
      </c>
      <c r="AH155" s="43">
        <v>0</v>
      </c>
      <c r="AI155" s="43">
        <v>0</v>
      </c>
      <c r="AJ155" s="43">
        <v>0</v>
      </c>
      <c r="AK155" s="43">
        <v>0</v>
      </c>
      <c r="AL155" s="44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6"/>
      <c r="BC155" s="47"/>
      <c r="BD155" s="43"/>
      <c r="BE155" s="43"/>
      <c r="BF155" s="48">
        <f t="shared" si="23"/>
        <v>0</v>
      </c>
      <c r="BG155" s="43"/>
      <c r="BH155" s="43"/>
      <c r="BI155" s="52">
        <f t="shared" si="24"/>
        <v>0</v>
      </c>
      <c r="BJ155" s="51">
        <f t="shared" si="22"/>
        <v>0</v>
      </c>
      <c r="BK155" s="52"/>
      <c r="BL155" s="52"/>
      <c r="BM155" s="52"/>
      <c r="BN155" s="52"/>
      <c r="BO155" s="72"/>
      <c r="BP155" s="52"/>
      <c r="BQ155" s="52"/>
      <c r="BR155" s="50" t="s">
        <v>2801</v>
      </c>
      <c r="BS155" s="53"/>
      <c r="BT155" s="53"/>
      <c r="BU155" s="65"/>
      <c r="BV155" s="55"/>
      <c r="BW155" s="55"/>
      <c r="BX155" s="56"/>
      <c r="BY155" s="56"/>
      <c r="BZ155" s="58"/>
    </row>
    <row r="156" spans="1:78" ht="15.75" customHeight="1" x14ac:dyDescent="0.3">
      <c r="A156" s="81" t="s">
        <v>1222</v>
      </c>
      <c r="B156" s="38" t="s">
        <v>445</v>
      </c>
      <c r="C156" s="1" t="s">
        <v>446</v>
      </c>
      <c r="D156" s="39" t="s">
        <v>2802</v>
      </c>
      <c r="E156" s="40" t="s">
        <v>447</v>
      </c>
      <c r="F156" s="41">
        <v>0</v>
      </c>
      <c r="G156" s="42" t="s">
        <v>2803</v>
      </c>
      <c r="H156" s="42" t="s">
        <v>2803</v>
      </c>
      <c r="I156" s="42" t="s">
        <v>2803</v>
      </c>
      <c r="J156" s="42" t="s">
        <v>2804</v>
      </c>
      <c r="K156" s="42" t="s">
        <v>2805</v>
      </c>
      <c r="L156" s="42" t="s">
        <v>2806</v>
      </c>
      <c r="M156" s="42" t="s">
        <v>2807</v>
      </c>
      <c r="N156" s="42" t="s">
        <v>2808</v>
      </c>
      <c r="O156" s="42" t="s">
        <v>2809</v>
      </c>
      <c r="P156" s="42" t="s">
        <v>2810</v>
      </c>
      <c r="Q156" s="42" t="s">
        <v>2811</v>
      </c>
      <c r="R156" s="42" t="s">
        <v>2812</v>
      </c>
      <c r="S156" s="42" t="s">
        <v>2813</v>
      </c>
      <c r="T156" s="42" t="s">
        <v>2814</v>
      </c>
      <c r="U156" s="42" t="s">
        <v>2815</v>
      </c>
      <c r="V156" s="42" t="str">
        <f>VLOOKUP(D156,[1]ALL!$A$15:$Z$983,3,FALSE)</f>
        <v>ROY-EGW</v>
      </c>
      <c r="W156" s="43">
        <v>137.01</v>
      </c>
      <c r="X156" s="43">
        <v>0</v>
      </c>
      <c r="Y156" s="43">
        <v>0</v>
      </c>
      <c r="Z156" s="43">
        <v>0</v>
      </c>
      <c r="AA156" s="43">
        <v>0</v>
      </c>
      <c r="AB156" s="43">
        <v>0</v>
      </c>
      <c r="AC156" s="43">
        <v>0</v>
      </c>
      <c r="AD156" s="43">
        <v>0</v>
      </c>
      <c r="AE156" s="43">
        <v>0</v>
      </c>
      <c r="AF156" s="43">
        <v>0</v>
      </c>
      <c r="AG156" s="43">
        <v>0</v>
      </c>
      <c r="AH156" s="43">
        <v>0</v>
      </c>
      <c r="AI156" s="43">
        <v>0</v>
      </c>
      <c r="AJ156" s="43">
        <v>0</v>
      </c>
      <c r="AK156" s="43">
        <v>0</v>
      </c>
      <c r="AL156" s="44"/>
      <c r="AM156" s="45">
        <f>VLOOKUP($B156,'[2]E.U.'!$R$9:$AZ$205,11,FALSE)</f>
        <v>0</v>
      </c>
      <c r="AN156" s="45">
        <f>VLOOKUP($B156,'[3]E.U.'!$R9:$AZ$225,11,FALSE)</f>
        <v>0</v>
      </c>
      <c r="AO156" s="45">
        <f>VLOOKUP($B156,'[4]E.U.'!$R$9:$BZ$225,11,FALSE)</f>
        <v>0</v>
      </c>
      <c r="AP156" s="45">
        <f>VLOOKUP($B156,'[5]E.U.'!$R$9:$BZ$225,11,FALSE)</f>
        <v>0</v>
      </c>
      <c r="AQ156" s="45">
        <f>VLOOKUP($B156,'[6]E.U.'!$R$9:$CA$225,11,FALSE)</f>
        <v>0</v>
      </c>
      <c r="AR156" s="45">
        <f>VLOOKUP($B156,'[7]E.U.'!$R$9:$AZ$225,11,FALSE)</f>
        <v>0</v>
      </c>
      <c r="AS156" s="45">
        <f>VLOOKUP($B156,'[8]E.U.'!$R$9:$AZ$225,11,FALSE)</f>
        <v>0</v>
      </c>
      <c r="AT156" s="45">
        <f>VLOOKUP($B156,'[9]E.U.'!$R$9:$AZ$221,11,FALSE)</f>
        <v>0</v>
      </c>
      <c r="AU156" s="45"/>
      <c r="AV156" s="45">
        <f>VLOOKUP($B156,'[10]E.U.'!$R$9:$AZ$221,11,FALSE)</f>
        <v>0</v>
      </c>
      <c r="AW156" s="45">
        <f>VLOOKUP($B156,'[11]E.U.'!$R$9:$AZ$220,11,FALSE)</f>
        <v>0</v>
      </c>
      <c r="AX156" s="45"/>
      <c r="AY156" s="45">
        <f>VLOOKUP($B156,'[12]E.U.'!$R$9:$AZ$220,11,FALSE)</f>
        <v>0</v>
      </c>
      <c r="AZ156" s="45"/>
      <c r="BA156" s="45">
        <f>VLOOKUP($B156,'[13]E.U.'!$R$9:$AZ$221,11,FALSE)</f>
        <v>0</v>
      </c>
      <c r="BB156" s="46">
        <f t="shared" si="26"/>
        <v>0</v>
      </c>
      <c r="BC156" s="47" t="e">
        <f>SUM(#REF!)</f>
        <v>#REF!</v>
      </c>
      <c r="BD156" s="43"/>
      <c r="BE156" s="43">
        <f t="shared" si="19"/>
        <v>0</v>
      </c>
      <c r="BF156" s="48">
        <f t="shared" si="23"/>
        <v>0</v>
      </c>
      <c r="BG156" s="43">
        <f t="shared" si="18"/>
        <v>0</v>
      </c>
      <c r="BH156" s="43" t="e">
        <f t="shared" ref="BH156:BH162" si="27">IF(BC156=0,0,(BB156*(AK156/BC156)))</f>
        <v>#REF!</v>
      </c>
      <c r="BI156" s="52" t="e">
        <f t="shared" si="24"/>
        <v>#REF!</v>
      </c>
      <c r="BJ156" s="51">
        <f t="shared" si="22"/>
        <v>0</v>
      </c>
      <c r="BK156" s="52"/>
      <c r="BL156" s="52"/>
      <c r="BM156" s="52"/>
      <c r="BN156" s="52"/>
      <c r="BO156" s="72"/>
      <c r="BP156" s="52"/>
      <c r="BQ156" s="52"/>
      <c r="BR156" s="50"/>
      <c r="BS156" s="53"/>
      <c r="BT156" s="53"/>
      <c r="BU156" s="65"/>
      <c r="BV156" s="55"/>
      <c r="BW156" s="55"/>
      <c r="BX156" s="56"/>
      <c r="BY156" s="56" t="s">
        <v>2789</v>
      </c>
      <c r="BZ156" s="58"/>
    </row>
    <row r="157" spans="1:78" ht="15.75" customHeight="1" x14ac:dyDescent="0.3">
      <c r="A157" s="81" t="s">
        <v>694</v>
      </c>
      <c r="B157" s="38" t="s">
        <v>448</v>
      </c>
      <c r="C157" s="1" t="s">
        <v>449</v>
      </c>
      <c r="D157" s="39" t="s">
        <v>2816</v>
      </c>
      <c r="E157" s="40" t="s">
        <v>450</v>
      </c>
      <c r="F157" s="41">
        <v>0</v>
      </c>
      <c r="G157" s="42" t="s">
        <v>2817</v>
      </c>
      <c r="H157" s="42" t="s">
        <v>2817</v>
      </c>
      <c r="I157" s="42" t="s">
        <v>2817</v>
      </c>
      <c r="J157" s="42" t="s">
        <v>2818</v>
      </c>
      <c r="K157" s="42" t="s">
        <v>2819</v>
      </c>
      <c r="L157" s="42" t="s">
        <v>2820</v>
      </c>
      <c r="M157" s="42" t="s">
        <v>2821</v>
      </c>
      <c r="N157" s="42" t="s">
        <v>2822</v>
      </c>
      <c r="O157" s="42" t="s">
        <v>2823</v>
      </c>
      <c r="P157" s="42" t="s">
        <v>2824</v>
      </c>
      <c r="Q157" s="42" t="s">
        <v>2825</v>
      </c>
      <c r="R157" s="42" t="s">
        <v>2826</v>
      </c>
      <c r="S157" s="42" t="s">
        <v>2827</v>
      </c>
      <c r="T157" s="42" t="s">
        <v>2828</v>
      </c>
      <c r="U157" s="42" t="s">
        <v>2829</v>
      </c>
      <c r="V157" s="42" t="str">
        <f>VLOOKUP(D157,[1]ALL!$A$15:$Z$983,3,FALSE)</f>
        <v>LRC-EGW</v>
      </c>
      <c r="W157" s="43">
        <v>184986.36453699126</v>
      </c>
      <c r="X157" s="43">
        <v>175296.2501345296</v>
      </c>
      <c r="Y157" s="43">
        <v>163975.95329942147</v>
      </c>
      <c r="Z157" s="43">
        <v>160145.83790075264</v>
      </c>
      <c r="AA157" s="43">
        <v>171595.66</v>
      </c>
      <c r="AB157" s="43">
        <v>164937.04</v>
      </c>
      <c r="AC157" s="43">
        <v>180168.05</v>
      </c>
      <c r="AD157" s="43">
        <v>194225.59</v>
      </c>
      <c r="AE157" s="43">
        <v>199945.87</v>
      </c>
      <c r="AF157" s="43">
        <v>192468.75</v>
      </c>
      <c r="AG157" s="43">
        <v>219294.75</v>
      </c>
      <c r="AH157" s="43">
        <v>209659.14</v>
      </c>
      <c r="AI157" s="43">
        <v>190205.59</v>
      </c>
      <c r="AJ157" s="43">
        <v>125686.35</v>
      </c>
      <c r="AK157" s="43">
        <v>293223.94</v>
      </c>
      <c r="AL157" s="44"/>
      <c r="AM157" s="45">
        <f>VLOOKUP($B157,'[2]E.U.'!$R$9:$AZ$205,11,FALSE)</f>
        <v>20696.43</v>
      </c>
      <c r="AN157" s="45">
        <f>VLOOKUP($B157,'[3]E.U.'!$R9:$AZ$225,11,FALSE)</f>
        <v>22138.85</v>
      </c>
      <c r="AO157" s="45">
        <f>VLOOKUP($B157,'[4]E.U.'!$R$9:$BZ$225,11,FALSE)</f>
        <v>21268.205898876844</v>
      </c>
      <c r="AP157" s="45">
        <f>VLOOKUP($B157,'[5]E.U.'!$R$9:$BZ$225,11,FALSE)</f>
        <v>21540.630288039407</v>
      </c>
      <c r="AQ157" s="45">
        <f>VLOOKUP($B157,'[6]E.U.'!$R$9:$CA$225,11,FALSE)</f>
        <v>28294.174350347585</v>
      </c>
      <c r="AR157" s="45">
        <f>VLOOKUP($B157,'[7]E.U.'!$R$9:$AZ$225,11,FALSE)</f>
        <v>21996.105806856231</v>
      </c>
      <c r="AS157" s="45">
        <f>VLOOKUP($B157,'[8]E.U.'!$R$9:$AZ$225,11,FALSE)</f>
        <v>15628.274395614939</v>
      </c>
      <c r="AT157" s="45">
        <f>VLOOKUP($B157,'[9]E.U.'!$R$9:$AZ$221,11,FALSE)</f>
        <v>15793.403057814903</v>
      </c>
      <c r="AU157" s="45"/>
      <c r="AV157" s="45">
        <f>VLOOKUP($B157,'[10]E.U.'!$R$9:$AZ$221,11,FALSE)</f>
        <v>17277.075907339273</v>
      </c>
      <c r="AW157" s="45">
        <f>VLOOKUP($B157,'[11]E.U.'!$R$9:$AZ$220,11,FALSE)</f>
        <v>20403.925539665302</v>
      </c>
      <c r="AX157" s="45"/>
      <c r="AY157" s="45">
        <f>VLOOKUP($B157,'[12]E.U.'!$R$9:$AZ$220,11,FALSE)</f>
        <v>18415.363588953453</v>
      </c>
      <c r="AZ157" s="45"/>
      <c r="BA157" s="45">
        <f>VLOOKUP($B157,'[13]E.U.'!$R$9:$AZ$221,11,FALSE)</f>
        <v>17814.692676321727</v>
      </c>
      <c r="BB157" s="46">
        <f t="shared" si="26"/>
        <v>241267.13150982966</v>
      </c>
      <c r="BC157" s="47" t="e">
        <f>SUM(#REF!)</f>
        <v>#REF!</v>
      </c>
      <c r="BD157" s="43" t="e">
        <f>VLOOKUP(V157,[14]ELECTRIC!$C$1:$H$4000,6,FALSE)</f>
        <v>#N/A</v>
      </c>
      <c r="BE157" s="43" t="e">
        <f t="shared" si="19"/>
        <v>#N/A</v>
      </c>
      <c r="BF157" s="48">
        <f t="shared" si="23"/>
        <v>241267.13150982966</v>
      </c>
      <c r="BG157" s="43">
        <f t="shared" si="18"/>
        <v>420321.80982319609</v>
      </c>
      <c r="BH157" s="43" t="e">
        <f t="shared" si="27"/>
        <v>#REF!</v>
      </c>
      <c r="BI157" s="52" t="e">
        <f t="shared" si="24"/>
        <v>#REF!</v>
      </c>
      <c r="BJ157" s="51">
        <f t="shared" si="22"/>
        <v>-0.17719156386129431</v>
      </c>
      <c r="BK157" s="52"/>
      <c r="BL157" s="52"/>
      <c r="BM157" s="52"/>
      <c r="BN157" s="52"/>
      <c r="BO157" s="72"/>
      <c r="BP157" s="105" t="s">
        <v>2830</v>
      </c>
      <c r="BQ157" s="52"/>
      <c r="BR157" s="50" t="s">
        <v>2831</v>
      </c>
      <c r="BS157" s="53"/>
      <c r="BT157" s="53"/>
      <c r="BU157" s="65"/>
      <c r="BV157" s="55"/>
      <c r="BW157" s="55"/>
      <c r="BX157" s="56"/>
      <c r="BY157" s="56" t="s">
        <v>2832</v>
      </c>
      <c r="BZ157" s="58"/>
    </row>
    <row r="158" spans="1:78" ht="15.6" x14ac:dyDescent="0.3">
      <c r="A158" s="81" t="s">
        <v>739</v>
      </c>
      <c r="B158" s="38" t="s">
        <v>451</v>
      </c>
      <c r="C158" s="1" t="s">
        <v>452</v>
      </c>
      <c r="D158" s="39" t="s">
        <v>2833</v>
      </c>
      <c r="E158" s="40" t="s">
        <v>453</v>
      </c>
      <c r="F158" s="41">
        <v>0</v>
      </c>
      <c r="G158" s="42" t="s">
        <v>2834</v>
      </c>
      <c r="H158" s="42" t="s">
        <v>2834</v>
      </c>
      <c r="I158" s="42" t="s">
        <v>2834</v>
      </c>
      <c r="J158" s="42" t="s">
        <v>2835</v>
      </c>
      <c r="K158" s="42" t="s">
        <v>2836</v>
      </c>
      <c r="L158" s="42" t="s">
        <v>2837</v>
      </c>
      <c r="M158" s="42" t="s">
        <v>2838</v>
      </c>
      <c r="N158" s="42" t="s">
        <v>2839</v>
      </c>
      <c r="O158" s="42" t="s">
        <v>2840</v>
      </c>
      <c r="P158" s="42" t="s">
        <v>2841</v>
      </c>
      <c r="Q158" s="42" t="s">
        <v>2842</v>
      </c>
      <c r="R158" s="42" t="s">
        <v>2843</v>
      </c>
      <c r="S158" s="42" t="s">
        <v>2844</v>
      </c>
      <c r="T158" s="42" t="s">
        <v>2845</v>
      </c>
      <c r="U158" s="42" t="s">
        <v>2846</v>
      </c>
      <c r="V158" s="42" t="str">
        <f>VLOOKUP(D158,[1]ALL!$A$15:$Z$983,3,FALSE)</f>
        <v>KAB-EGW</v>
      </c>
      <c r="W158" s="43">
        <v>6947.252539127001</v>
      </c>
      <c r="X158" s="43">
        <v>6180.3682819459864</v>
      </c>
      <c r="Y158" s="43">
        <v>6894.9381906105264</v>
      </c>
      <c r="Z158" s="43">
        <v>7324.3841402460621</v>
      </c>
      <c r="AA158" s="43">
        <v>6001.75</v>
      </c>
      <c r="AB158" s="43">
        <v>5917.32</v>
      </c>
      <c r="AC158" s="43">
        <v>7028.33</v>
      </c>
      <c r="AD158" s="43">
        <v>8213.3799999999992</v>
      </c>
      <c r="AE158" s="43">
        <v>8116.74</v>
      </c>
      <c r="AF158" s="43">
        <v>8693.74</v>
      </c>
      <c r="AG158" s="43">
        <v>8871.0499999999993</v>
      </c>
      <c r="AH158" s="43">
        <v>9665.5400000000009</v>
      </c>
      <c r="AI158" s="43">
        <v>7159.83</v>
      </c>
      <c r="AJ158" s="43">
        <v>0</v>
      </c>
      <c r="AK158" s="43">
        <v>0</v>
      </c>
      <c r="AL158" s="44"/>
      <c r="AM158" s="45">
        <f>VLOOKUP($B158,'[2]E.U.'!$R$9:$AZ$205,11,FALSE)</f>
        <v>0</v>
      </c>
      <c r="AN158" s="45">
        <f>VLOOKUP($B158,'[3]E.U.'!$R9:$AZ$225,11,FALSE)</f>
        <v>0</v>
      </c>
      <c r="AO158" s="45">
        <f>VLOOKUP($B158,'[4]E.U.'!$R$9:$BZ$225,11,FALSE)</f>
        <v>0</v>
      </c>
      <c r="AP158" s="45">
        <f>VLOOKUP($B158,'[5]E.U.'!$R$9:$BZ$225,11,FALSE)</f>
        <v>0</v>
      </c>
      <c r="AQ158" s="45">
        <f>VLOOKUP($B158,'[6]E.U.'!$R$9:$CA$225,11,FALSE)</f>
        <v>0</v>
      </c>
      <c r="AR158" s="45">
        <f>VLOOKUP($B158,'[7]E.U.'!$R$9:$AZ$225,11,FALSE)</f>
        <v>0</v>
      </c>
      <c r="AS158" s="45">
        <f>VLOOKUP($B158,'[8]E.U.'!$R$9:$AZ$225,11,FALSE)</f>
        <v>0</v>
      </c>
      <c r="AT158" s="45">
        <f>VLOOKUP($B158,'[9]E.U.'!$R$9:$AZ$221,11,FALSE)</f>
        <v>0</v>
      </c>
      <c r="AU158" s="45"/>
      <c r="AV158" s="45">
        <f>VLOOKUP($B158,'[10]E.U.'!$R$9:$AZ$221,11,FALSE)</f>
        <v>0</v>
      </c>
      <c r="AW158" s="45" t="e">
        <f>VLOOKUP($B158,'[11]E.U.'!$R$9:$AZ$220,11,FALSE)</f>
        <v>#REF!</v>
      </c>
      <c r="AX158" s="45"/>
      <c r="AY158" s="45" t="e">
        <f>VLOOKUP($B158,'[12]E.U.'!$R$9:$AZ$220,11,FALSE)</f>
        <v>#REF!</v>
      </c>
      <c r="AZ158" s="45"/>
      <c r="BA158" s="45">
        <f>VLOOKUP($B158,'[13]E.U.'!$R$9:$AZ$221,11,FALSE)</f>
        <v>0</v>
      </c>
      <c r="BB158" s="46" t="e">
        <f t="shared" si="26"/>
        <v>#REF!</v>
      </c>
      <c r="BC158" s="47" t="e">
        <f>SUM(#REF!)</f>
        <v>#REF!</v>
      </c>
      <c r="BD158" s="43" t="e">
        <f>VLOOKUP(V158,[14]ELECTRIC!$C$1:$H$4000,6,FALSE)</f>
        <v>#N/A</v>
      </c>
      <c r="BE158" s="43" t="e">
        <f t="shared" si="19"/>
        <v>#REF!</v>
      </c>
      <c r="BF158" s="48" t="e">
        <f t="shared" si="23"/>
        <v>#REF!</v>
      </c>
      <c r="BG158" s="49" t="e">
        <f t="shared" si="18"/>
        <v>#REF!</v>
      </c>
      <c r="BH158" s="43" t="e">
        <f t="shared" si="27"/>
        <v>#REF!</v>
      </c>
      <c r="BI158" s="50" t="e">
        <f t="shared" si="24"/>
        <v>#REF!</v>
      </c>
      <c r="BJ158" s="51" t="e">
        <f t="shared" si="22"/>
        <v>#REF!</v>
      </c>
      <c r="BK158" s="52"/>
      <c r="BL158" s="52"/>
      <c r="BM158" s="52"/>
      <c r="BN158" s="52"/>
      <c r="BO158" s="224" t="s">
        <v>2114</v>
      </c>
      <c r="BP158" s="52"/>
      <c r="BQ158" s="52"/>
      <c r="BR158" s="71"/>
      <c r="BS158" s="53"/>
      <c r="BT158" s="53"/>
      <c r="BU158" s="65"/>
      <c r="BV158" s="55"/>
      <c r="BW158" s="55"/>
      <c r="BX158" s="56"/>
      <c r="BY158" s="67" t="s">
        <v>2847</v>
      </c>
      <c r="BZ158" s="58"/>
    </row>
    <row r="159" spans="1:78" ht="15.6" x14ac:dyDescent="0.3">
      <c r="A159" s="81" t="s">
        <v>694</v>
      </c>
      <c r="B159" s="38" t="s">
        <v>454</v>
      </c>
      <c r="C159" s="1" t="s">
        <v>455</v>
      </c>
      <c r="D159" s="39" t="s">
        <v>2848</v>
      </c>
      <c r="E159" s="40" t="s">
        <v>456</v>
      </c>
      <c r="F159" s="41" t="s">
        <v>758</v>
      </c>
      <c r="G159" s="42" t="s">
        <v>2849</v>
      </c>
      <c r="H159" s="42" t="s">
        <v>2849</v>
      </c>
      <c r="I159" s="42" t="s">
        <v>2849</v>
      </c>
      <c r="J159" s="42" t="s">
        <v>2850</v>
      </c>
      <c r="K159" s="42" t="s">
        <v>2851</v>
      </c>
      <c r="L159" s="42" t="s">
        <v>2852</v>
      </c>
      <c r="M159" s="42" t="s">
        <v>2853</v>
      </c>
      <c r="N159" s="42" t="s">
        <v>2854</v>
      </c>
      <c r="O159" s="42" t="s">
        <v>2855</v>
      </c>
      <c r="P159" s="42" t="s">
        <v>2856</v>
      </c>
      <c r="Q159" s="42" t="s">
        <v>2857</v>
      </c>
      <c r="R159" s="42" t="s">
        <v>2858</v>
      </c>
      <c r="S159" s="42" t="s">
        <v>2859</v>
      </c>
      <c r="T159" s="42" t="s">
        <v>2860</v>
      </c>
      <c r="U159" s="42" t="s">
        <v>2861</v>
      </c>
      <c r="V159" s="42" t="str">
        <f>VLOOKUP(D159,[1]ALL!$A$15:$Z$983,3,FALSE)</f>
        <v>HNB-EGW</v>
      </c>
      <c r="W159" s="43">
        <v>193958.60237179341</v>
      </c>
      <c r="X159" s="43">
        <v>180647.17915817373</v>
      </c>
      <c r="Y159" s="43">
        <v>172791.99506494551</v>
      </c>
      <c r="Z159" s="43">
        <v>191483.13518284046</v>
      </c>
      <c r="AA159" s="43">
        <v>191853.52</v>
      </c>
      <c r="AB159" s="43">
        <v>191183.11</v>
      </c>
      <c r="AC159" s="43">
        <v>207357.77</v>
      </c>
      <c r="AD159" s="43">
        <v>221557.33</v>
      </c>
      <c r="AE159" s="43">
        <v>252053.61</v>
      </c>
      <c r="AF159" s="43">
        <v>196244.53</v>
      </c>
      <c r="AG159" s="43">
        <v>183687.4</v>
      </c>
      <c r="AH159" s="43">
        <v>174382.27</v>
      </c>
      <c r="AI159" s="43">
        <v>188040.94</v>
      </c>
      <c r="AJ159" s="43">
        <v>176306.94</v>
      </c>
      <c r="AK159" s="43">
        <v>179268.33</v>
      </c>
      <c r="AL159" s="44"/>
      <c r="AM159" s="45">
        <f>VLOOKUP($B159,'[2]E.U.'!$R$9:$AZ$205,11,FALSE)</f>
        <v>16177.14</v>
      </c>
      <c r="AN159" s="45">
        <f>VLOOKUP($B159,'[3]E.U.'!$R9:$AZ$225,11,FALSE)</f>
        <v>15606.31</v>
      </c>
      <c r="AO159" s="45">
        <f>VLOOKUP($B159,'[4]E.U.'!$R$9:$BZ$225,11,FALSE)</f>
        <v>18473.046981758616</v>
      </c>
      <c r="AP159" s="45">
        <f>VLOOKUP($B159,'[5]E.U.'!$R$9:$BZ$225,11,FALSE)</f>
        <v>17729.402213495097</v>
      </c>
      <c r="AQ159" s="45">
        <f>VLOOKUP($B159,'[6]E.U.'!$R$9:$CA$225,11,FALSE)</f>
        <v>18703.563001891769</v>
      </c>
      <c r="AR159" s="45">
        <f>VLOOKUP($B159,'[7]E.U.'!$R$9:$AZ$225,11,FALSE)</f>
        <v>16737.438465454146</v>
      </c>
      <c r="AS159" s="45">
        <f>VLOOKUP($B159,'[8]E.U.'!$R$9:$AZ$225,11,FALSE)</f>
        <v>17614.991601171438</v>
      </c>
      <c r="AT159" s="45">
        <f>VLOOKUP($B159,'[9]E.U.'!$R$9:$AZ$221,11,FALSE)</f>
        <v>15381.699270121182</v>
      </c>
      <c r="AU159" s="45"/>
      <c r="AV159" s="45">
        <f>VLOOKUP($B159,'[10]E.U.'!$R$9:$AZ$221,11,FALSE)</f>
        <v>16141.530967621993</v>
      </c>
      <c r="AW159" s="45">
        <f>VLOOKUP($B159,'[11]E.U.'!$R$9:$AZ$220,11,FALSE)</f>
        <v>16100.214517875407</v>
      </c>
      <c r="AX159" s="45"/>
      <c r="AY159" s="45">
        <f>VLOOKUP($B159,'[12]E.U.'!$R$9:$AZ$220,11,FALSE)</f>
        <v>15815.166662080848</v>
      </c>
      <c r="AZ159" s="45"/>
      <c r="BA159" s="45">
        <f>VLOOKUP($B159,'[13]E.U.'!$R$9:$AZ$221,11,FALSE)</f>
        <v>15114.405317975734</v>
      </c>
      <c r="BB159" s="46">
        <f t="shared" si="26"/>
        <v>199594.90899944623</v>
      </c>
      <c r="BC159" s="47" t="e">
        <f>SUM(#REF!)</f>
        <v>#REF!</v>
      </c>
      <c r="BD159" s="43" t="e">
        <f>VLOOKUP(V159,[14]ELECTRIC!$C$1:$H$4000,6,FALSE)</f>
        <v>#N/A</v>
      </c>
      <c r="BE159" s="43" t="e">
        <f t="shared" si="19"/>
        <v>#N/A</v>
      </c>
      <c r="BF159" s="48">
        <f t="shared" si="23"/>
        <v>199594.90899944623</v>
      </c>
      <c r="BG159" s="49">
        <f t="shared" si="18"/>
        <v>347722.8450354638</v>
      </c>
      <c r="BH159" s="43" t="e">
        <f t="shared" si="27"/>
        <v>#REF!</v>
      </c>
      <c r="BI159" s="50" t="e">
        <f t="shared" si="24"/>
        <v>#REF!</v>
      </c>
      <c r="BJ159" s="51">
        <f t="shared" si="22"/>
        <v>0.11338633544166021</v>
      </c>
      <c r="BK159" s="52"/>
      <c r="BL159" s="52"/>
      <c r="BM159" s="52"/>
      <c r="BN159" s="52"/>
      <c r="BO159" s="72"/>
      <c r="BP159" s="52"/>
      <c r="BQ159" s="52"/>
      <c r="BR159" s="50"/>
      <c r="BS159" s="53"/>
      <c r="BT159" s="53"/>
      <c r="BU159" s="65"/>
      <c r="BV159" s="55"/>
      <c r="BW159" s="55"/>
      <c r="BX159" s="56"/>
      <c r="BY159" s="67"/>
      <c r="BZ159" s="58"/>
    </row>
    <row r="160" spans="1:78" ht="15.6" x14ac:dyDescent="0.3">
      <c r="A160" s="81" t="s">
        <v>694</v>
      </c>
      <c r="B160" s="38" t="s">
        <v>457</v>
      </c>
      <c r="C160" s="1" t="s">
        <v>458</v>
      </c>
      <c r="D160" s="39" t="s">
        <v>2862</v>
      </c>
      <c r="E160" s="40" t="s">
        <v>459</v>
      </c>
      <c r="F160" s="41" t="s">
        <v>758</v>
      </c>
      <c r="G160" s="42" t="s">
        <v>2863</v>
      </c>
      <c r="H160" s="42" t="s">
        <v>2863</v>
      </c>
      <c r="I160" s="42" t="s">
        <v>2863</v>
      </c>
      <c r="J160" s="42" t="s">
        <v>2864</v>
      </c>
      <c r="K160" s="42" t="s">
        <v>2865</v>
      </c>
      <c r="L160" s="42" t="s">
        <v>2866</v>
      </c>
      <c r="M160" s="42" t="s">
        <v>2867</v>
      </c>
      <c r="N160" s="42" t="s">
        <v>2868</v>
      </c>
      <c r="O160" s="42" t="s">
        <v>2869</v>
      </c>
      <c r="P160" s="42" t="s">
        <v>2870</v>
      </c>
      <c r="Q160" s="42" t="s">
        <v>2871</v>
      </c>
      <c r="R160" s="42" t="s">
        <v>2872</v>
      </c>
      <c r="S160" s="42" t="s">
        <v>2873</v>
      </c>
      <c r="T160" s="42" t="s">
        <v>2874</v>
      </c>
      <c r="U160" s="42" t="s">
        <v>2875</v>
      </c>
      <c r="V160" s="42" t="str">
        <f>VLOOKUP(D160,[1]ALL!$A$15:$Z$983,3,FALSE)</f>
        <v>KAP-EGW</v>
      </c>
      <c r="W160" s="43">
        <v>394810.00679589878</v>
      </c>
      <c r="X160" s="43">
        <v>401906.11886834708</v>
      </c>
      <c r="Y160" s="43">
        <v>404154.98527776106</v>
      </c>
      <c r="Z160" s="43">
        <v>415643.45285458106</v>
      </c>
      <c r="AA160" s="43">
        <v>385672.36</v>
      </c>
      <c r="AB160" s="43">
        <v>392428.03</v>
      </c>
      <c r="AC160" s="43">
        <v>353815.46</v>
      </c>
      <c r="AD160" s="43">
        <v>189350.85</v>
      </c>
      <c r="AE160" s="43">
        <v>171566.44</v>
      </c>
      <c r="AF160" s="43">
        <v>179030.43</v>
      </c>
      <c r="AG160" s="43">
        <v>174492.79999999999</v>
      </c>
      <c r="AH160" s="43">
        <v>160082.62</v>
      </c>
      <c r="AI160" s="43">
        <v>163025.46</v>
      </c>
      <c r="AJ160" s="43">
        <v>185125.1</v>
      </c>
      <c r="AK160" s="43">
        <v>188432.13</v>
      </c>
      <c r="AL160" s="44"/>
      <c r="AM160" s="45">
        <f>VLOOKUP($B160,'[2]E.U.'!$R$9:$AZ$205,11,FALSE)</f>
        <v>14387.9</v>
      </c>
      <c r="AN160" s="45">
        <f>VLOOKUP($B160,'[3]E.U.'!$R9:$AZ$225,11,FALSE)</f>
        <v>15617.81</v>
      </c>
      <c r="AO160" s="45">
        <f>VLOOKUP($B160,'[4]E.U.'!$R$9:$BZ$225,11,FALSE)</f>
        <v>12825.793187258323</v>
      </c>
      <c r="AP160" s="45">
        <f>VLOOKUP($B160,'[5]E.U.'!$R$9:$BZ$225,11,FALSE)</f>
        <v>13405.264227142263</v>
      </c>
      <c r="AQ160" s="45">
        <f>VLOOKUP($B160,'[6]E.U.'!$R$9:$CA$225,11,FALSE)</f>
        <v>16418.382521745501</v>
      </c>
      <c r="AR160" s="45">
        <f>VLOOKUP($B160,'[7]E.U.'!$R$9:$AZ$225,11,FALSE)</f>
        <v>15547.034816386651</v>
      </c>
      <c r="AS160" s="45">
        <f>VLOOKUP($B160,'[8]E.U.'!$R$9:$AZ$225,11,FALSE)</f>
        <v>15268.643554323902</v>
      </c>
      <c r="AT160" s="45">
        <f>VLOOKUP($B160,'[9]E.U.'!$R$9:$AZ$221,11,FALSE)</f>
        <v>12942.703459094817</v>
      </c>
      <c r="AU160" s="45"/>
      <c r="AV160" s="45">
        <f>VLOOKUP($B160,'[10]E.U.'!$R$9:$AZ$221,11,FALSE)</f>
        <v>13449.975766388532</v>
      </c>
      <c r="AW160" s="45">
        <f>VLOOKUP($B160,'[11]E.U.'!$R$9:$AZ$220,11,FALSE)</f>
        <v>13395.421606855445</v>
      </c>
      <c r="AX160" s="45"/>
      <c r="AY160" s="45">
        <f>VLOOKUP($B160,'[12]E.U.'!$R$9:$AZ$220,11,FALSE)</f>
        <v>12931.352656680443</v>
      </c>
      <c r="AZ160" s="45"/>
      <c r="BA160" s="45">
        <f>VLOOKUP($B160,'[13]E.U.'!$R$9:$AZ$221,11,FALSE)</f>
        <v>12006.017069288368</v>
      </c>
      <c r="BB160" s="46">
        <f t="shared" si="26"/>
        <v>168196.29886516425</v>
      </c>
      <c r="BC160" s="47" t="e">
        <f>SUM(#REF!)</f>
        <v>#REF!</v>
      </c>
      <c r="BD160" s="43" t="e">
        <f>VLOOKUP(V160,[14]ELECTRIC!$C$1:$H$4000,6,FALSE)</f>
        <v>#N/A</v>
      </c>
      <c r="BE160" s="43" t="e">
        <f t="shared" si="19"/>
        <v>#N/A</v>
      </c>
      <c r="BF160" s="48">
        <f t="shared" si="23"/>
        <v>168196.29886516425</v>
      </c>
      <c r="BG160" s="49">
        <f t="shared" si="18"/>
        <v>293021.9806658111</v>
      </c>
      <c r="BH160" s="43" t="e">
        <f t="shared" si="27"/>
        <v>#REF!</v>
      </c>
      <c r="BI160" s="50" t="e">
        <f t="shared" si="24"/>
        <v>#REF!</v>
      </c>
      <c r="BJ160" s="51">
        <f t="shared" si="22"/>
        <v>-0.1073905556066036</v>
      </c>
      <c r="BK160" s="52"/>
      <c r="BL160" s="52"/>
      <c r="BM160" s="52"/>
      <c r="BN160" s="52"/>
      <c r="BO160" s="72"/>
      <c r="BP160" s="52"/>
      <c r="BQ160" s="52"/>
      <c r="BR160" s="50"/>
      <c r="BS160" s="53"/>
      <c r="BT160" s="53"/>
      <c r="BU160" s="65"/>
      <c r="BV160" s="55"/>
      <c r="BW160" s="55"/>
      <c r="BX160" s="56"/>
      <c r="BY160" s="67"/>
      <c r="BZ160" s="58"/>
    </row>
    <row r="161" spans="1:78" ht="15.6" x14ac:dyDescent="0.3">
      <c r="A161" s="81" t="s">
        <v>694</v>
      </c>
      <c r="B161" s="38" t="s">
        <v>460</v>
      </c>
      <c r="C161" s="63" t="s">
        <v>461</v>
      </c>
      <c r="D161" s="39" t="s">
        <v>2876</v>
      </c>
      <c r="E161" s="40" t="s">
        <v>462</v>
      </c>
      <c r="F161" s="41">
        <v>0</v>
      </c>
      <c r="G161" s="42" t="s">
        <v>2877</v>
      </c>
      <c r="H161" s="42" t="s">
        <v>2877</v>
      </c>
      <c r="I161" s="42" t="s">
        <v>2877</v>
      </c>
      <c r="J161" s="42" t="s">
        <v>2878</v>
      </c>
      <c r="K161" s="42" t="s">
        <v>2879</v>
      </c>
      <c r="L161" s="42" t="s">
        <v>2880</v>
      </c>
      <c r="M161" s="42" t="s">
        <v>2881</v>
      </c>
      <c r="N161" s="42" t="s">
        <v>2882</v>
      </c>
      <c r="O161" s="42" t="s">
        <v>2883</v>
      </c>
      <c r="P161" s="42" t="s">
        <v>2884</v>
      </c>
      <c r="Q161" s="42" t="s">
        <v>2885</v>
      </c>
      <c r="R161" s="42" t="s">
        <v>2886</v>
      </c>
      <c r="S161" s="42" t="s">
        <v>2887</v>
      </c>
      <c r="T161" s="42" t="s">
        <v>2888</v>
      </c>
      <c r="U161" s="42" t="s">
        <v>2889</v>
      </c>
      <c r="V161" s="42" t="str">
        <f>VLOOKUP(D161,[1]ALL!$A$15:$Z$983,3,FALSE)</f>
        <v>BKS-EGW</v>
      </c>
      <c r="W161" s="43">
        <v>18319.900379027098</v>
      </c>
      <c r="X161" s="43">
        <v>17671.603081319598</v>
      </c>
      <c r="Y161" s="43">
        <v>18458.184634625024</v>
      </c>
      <c r="Z161" s="43">
        <v>18848.24412511578</v>
      </c>
      <c r="AA161" s="43">
        <v>19724.509999999998</v>
      </c>
      <c r="AB161" s="43">
        <v>20155.75</v>
      </c>
      <c r="AC161" s="43">
        <v>24072.253659000002</v>
      </c>
      <c r="AD161" s="43">
        <v>15403.608287999999</v>
      </c>
      <c r="AE161" s="43">
        <v>12899.325153999998</v>
      </c>
      <c r="AF161" s="43">
        <v>9070.5065119999999</v>
      </c>
      <c r="AG161" s="43">
        <v>9029.7802690000008</v>
      </c>
      <c r="AH161" s="43">
        <v>9119.36</v>
      </c>
      <c r="AI161" s="43">
        <v>8476.75</v>
      </c>
      <c r="AJ161" s="43">
        <v>8955.3700000000008</v>
      </c>
      <c r="AK161" s="43">
        <v>11087.99</v>
      </c>
      <c r="AL161" s="44"/>
      <c r="AM161" s="45">
        <f>VLOOKUP($B161,'[2]E.U.'!$R$9:$AZ$205,11,FALSE)</f>
        <v>827.96539499999994</v>
      </c>
      <c r="AN161" s="45">
        <f>VLOOKUP($B161,'[3]E.U.'!$R9:$AZ$225,11,FALSE)</f>
        <v>980.85197999999991</v>
      </c>
      <c r="AO161" s="45">
        <f>VLOOKUP($B161,'[4]E.U.'!$R$9:$BZ$225,11,FALSE)</f>
        <v>900.40323904761601</v>
      </c>
      <c r="AP161" s="45">
        <f>VLOOKUP($B161,'[5]E.U.'!$R$9:$BZ$225,11,FALSE)</f>
        <v>891.67771703036703</v>
      </c>
      <c r="AQ161" s="45">
        <f>VLOOKUP($B161,'[6]E.U.'!$R$9:$CA$225,11,FALSE)</f>
        <v>958.43668913748161</v>
      </c>
      <c r="AR161" s="45">
        <f>VLOOKUP($B161,'[7]E.U.'!$R$9:$AZ$225,11,FALSE)</f>
        <v>859.72360582250963</v>
      </c>
      <c r="AS161" s="45">
        <f>VLOOKUP($B161,'[8]E.U.'!$R$9:$AZ$225,11,FALSE)</f>
        <v>921.50887122154859</v>
      </c>
      <c r="AT161" s="45">
        <f>VLOOKUP($B161,'[9]E.U.'!$R$9:$AZ$221,11,FALSE)</f>
        <v>771.3515457031524</v>
      </c>
      <c r="AU161" s="45"/>
      <c r="AV161" s="45">
        <f>VLOOKUP($B161,'[10]E.U.'!$R$9:$AZ$221,11,FALSE)</f>
        <v>811.89514702224244</v>
      </c>
      <c r="AW161" s="45">
        <f>VLOOKUP($B161,'[11]E.U.'!$R$9:$AZ$220,11,FALSE)</f>
        <v>785.23743519972118</v>
      </c>
      <c r="AX161" s="45"/>
      <c r="AY161" s="45">
        <f>VLOOKUP($B161,'[12]E.U.'!$R$9:$AZ$220,11,FALSE)</f>
        <v>785.60807806368553</v>
      </c>
      <c r="AZ161" s="45"/>
      <c r="BA161" s="45">
        <f>VLOOKUP($B161,'[13]E.U.'!$R$9:$AZ$221,11,FALSE)</f>
        <v>759.32686713293606</v>
      </c>
      <c r="BB161" s="46">
        <f t="shared" si="26"/>
        <v>10253.986570381261</v>
      </c>
      <c r="BC161" s="47" t="e">
        <f>SUM(#REF!)</f>
        <v>#REF!</v>
      </c>
      <c r="BD161" s="43" t="e">
        <f>VLOOKUP(V161,[14]ELECTRIC!$C$1:$H$4000,6,FALSE)</f>
        <v>#N/A</v>
      </c>
      <c r="BE161" s="43" t="e">
        <f t="shared" si="19"/>
        <v>#N/A</v>
      </c>
      <c r="BF161" s="48">
        <f t="shared" si="23"/>
        <v>10253.986570381261</v>
      </c>
      <c r="BG161" s="49">
        <f t="shared" si="18"/>
        <v>17863.909460828498</v>
      </c>
      <c r="BH161" s="43" t="e">
        <f t="shared" si="27"/>
        <v>#REF!</v>
      </c>
      <c r="BI161" s="50" t="e">
        <f t="shared" si="24"/>
        <v>#REF!</v>
      </c>
      <c r="BJ161" s="51">
        <f t="shared" si="22"/>
        <v>-7.521682736174351E-2</v>
      </c>
      <c r="BK161" s="52"/>
      <c r="BL161" s="52"/>
      <c r="BM161" s="52"/>
      <c r="BN161" s="52"/>
      <c r="BO161" s="72"/>
      <c r="BP161" s="52"/>
      <c r="BQ161" s="52"/>
      <c r="BR161" s="71" t="s">
        <v>2890</v>
      </c>
      <c r="BS161" s="53"/>
      <c r="BT161" s="53"/>
      <c r="BU161" s="65"/>
      <c r="BV161" s="55"/>
      <c r="BW161" s="55"/>
      <c r="BX161" s="56"/>
      <c r="BY161" s="80"/>
      <c r="BZ161" s="58"/>
    </row>
    <row r="162" spans="1:78" ht="15.6" x14ac:dyDescent="0.3">
      <c r="A162" s="81" t="s">
        <v>1359</v>
      </c>
      <c r="B162" s="38" t="s">
        <v>463</v>
      </c>
      <c r="C162" s="63" t="s">
        <v>464</v>
      </c>
      <c r="D162" t="s">
        <v>2891</v>
      </c>
      <c r="E162" s="40" t="s">
        <v>465</v>
      </c>
      <c r="F162" s="41">
        <v>0</v>
      </c>
      <c r="G162" s="42" t="s">
        <v>2892</v>
      </c>
      <c r="H162" s="42" t="s">
        <v>2893</v>
      </c>
      <c r="I162" s="42" t="s">
        <v>2894</v>
      </c>
      <c r="J162" s="42" t="s">
        <v>2895</v>
      </c>
      <c r="K162" s="42" t="s">
        <v>2896</v>
      </c>
      <c r="L162" s="42" t="s">
        <v>2897</v>
      </c>
      <c r="M162" s="42" t="s">
        <v>2898</v>
      </c>
      <c r="N162" s="42" t="s">
        <v>2899</v>
      </c>
      <c r="O162" s="42" t="s">
        <v>2900</v>
      </c>
      <c r="P162" s="42" t="s">
        <v>2901</v>
      </c>
      <c r="Q162" s="42" t="s">
        <v>2902</v>
      </c>
      <c r="R162" s="42" t="s">
        <v>2903</v>
      </c>
      <c r="S162" s="42" t="s">
        <v>2904</v>
      </c>
      <c r="T162" s="42" t="s">
        <v>2905</v>
      </c>
      <c r="U162" s="42" t="s">
        <v>2906</v>
      </c>
      <c r="V162" s="42" t="str">
        <f>VLOOKUP(D162,[1]ALL!$A$15:$Z$983,3,FALSE)</f>
        <v>BKS-ELC</v>
      </c>
      <c r="W162" s="43">
        <v>127700.71648143549</v>
      </c>
      <c r="X162" s="43">
        <v>121146.9600083866</v>
      </c>
      <c r="Y162" s="43">
        <v>126539.33802543019</v>
      </c>
      <c r="Z162" s="43">
        <v>127928.33360556592</v>
      </c>
      <c r="AA162" s="43">
        <v>132823.94</v>
      </c>
      <c r="AB162" s="43">
        <v>135727.82999999999</v>
      </c>
      <c r="AC162" s="43">
        <v>164900.416341</v>
      </c>
      <c r="AD162" s="43">
        <v>172727.84171199999</v>
      </c>
      <c r="AE162" s="43">
        <v>151665.93484599999</v>
      </c>
      <c r="AF162" s="43">
        <v>106624.77348800002</v>
      </c>
      <c r="AG162" s="43">
        <v>94101.07973100002</v>
      </c>
      <c r="AH162" s="43">
        <v>92772.94</v>
      </c>
      <c r="AI162" s="43">
        <v>86235.53</v>
      </c>
      <c r="AJ162" s="43">
        <v>91104.63</v>
      </c>
      <c r="AK162" s="43">
        <v>112800.16</v>
      </c>
      <c r="AL162" s="44"/>
      <c r="AM162" s="45">
        <f>VLOOKUP($B162,'[2]E.U.'!$R$9:$AZ$205,11,FALSE)</f>
        <v>8423.0446049999991</v>
      </c>
      <c r="AN162" s="45">
        <f>VLOOKUP($B162,'[3]E.U.'!$R9:$AZ$225,11,FALSE)</f>
        <v>9978.3880200000003</v>
      </c>
      <c r="AO162" s="45">
        <f>VLOOKUP($B162,'[4]E.U.'!$R$9:$BZ$225,11,FALSE)</f>
        <v>9159.968146959267</v>
      </c>
      <c r="AP162" s="45">
        <f>VLOOKUP($B162,'[5]E.U.'!$R$9:$BZ$225,11,FALSE)</f>
        <v>9071.2018028620023</v>
      </c>
      <c r="AQ162" s="45">
        <f>VLOOKUP($B162,'[6]E.U.'!$R$9:$CA$225,11,FALSE)</f>
        <v>9750.3531336276774</v>
      </c>
      <c r="AR162" s="45">
        <f>VLOOKUP($B162,'[7]E.U.'!$R$9:$AZ$225,11,FALSE)</f>
        <v>8746.1267385630726</v>
      </c>
      <c r="AS162" s="45">
        <f>VLOOKUP($B162,'[8]E.U.'!$R$9:$AZ$225,11,FALSE)</f>
        <v>9374.6796340471501</v>
      </c>
      <c r="AT162" s="45">
        <f>VLOOKUP($B162,'[9]E.U.'!$R$9:$AZ$221,11,FALSE)</f>
        <v>7847.1014789130759</v>
      </c>
      <c r="AU162" s="45"/>
      <c r="AV162" s="45">
        <f>VLOOKUP($B162,'[10]E.U.'!$R$9:$AZ$221,11,FALSE)</f>
        <v>8259.5590096508586</v>
      </c>
      <c r="AW162" s="45">
        <f>VLOOKUP($B162,'[11]E.U.'!$R$9:$AZ$220,11,FALSE)</f>
        <v>7988.3651927301244</v>
      </c>
      <c r="AX162" s="252"/>
      <c r="AY162" s="45">
        <f>VLOOKUP($B162,'[12]E.U.'!$R$9:$AZ$220,11,FALSE)</f>
        <v>7992.135810916041</v>
      </c>
      <c r="AZ162" s="45"/>
      <c r="BA162" s="45">
        <f>VLOOKUP($B162,'[13]E.U.'!$R$9:$AZ$221,11,FALSE)</f>
        <v>7724.7722069780821</v>
      </c>
      <c r="BB162" s="46">
        <f t="shared" si="26"/>
        <v>104315.69578024735</v>
      </c>
      <c r="BC162" s="47" t="e">
        <f>SUM(#REF!)</f>
        <v>#REF!</v>
      </c>
      <c r="BD162" s="43" t="e">
        <f>VLOOKUP(V162,[14]ELECTRIC!$C$1:$H$4000,6,FALSE)</f>
        <v>#N/A</v>
      </c>
      <c r="BE162" s="43" t="e">
        <f t="shared" si="19"/>
        <v>#N/A</v>
      </c>
      <c r="BF162" s="48">
        <f t="shared" si="23"/>
        <v>104315.69578024735</v>
      </c>
      <c r="BG162" s="49">
        <f t="shared" si="18"/>
        <v>181732.84429144522</v>
      </c>
      <c r="BH162" s="43" t="e">
        <f t="shared" si="27"/>
        <v>#REF!</v>
      </c>
      <c r="BI162" s="50" t="e">
        <f t="shared" si="24"/>
        <v>#REF!</v>
      </c>
      <c r="BJ162" s="51">
        <f t="shared" si="22"/>
        <v>-7.5216774690325394E-2</v>
      </c>
      <c r="BK162" s="52"/>
      <c r="BL162" s="52"/>
      <c r="BM162" s="52"/>
      <c r="BN162" s="52"/>
      <c r="BO162" s="72"/>
      <c r="BP162" s="52"/>
      <c r="BQ162" s="52"/>
      <c r="BR162" s="71" t="s">
        <v>2890</v>
      </c>
      <c r="BS162" s="53"/>
      <c r="BT162" s="53"/>
      <c r="BU162" s="65"/>
      <c r="BV162" s="55"/>
      <c r="BW162" s="55"/>
      <c r="BX162" s="56"/>
      <c r="BY162" s="80"/>
      <c r="BZ162" s="58"/>
    </row>
    <row r="163" spans="1:78" ht="15.6" x14ac:dyDescent="0.3">
      <c r="A163" s="81" t="s">
        <v>1359</v>
      </c>
      <c r="B163" s="38">
        <v>2547</v>
      </c>
      <c r="C163" s="125" t="s">
        <v>466</v>
      </c>
      <c r="D163"/>
      <c r="E163" s="40" t="s">
        <v>467</v>
      </c>
      <c r="F163" s="41">
        <v>0</v>
      </c>
      <c r="G163" s="42"/>
      <c r="H163" s="42"/>
      <c r="I163" s="42"/>
      <c r="J163" s="42"/>
      <c r="K163" s="42"/>
      <c r="L163" t="s">
        <v>2907</v>
      </c>
      <c r="M163" s="42" t="s">
        <v>2908</v>
      </c>
      <c r="N163" s="42" t="s">
        <v>2909</v>
      </c>
      <c r="O163" s="42" t="s">
        <v>2910</v>
      </c>
      <c r="P163" s="42" t="s">
        <v>2911</v>
      </c>
      <c r="Q163" s="42" t="s">
        <v>2912</v>
      </c>
      <c r="R163" s="42"/>
      <c r="S163" s="42"/>
      <c r="T163" s="42"/>
      <c r="U163" s="42"/>
      <c r="V163" s="42"/>
      <c r="W163" s="43"/>
      <c r="X163" s="43"/>
      <c r="Y163" s="43"/>
      <c r="Z163" s="43"/>
      <c r="AA163" s="43"/>
      <c r="AB163" s="43">
        <v>684.54</v>
      </c>
      <c r="AC163" s="43">
        <v>2481.71</v>
      </c>
      <c r="AD163" s="43">
        <v>2232.4940000000011</v>
      </c>
      <c r="AE163" s="43">
        <v>2444.442</v>
      </c>
      <c r="AF163" s="43">
        <v>3156.4830000000006</v>
      </c>
      <c r="AG163" s="43">
        <v>1552.6690000000003</v>
      </c>
      <c r="AH163" s="43">
        <v>0</v>
      </c>
      <c r="AI163" s="43">
        <v>0</v>
      </c>
      <c r="AJ163" s="43"/>
      <c r="AK163" s="43"/>
      <c r="AL163" s="44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6"/>
      <c r="BC163" s="47"/>
      <c r="BD163" s="43"/>
      <c r="BE163" s="43">
        <f t="shared" si="19"/>
        <v>0</v>
      </c>
      <c r="BF163" s="48">
        <f t="shared" si="23"/>
        <v>0</v>
      </c>
      <c r="BG163" s="49"/>
      <c r="BH163" s="43"/>
      <c r="BI163" s="50">
        <f t="shared" si="24"/>
        <v>0</v>
      </c>
      <c r="BJ163" s="51">
        <f t="shared" si="22"/>
        <v>0</v>
      </c>
      <c r="BK163" s="52"/>
      <c r="BL163" s="52"/>
      <c r="BM163" s="52"/>
      <c r="BN163" s="52"/>
      <c r="BO163" s="72"/>
      <c r="BP163" s="52"/>
      <c r="BQ163" s="52"/>
      <c r="BR163" s="50"/>
      <c r="BS163" s="53"/>
      <c r="BT163" s="53"/>
      <c r="BU163" s="65"/>
      <c r="BV163" s="55"/>
      <c r="BW163" s="55"/>
      <c r="BX163" s="56"/>
      <c r="BY163" s="87"/>
      <c r="BZ163" s="58"/>
    </row>
    <row r="164" spans="1:78" ht="15.6" x14ac:dyDescent="0.3">
      <c r="A164" s="81" t="s">
        <v>1359</v>
      </c>
      <c r="B164" s="38">
        <v>2548</v>
      </c>
      <c r="C164" s="125" t="s">
        <v>468</v>
      </c>
      <c r="D164" t="s">
        <v>2913</v>
      </c>
      <c r="E164" s="40" t="s">
        <v>469</v>
      </c>
      <c r="F164" s="41">
        <v>0</v>
      </c>
      <c r="G164" s="42"/>
      <c r="H164" s="42"/>
      <c r="I164" s="42"/>
      <c r="J164" s="42"/>
      <c r="K164" s="42"/>
      <c r="L164" t="s">
        <v>2914</v>
      </c>
      <c r="M164" s="42" t="s">
        <v>2915</v>
      </c>
      <c r="N164" s="42" t="s">
        <v>2916</v>
      </c>
      <c r="O164" s="42" t="s">
        <v>2917</v>
      </c>
      <c r="P164" s="42" t="s">
        <v>2918</v>
      </c>
      <c r="Q164" s="42" t="s">
        <v>2919</v>
      </c>
      <c r="R164" s="42" t="s">
        <v>2920</v>
      </c>
      <c r="S164" s="42" t="s">
        <v>2921</v>
      </c>
      <c r="T164" s="42" t="s">
        <v>2922</v>
      </c>
      <c r="U164" s="42" t="s">
        <v>2923</v>
      </c>
      <c r="V164" s="42" t="str">
        <f>VLOOKUP(D164,[1]ALL!$A$15:$Z$983,3,FALSE)</f>
        <v>BKS8-EL</v>
      </c>
      <c r="W164" s="43"/>
      <c r="X164" s="43"/>
      <c r="Y164" s="43"/>
      <c r="Z164" s="43"/>
      <c r="AA164" s="43"/>
      <c r="AB164" s="43">
        <v>640.05999999999995</v>
      </c>
      <c r="AC164" s="43">
        <v>2359.5220000000004</v>
      </c>
      <c r="AD164" s="43">
        <v>2550.6140000000005</v>
      </c>
      <c r="AE164" s="43">
        <v>3697.4410000000003</v>
      </c>
      <c r="AF164" s="43">
        <v>5166.2710000000006</v>
      </c>
      <c r="AG164" s="43">
        <v>3952.7980000000002</v>
      </c>
      <c r="AH164" s="43">
        <v>3703.06</v>
      </c>
      <c r="AI164" s="43">
        <v>3421.66</v>
      </c>
      <c r="AJ164" s="43">
        <v>3877.24</v>
      </c>
      <c r="AK164" s="43">
        <v>5315.85</v>
      </c>
      <c r="AL164" s="44"/>
      <c r="AM164" s="45">
        <f>VLOOKUP($B164,'[2]E.U.'!$R$9:$AZ$205,11,FALSE)</f>
        <v>437.53</v>
      </c>
      <c r="AN164" s="45">
        <f>VLOOKUP($B164,'[3]E.U.'!$R9:$AZ$225,11,FALSE)</f>
        <v>547.69000000000005</v>
      </c>
      <c r="AO164" s="45">
        <f>VLOOKUP($B164,'[4]E.U.'!$R$9:$BZ$225,11,FALSE)</f>
        <v>525.64092553569492</v>
      </c>
      <c r="AP164" s="45">
        <f>VLOOKUP($B164,'[5]E.U.'!$R$9:$BZ$225,11,FALSE)</f>
        <v>417.20773998693232</v>
      </c>
      <c r="AQ164" s="45">
        <f>VLOOKUP($B164,'[6]E.U.'!$R$9:$CA$225,11,FALSE)</f>
        <v>432.25809358853587</v>
      </c>
      <c r="AR164" s="45">
        <f>VLOOKUP($B164,'[7]E.U.'!$R$9:$AZ$225,11,FALSE)</f>
        <v>390.12287458150848</v>
      </c>
      <c r="AS164" s="45">
        <f>VLOOKUP($B164,'[8]E.U.'!$R$9:$AZ$225,11,FALSE)</f>
        <v>433.48130208330241</v>
      </c>
      <c r="AT164" s="45">
        <f>VLOOKUP($B164,'[9]E.U.'!$R$9:$AZ$221,11,FALSE)</f>
        <v>380.48814196793472</v>
      </c>
      <c r="AU164" s="45"/>
      <c r="AV164" s="45">
        <f>VLOOKUP($B164,'[10]E.U.'!$R$9:$AZ$221,11,FALSE)</f>
        <v>387.69987651969143</v>
      </c>
      <c r="AW164" s="45">
        <f>VLOOKUP($B164,'[11]E.U.'!$R$9:$AZ$220,11,FALSE)</f>
        <v>365.96123209822071</v>
      </c>
      <c r="AX164" s="252"/>
      <c r="AY164" s="45">
        <f>VLOOKUP($B164,'[12]E.U.'!$R$9:$AZ$220,11,FALSE)</f>
        <v>392.63755301059075</v>
      </c>
      <c r="AZ164" s="45"/>
      <c r="BA164" s="45">
        <f>VLOOKUP($B164,'[13]E.U.'!$R$9:$AZ$221,11,FALSE)</f>
        <v>368.53058136509179</v>
      </c>
      <c r="BB164" s="46">
        <f t="shared" si="26"/>
        <v>5079.2483207375035</v>
      </c>
      <c r="BC164" s="47" t="e">
        <f>SUM(#REF!)</f>
        <v>#REF!</v>
      </c>
      <c r="BD164" s="43" t="e">
        <f>VLOOKUP(V164,[14]ELECTRIC!$C$1:$H$4000,6,FALSE)</f>
        <v>#N/A</v>
      </c>
      <c r="BE164" s="242" t="e">
        <f t="shared" si="19"/>
        <v>#N/A</v>
      </c>
      <c r="BF164" s="48">
        <f t="shared" si="23"/>
        <v>5079.2483207375035</v>
      </c>
      <c r="BG164" s="49">
        <f t="shared" si="18"/>
        <v>8848.7761816276943</v>
      </c>
      <c r="BH164" s="43" t="e">
        <f t="shared" ref="BH164:BH171" si="28">IF(BC164=0,0,(BB164*(AK164/BC164)))</f>
        <v>#REF!</v>
      </c>
      <c r="BI164" s="50" t="e">
        <f t="shared" si="24"/>
        <v>#REF!</v>
      </c>
      <c r="BJ164" s="51">
        <f t="shared" si="22"/>
        <v>-4.4508720009499347E-2</v>
      </c>
      <c r="BK164" s="52"/>
      <c r="BL164" s="52"/>
      <c r="BM164" s="52"/>
      <c r="BN164" s="52"/>
      <c r="BO164" s="72"/>
      <c r="BP164" s="52"/>
      <c r="BQ164" s="52"/>
      <c r="BR164" s="50"/>
      <c r="BS164" s="53"/>
      <c r="BT164" s="53"/>
      <c r="BU164" s="65"/>
      <c r="BV164" s="55"/>
      <c r="BW164" s="55"/>
      <c r="BX164" s="56"/>
      <c r="BY164" s="87"/>
      <c r="BZ164" s="58"/>
    </row>
    <row r="165" spans="1:78" ht="15.6" x14ac:dyDescent="0.3">
      <c r="A165" s="81" t="s">
        <v>1359</v>
      </c>
      <c r="B165" s="62">
        <v>2549</v>
      </c>
      <c r="C165" s="111" t="s">
        <v>2924</v>
      </c>
      <c r="D165" t="s">
        <v>2925</v>
      </c>
      <c r="E165" s="126" t="s">
        <v>2926</v>
      </c>
      <c r="F165" s="41">
        <v>0</v>
      </c>
      <c r="K165" s="3" t="s">
        <v>2927</v>
      </c>
      <c r="L165" s="42" t="s">
        <v>2928</v>
      </c>
      <c r="M165" s="42" t="s">
        <v>2929</v>
      </c>
      <c r="N165" s="42" t="s">
        <v>2930</v>
      </c>
      <c r="O165" s="42" t="s">
        <v>2931</v>
      </c>
      <c r="P165" s="42" t="s">
        <v>2932</v>
      </c>
      <c r="Q165" s="42" t="s">
        <v>2933</v>
      </c>
      <c r="R165" s="42" t="s">
        <v>2934</v>
      </c>
      <c r="S165" s="42" t="s">
        <v>2935</v>
      </c>
      <c r="T165" s="42" t="s">
        <v>2936</v>
      </c>
      <c r="U165" s="42" t="s">
        <v>2937</v>
      </c>
      <c r="V165" s="42" t="str">
        <f>VLOOKUP(D165,[1]ALL!$A$15:$Z$983,3,FALSE)</f>
        <v>BKS9-EL</v>
      </c>
      <c r="X165" s="6"/>
      <c r="Y165" s="6"/>
      <c r="Z165" s="6"/>
      <c r="AA165" s="43">
        <v>1657.24</v>
      </c>
      <c r="AB165" s="43">
        <v>5449.99</v>
      </c>
      <c r="AC165" s="43">
        <v>6637.3230000000012</v>
      </c>
      <c r="AD165" s="43">
        <v>2901.8</v>
      </c>
      <c r="AE165" s="43">
        <v>3320.449000000001</v>
      </c>
      <c r="AF165" s="43">
        <v>5732.6720000000014</v>
      </c>
      <c r="AG165" s="43">
        <v>5341.1960000000008</v>
      </c>
      <c r="AH165" s="43">
        <v>9002.94</v>
      </c>
      <c r="AI165" s="43">
        <v>3673.98</v>
      </c>
      <c r="AJ165" s="43">
        <v>2431.0500000000002</v>
      </c>
      <c r="AK165" s="43">
        <v>3443.62</v>
      </c>
      <c r="AL165" s="44"/>
      <c r="AM165" s="45">
        <f>VLOOKUP($B165,'[2]E.U.'!$R$9:$AZ$205,11,FALSE)</f>
        <v>200.36</v>
      </c>
      <c r="AN165" s="45">
        <f>VLOOKUP($B165,'[3]E.U.'!$R9:$AZ$225,11,FALSE)</f>
        <v>238.24</v>
      </c>
      <c r="AO165" s="45">
        <f>VLOOKUP($B165,'[4]E.U.'!$R$9:$BZ$225,11,FALSE)</f>
        <v>268.33725669391242</v>
      </c>
      <c r="AP165" s="45">
        <f>VLOOKUP($B165,'[5]E.U.'!$R$9:$BZ$225,11,FALSE)</f>
        <v>283.26905245246536</v>
      </c>
      <c r="AQ165" s="45">
        <f>VLOOKUP($B165,'[6]E.U.'!$R$9:$CA$225,11,FALSE)</f>
        <v>337.14300679104826</v>
      </c>
      <c r="AR165" s="45">
        <f>VLOOKUP($B165,'[7]E.U.'!$R$9:$AZ$225,11,FALSE)</f>
        <v>241.45330960019297</v>
      </c>
      <c r="AS165" s="45">
        <f>VLOOKUP($B165,'[8]E.U.'!$R$9:$AZ$225,11,FALSE)</f>
        <v>146.35770390156188</v>
      </c>
      <c r="AT165" s="45">
        <f>VLOOKUP($B165,'[9]E.U.'!$R$9:$AZ$221,11,FALSE)</f>
        <v>103.49802853066667</v>
      </c>
      <c r="AU165" s="45"/>
      <c r="AV165" s="45">
        <f>VLOOKUP($B165,'[10]E.U.'!$R$9:$AZ$221,11,FALSE)</f>
        <v>94.988108020023091</v>
      </c>
      <c r="AW165" s="45">
        <f>(VLOOKUP($B165,'[11]E.U.'!$R$9:$AZ$220,11,FALSE)*1)</f>
        <v>141.25674622011769</v>
      </c>
      <c r="AX165" s="252"/>
      <c r="AY165" s="45">
        <f>VLOOKUP($B165,'[12]E.U.'!$R$9:$AZ$220,11,FALSE)</f>
        <v>105.49257948808483</v>
      </c>
      <c r="AZ165" s="45"/>
      <c r="BA165" s="45">
        <f>VLOOKUP($B165,'[13]E.U.'!$R$9:$AZ$221,11,FALSE)</f>
        <v>130.20926883712113</v>
      </c>
      <c r="BB165" s="46">
        <f t="shared" si="26"/>
        <v>2290.6050605351943</v>
      </c>
      <c r="BC165" s="47" t="e">
        <f>SUM(#REF!)</f>
        <v>#REF!</v>
      </c>
      <c r="BD165" s="43" t="e">
        <f>VLOOKUP(V165,[14]ELECTRIC!$C$1:$H$4000,6,FALSE)</f>
        <v>#N/A</v>
      </c>
      <c r="BE165" s="242" t="e">
        <f t="shared" si="19"/>
        <v>#N/A</v>
      </c>
      <c r="BF165" s="48">
        <f t="shared" si="23"/>
        <v>2290.6050605351943</v>
      </c>
      <c r="BG165" s="49">
        <f>(BB165*9/7)+((BB165*3/7)*1.065)</f>
        <v>3990.561244746671</v>
      </c>
      <c r="BH165" s="43" t="e">
        <f t="shared" si="28"/>
        <v>#REF!</v>
      </c>
      <c r="BI165" s="50" t="e">
        <f t="shared" si="24"/>
        <v>#REF!</v>
      </c>
      <c r="BJ165" s="51">
        <f t="shared" si="22"/>
        <v>-0.33482641507042177</v>
      </c>
      <c r="BK165" s="52"/>
      <c r="BL165" s="52"/>
      <c r="BM165" s="52"/>
      <c r="BN165" s="52"/>
      <c r="BO165" s="72"/>
      <c r="BP165" s="52"/>
      <c r="BQ165" s="52"/>
      <c r="BR165" s="50"/>
      <c r="BS165" s="9" t="s">
        <v>2938</v>
      </c>
      <c r="BT165" s="9" t="s">
        <v>2938</v>
      </c>
    </row>
    <row r="166" spans="1:78" ht="15.6" x14ac:dyDescent="0.3">
      <c r="A166" s="81" t="s">
        <v>694</v>
      </c>
      <c r="B166" s="38" t="s">
        <v>472</v>
      </c>
      <c r="C166" s="1" t="s">
        <v>473</v>
      </c>
      <c r="D166" s="39" t="s">
        <v>2939</v>
      </c>
      <c r="E166" s="40" t="s">
        <v>474</v>
      </c>
      <c r="F166" s="41" t="s">
        <v>758</v>
      </c>
      <c r="G166" s="42" t="s">
        <v>2940</v>
      </c>
      <c r="H166" s="42" t="s">
        <v>2940</v>
      </c>
      <c r="I166" s="42" t="s">
        <v>2940</v>
      </c>
      <c r="J166" s="42" t="s">
        <v>2941</v>
      </c>
      <c r="K166" s="42" t="s">
        <v>2942</v>
      </c>
      <c r="L166" s="42" t="s">
        <v>2943</v>
      </c>
      <c r="M166" s="42" t="s">
        <v>2944</v>
      </c>
      <c r="N166" s="42" t="s">
        <v>2945</v>
      </c>
      <c r="O166" s="42" t="s">
        <v>2946</v>
      </c>
      <c r="P166" s="42" t="s">
        <v>2947</v>
      </c>
      <c r="Q166" s="42" t="s">
        <v>2948</v>
      </c>
      <c r="R166" s="42" t="s">
        <v>2949</v>
      </c>
      <c r="S166" s="42" t="s">
        <v>2950</v>
      </c>
      <c r="T166" s="42" t="s">
        <v>2951</v>
      </c>
      <c r="U166" s="42" t="s">
        <v>2952</v>
      </c>
      <c r="V166" s="42" t="str">
        <f>VLOOKUP(D166,[1]ALL!$A$15:$Z$983,3,FALSE)</f>
        <v>EEB-EGW</v>
      </c>
      <c r="W166" s="43">
        <v>243245.34184885951</v>
      </c>
      <c r="X166" s="43">
        <v>234949.8998430504</v>
      </c>
      <c r="Y166" s="43">
        <v>200323.23085708672</v>
      </c>
      <c r="Z166" s="43">
        <v>207873.52873800462</v>
      </c>
      <c r="AA166" s="43">
        <v>204357.34</v>
      </c>
      <c r="AB166" s="43">
        <v>208356.15</v>
      </c>
      <c r="AC166" s="43">
        <v>213233.97</v>
      </c>
      <c r="AD166" s="43">
        <v>209971.42</v>
      </c>
      <c r="AE166" s="43">
        <v>242601.96</v>
      </c>
      <c r="AF166" s="43">
        <v>244797.25</v>
      </c>
      <c r="AG166" s="43">
        <v>267969.86</v>
      </c>
      <c r="AH166" s="43">
        <v>235215.62</v>
      </c>
      <c r="AI166" s="43">
        <v>219783.94</v>
      </c>
      <c r="AJ166" s="43">
        <v>224550.48</v>
      </c>
      <c r="AK166" s="43">
        <v>176668.64</v>
      </c>
      <c r="AL166" s="44"/>
      <c r="AM166" s="45">
        <f>VLOOKUP($B166,'[2]E.U.'!$R$9:$AZ$205,11,FALSE)</f>
        <v>11005.91</v>
      </c>
      <c r="AN166" s="45">
        <f>VLOOKUP($B166,'[3]E.U.'!$R9:$AZ$225,11,FALSE)</f>
        <v>12621.9</v>
      </c>
      <c r="AO166" s="45">
        <f>VLOOKUP($B166,'[4]E.U.'!$R$9:$BZ$225,11,FALSE)</f>
        <v>12146.059600655064</v>
      </c>
      <c r="AP166" s="45">
        <f>VLOOKUP($B166,'[5]E.U.'!$R$9:$BZ$225,11,FALSE)</f>
        <v>11324.498818124361</v>
      </c>
      <c r="AQ166" s="45">
        <f>VLOOKUP($B166,'[6]E.U.'!$R$9:$CA$225,11,FALSE)</f>
        <v>12833.765626264461</v>
      </c>
      <c r="AR166" s="45">
        <f>VLOOKUP($B166,'[7]E.U.'!$R$9:$AZ$225,11,FALSE)</f>
        <v>11373.738879938204</v>
      </c>
      <c r="AS166" s="45">
        <f>VLOOKUP($B166,'[8]E.U.'!$R$9:$AZ$225,11,FALSE)</f>
        <v>12896.854755500497</v>
      </c>
      <c r="AT166" s="45">
        <f>VLOOKUP($B166,'[9]E.U.'!$R$9:$AZ$221,11,FALSE)</f>
        <v>11293.609235587792</v>
      </c>
      <c r="AU166" s="45"/>
      <c r="AV166" s="45">
        <f>VLOOKUP($B166,'[10]E.U.'!$R$9:$AZ$221,11,FALSE)</f>
        <v>11015.090316894539</v>
      </c>
      <c r="AW166" s="45">
        <f>VLOOKUP($B166,'[11]E.U.'!$R$9:$AZ$220,11,FALSE)</f>
        <v>14734.667647296155</v>
      </c>
      <c r="AX166" s="45"/>
      <c r="AY166" s="45">
        <f>VLOOKUP($B166,'[12]E.U.'!$R$9:$AZ$220,11,FALSE)</f>
        <v>10874.907552556944</v>
      </c>
      <c r="AZ166" s="45"/>
      <c r="BA166" s="45">
        <f>VLOOKUP($B166,'[13]E.U.'!$R$9:$AZ$221,11,FALSE)</f>
        <v>10628.690098187941</v>
      </c>
      <c r="BB166" s="46">
        <f t="shared" si="26"/>
        <v>142749.69253100595</v>
      </c>
      <c r="BC166" s="47" t="e">
        <f>SUM(#REF!)</f>
        <v>#REF!</v>
      </c>
      <c r="BD166" s="43" t="e">
        <f>VLOOKUP(V166,[14]ELECTRIC!$C$1:$H$4000,6,FALSE)</f>
        <v>#N/A</v>
      </c>
      <c r="BE166" s="43" t="e">
        <f t="shared" si="19"/>
        <v>#N/A</v>
      </c>
      <c r="BF166" s="48">
        <f t="shared" si="23"/>
        <v>142749.69253100595</v>
      </c>
      <c r="BG166" s="49">
        <f>(BB166*9/7)+((BB166*3/7)*1.065)</f>
        <v>248690.35720223107</v>
      </c>
      <c r="BH166" s="43" t="e">
        <f t="shared" si="28"/>
        <v>#REF!</v>
      </c>
      <c r="BI166" s="50" t="e">
        <f t="shared" si="24"/>
        <v>#REF!</v>
      </c>
      <c r="BJ166" s="51">
        <f t="shared" si="22"/>
        <v>-0.19199189776405179</v>
      </c>
      <c r="BK166" s="52"/>
      <c r="BL166" s="52"/>
      <c r="BM166" s="52"/>
      <c r="BN166" s="52"/>
      <c r="BO166" s="72"/>
      <c r="BP166" s="52"/>
      <c r="BQ166" s="52"/>
      <c r="BR166" s="50"/>
      <c r="BS166" s="53"/>
      <c r="BT166" s="53"/>
      <c r="BU166" s="65"/>
      <c r="BV166" s="55"/>
      <c r="BW166" s="55"/>
      <c r="BX166" s="56"/>
      <c r="BY166" s="80"/>
      <c r="BZ166" s="58"/>
    </row>
    <row r="167" spans="1:78" ht="15.6" x14ac:dyDescent="0.3">
      <c r="A167" s="81" t="s">
        <v>694</v>
      </c>
      <c r="B167" s="38" t="s">
        <v>475</v>
      </c>
      <c r="C167" s="1" t="s">
        <v>476</v>
      </c>
      <c r="D167" s="39" t="s">
        <v>2953</v>
      </c>
      <c r="E167" s="40" t="s">
        <v>477</v>
      </c>
      <c r="F167" s="41">
        <v>0</v>
      </c>
      <c r="G167" s="42" t="s">
        <v>2954</v>
      </c>
      <c r="H167" s="42" t="s">
        <v>2954</v>
      </c>
      <c r="I167" s="42" t="s">
        <v>2954</v>
      </c>
      <c r="J167" s="42" t="s">
        <v>2955</v>
      </c>
      <c r="K167" s="42" t="s">
        <v>2956</v>
      </c>
      <c r="L167" s="42" t="s">
        <v>2957</v>
      </c>
      <c r="M167" s="42" t="s">
        <v>2958</v>
      </c>
      <c r="N167" s="42" t="s">
        <v>2959</v>
      </c>
      <c r="O167" s="42" t="s">
        <v>2960</v>
      </c>
      <c r="P167" s="42" t="s">
        <v>2961</v>
      </c>
      <c r="Q167" s="42" t="s">
        <v>2962</v>
      </c>
      <c r="R167" s="42" t="s">
        <v>2963</v>
      </c>
      <c r="S167" s="42" t="s">
        <v>2964</v>
      </c>
      <c r="T167" s="42" t="s">
        <v>2965</v>
      </c>
      <c r="U167" s="42" t="s">
        <v>2966</v>
      </c>
      <c r="V167" s="42" t="str">
        <f>VLOOKUP(D167,[1]ALL!$A$15:$Z$983,3,FALSE)</f>
        <v>LVL-EGW</v>
      </c>
      <c r="W167" s="43">
        <v>314817.04508339055</v>
      </c>
      <c r="X167" s="43">
        <v>275403.78258395044</v>
      </c>
      <c r="Y167" s="43">
        <v>289254.49902312254</v>
      </c>
      <c r="Z167" s="43">
        <v>286516.7827336276</v>
      </c>
      <c r="AA167" s="43">
        <v>283150.19</v>
      </c>
      <c r="AB167" s="43">
        <v>280880.49</v>
      </c>
      <c r="AC167" s="43">
        <v>302908.79999999999</v>
      </c>
      <c r="AD167" s="43">
        <v>319764.09999999998</v>
      </c>
      <c r="AE167" s="43">
        <v>391039.45</v>
      </c>
      <c r="AF167" s="43">
        <v>412757.38</v>
      </c>
      <c r="AG167" s="43">
        <v>377654.77</v>
      </c>
      <c r="AH167" s="43">
        <v>387708.25</v>
      </c>
      <c r="AI167" s="43">
        <v>381207.44</v>
      </c>
      <c r="AJ167" s="43">
        <v>393169.26</v>
      </c>
      <c r="AK167" s="43">
        <v>397231.84</v>
      </c>
      <c r="AL167" s="44"/>
      <c r="AM167" s="45">
        <f>VLOOKUP($B167,'[2]E.U.'!$R$9:$AZ$205,11,FALSE)</f>
        <v>25673.14</v>
      </c>
      <c r="AN167" s="45">
        <f>VLOOKUP($B167,'[3]E.U.'!$R9:$AZ$225,11,FALSE)</f>
        <v>26671.69</v>
      </c>
      <c r="AO167" s="45">
        <f>VLOOKUP($B167,'[4]E.U.'!$R$9:$BZ$225,11,FALSE)</f>
        <v>25827.508042996455</v>
      </c>
      <c r="AP167" s="45">
        <f>VLOOKUP($B167,'[5]E.U.'!$R$9:$BZ$225,11,FALSE)</f>
        <v>27176.408636128432</v>
      </c>
      <c r="AQ167" s="45">
        <f>VLOOKUP($B167,'[6]E.U.'!$R$9:$CA$225,11,FALSE)</f>
        <v>40477.422717858492</v>
      </c>
      <c r="AR167" s="45">
        <f>VLOOKUP($B167,'[7]E.U.'!$R$9:$AZ$225,11,FALSE)</f>
        <v>37594.708411162399</v>
      </c>
      <c r="AS167" s="45">
        <f>VLOOKUP($B167,'[8]E.U.'!$R$9:$AZ$225,11,FALSE)</f>
        <v>33029.877469571285</v>
      </c>
      <c r="AT167" s="45">
        <f>VLOOKUP($B167,'[9]E.U.'!$R$9:$AZ$221,11,FALSE)</f>
        <v>23181.398640954583</v>
      </c>
      <c r="AU167" s="45"/>
      <c r="AV167" s="45">
        <f>VLOOKUP($B167,'[10]E.U.'!$R$9:$AZ$221,11,FALSE)</f>
        <v>21738.444284443922</v>
      </c>
      <c r="AW167" s="45">
        <f>VLOOKUP($B167,'[11]E.U.'!$R$9:$AZ$220,11,FALSE)</f>
        <v>26085.667912454996</v>
      </c>
      <c r="AX167" s="45"/>
      <c r="AY167" s="45">
        <f>VLOOKUP($B167,'[12]E.U.'!$R$9:$AZ$220,11,FALSE)</f>
        <v>24261.477071935868</v>
      </c>
      <c r="AZ167" s="45"/>
      <c r="BA167" s="45">
        <f>VLOOKUP($B167,'[13]E.U.'!$R$9:$AZ$221,11,FALSE)</f>
        <v>25758.450035014088</v>
      </c>
      <c r="BB167" s="46">
        <f t="shared" si="26"/>
        <v>337476.19322252052</v>
      </c>
      <c r="BC167" s="47" t="e">
        <f>SUM(#REF!)</f>
        <v>#REF!</v>
      </c>
      <c r="BD167" s="43" t="e">
        <f>VLOOKUP(V167,[14]ELECTRIC!$C$1:$H$4000,6,FALSE)</f>
        <v>#N/A</v>
      </c>
      <c r="BE167" s="43" t="e">
        <f t="shared" si="19"/>
        <v>#N/A</v>
      </c>
      <c r="BF167" s="48">
        <f t="shared" si="23"/>
        <v>337476.19322252052</v>
      </c>
      <c r="BG167" s="43">
        <f>(BB167*9/7)+((BB167*3/7)*1.065)</f>
        <v>587931.73947837681</v>
      </c>
      <c r="BH167" s="43" t="e">
        <f t="shared" si="28"/>
        <v>#REF!</v>
      </c>
      <c r="BI167" s="52" t="e">
        <f t="shared" si="24"/>
        <v>#REF!</v>
      </c>
      <c r="BJ167" s="51">
        <f t="shared" si="22"/>
        <v>-0.15043015377991731</v>
      </c>
      <c r="BK167" s="52"/>
      <c r="BL167" s="52"/>
      <c r="BM167" s="52"/>
      <c r="BN167" s="52"/>
      <c r="BO167" s="72"/>
      <c r="BP167" s="52"/>
      <c r="BQ167" s="52"/>
      <c r="BR167" s="50"/>
      <c r="BS167" s="53"/>
      <c r="BT167" s="53"/>
      <c r="BU167" s="65"/>
      <c r="BV167" s="55"/>
      <c r="BW167" s="55"/>
      <c r="BX167" s="56"/>
      <c r="BY167" s="67"/>
      <c r="BZ167" s="58"/>
    </row>
    <row r="168" spans="1:78" ht="15" customHeight="1" x14ac:dyDescent="0.3">
      <c r="A168" s="81" t="s">
        <v>1222</v>
      </c>
      <c r="B168" s="38" t="s">
        <v>478</v>
      </c>
      <c r="C168" s="1" t="s">
        <v>479</v>
      </c>
      <c r="D168" s="39" t="s">
        <v>2967</v>
      </c>
      <c r="E168" s="40" t="s">
        <v>480</v>
      </c>
      <c r="F168" s="41">
        <v>0</v>
      </c>
      <c r="G168" s="42" t="s">
        <v>2968</v>
      </c>
      <c r="H168" s="42" t="s">
        <v>2968</v>
      </c>
      <c r="I168" s="42" t="s">
        <v>2968</v>
      </c>
      <c r="J168" s="42" t="s">
        <v>2969</v>
      </c>
      <c r="K168" s="42" t="s">
        <v>2970</v>
      </c>
      <c r="L168" s="42" t="s">
        <v>2971</v>
      </c>
      <c r="M168" s="42" t="s">
        <v>2972</v>
      </c>
      <c r="N168" s="42" t="s">
        <v>2973</v>
      </c>
      <c r="O168" s="42" t="s">
        <v>2974</v>
      </c>
      <c r="P168" s="42" t="s">
        <v>2975</v>
      </c>
      <c r="Q168" s="42" t="s">
        <v>2976</v>
      </c>
      <c r="R168" s="42" t="s">
        <v>2977</v>
      </c>
      <c r="S168" s="42" t="s">
        <v>2978</v>
      </c>
      <c r="T168" s="42" t="s">
        <v>2979</v>
      </c>
      <c r="U168" s="42" t="s">
        <v>2980</v>
      </c>
      <c r="V168" s="42" t="str">
        <f>VLOOKUP(D168,[1]ALL!$A$15:$Z$983,3,FALSE)</f>
        <v>DMV-EGW</v>
      </c>
      <c r="W168" s="43">
        <v>23566.344728999997</v>
      </c>
      <c r="X168" s="43">
        <v>23227.439999999999</v>
      </c>
      <c r="Y168" s="43">
        <v>16827.95</v>
      </c>
      <c r="Z168" s="43">
        <v>22557.597327999993</v>
      </c>
      <c r="AA168" s="43">
        <v>16515.560000000001</v>
      </c>
      <c r="AB168" s="43">
        <v>15954.8</v>
      </c>
      <c r="AC168" s="43">
        <v>17565.52</v>
      </c>
      <c r="AD168" s="43">
        <v>19573.990000000002</v>
      </c>
      <c r="AE168" s="43">
        <v>22464.42</v>
      </c>
      <c r="AF168" s="43">
        <v>18214.95</v>
      </c>
      <c r="AG168" s="43">
        <v>23058.38</v>
      </c>
      <c r="AH168" s="43">
        <v>22610.080000000002</v>
      </c>
      <c r="AI168" s="43">
        <v>21085.87</v>
      </c>
      <c r="AJ168" s="43">
        <v>22493.27</v>
      </c>
      <c r="AK168" s="43">
        <v>26353.93</v>
      </c>
      <c r="AL168" s="44"/>
      <c r="AM168" s="45">
        <f>VLOOKUP($B168,'[2]E.U.'!$R$9:$AZ$205,11,FALSE)</f>
        <v>1837.59</v>
      </c>
      <c r="AN168" s="45">
        <f>VLOOKUP($B168,'[3]E.U.'!$R9:$AZ$225,11,FALSE)</f>
        <v>2355.4899999999998</v>
      </c>
      <c r="AO168" s="45">
        <f>VLOOKUP($B168,'[4]E.U.'!$R$9:$BZ$225,11,FALSE)</f>
        <v>2412.15</v>
      </c>
      <c r="AP168" s="45">
        <f>VLOOKUP($B168,'[5]E.U.'!$R$9:$BZ$225,11,FALSE)</f>
        <v>2412.15</v>
      </c>
      <c r="AQ168" s="45">
        <f>VLOOKUP($B168,'[6]E.U.'!$R$9:$CA$225,11,FALSE)</f>
        <v>2405.86</v>
      </c>
      <c r="AR168" s="45">
        <f>VLOOKUP($B168,'[7]E.U.'!$R$9:$AZ$225,11,FALSE)</f>
        <v>2055.61</v>
      </c>
      <c r="AS168" s="45">
        <f>VLOOKUP($B168,'[8]E.U.'!$R$9:$AZ$225,11,FALSE)</f>
        <v>2271.0099999999998</v>
      </c>
      <c r="AT168" s="45">
        <f>VLOOKUP($B168,'[9]E.U.'!$R$9:$AZ$221,11,FALSE)</f>
        <v>2091.96</v>
      </c>
      <c r="AU168" s="45"/>
      <c r="AV168" s="45">
        <f>VLOOKUP($B168,'[10]E.U.'!$R$9:$AZ$221,11,FALSE)</f>
        <v>1818.4</v>
      </c>
      <c r="AW168" s="45">
        <f>VLOOKUP($B168,'[11]E.U.'!$R$9:$AZ$220,11,FALSE)</f>
        <v>1468.23</v>
      </c>
      <c r="AX168" s="45"/>
      <c r="AY168" s="45">
        <f>VLOOKUP($B168,'[12]E.U.'!$R$9:$AZ$220,11,FALSE)</f>
        <v>1631</v>
      </c>
      <c r="AZ168" s="45"/>
      <c r="BA168" s="45">
        <f>VLOOKUP($B168,'[13]E.U.'!$R$9:$AZ$221,11,FALSE)</f>
        <v>1778.98</v>
      </c>
      <c r="BB168" s="46">
        <f t="shared" si="26"/>
        <v>24538.43</v>
      </c>
      <c r="BC168" s="47" t="e">
        <f>SUM(#REF!)</f>
        <v>#REF!</v>
      </c>
      <c r="BD168" s="43" t="e">
        <f>VLOOKUP(V168,[14]ELECTRIC!$C$1:$H$4000,6,FALSE)</f>
        <v>#N/A</v>
      </c>
      <c r="BE168" s="43" t="e">
        <f t="shared" si="19"/>
        <v>#N/A</v>
      </c>
      <c r="BF168" s="48">
        <f t="shared" si="23"/>
        <v>24538.43</v>
      </c>
      <c r="BG168" s="49">
        <f>(BB168*9/7)+((BB168*3/7)*1.065)</f>
        <v>42749.450550000001</v>
      </c>
      <c r="BH168" s="43" t="e">
        <f t="shared" si="28"/>
        <v>#REF!</v>
      </c>
      <c r="BI168" s="50" t="e">
        <f t="shared" si="24"/>
        <v>#REF!</v>
      </c>
      <c r="BJ168" s="51">
        <f t="shared" si="22"/>
        <v>-6.8889156190367062E-2</v>
      </c>
      <c r="BK168" s="52"/>
      <c r="BL168" s="52"/>
      <c r="BM168" s="52"/>
      <c r="BN168" s="52"/>
      <c r="BO168" s="72"/>
      <c r="BP168" s="52"/>
      <c r="BQ168" s="52"/>
      <c r="BR168" s="50"/>
      <c r="BS168" s="127" t="s">
        <v>2981</v>
      </c>
      <c r="BT168" s="127" t="s">
        <v>2981</v>
      </c>
      <c r="BU168" s="54" t="s">
        <v>2982</v>
      </c>
      <c r="BV168" s="55"/>
      <c r="BW168" s="55"/>
      <c r="BX168" s="56"/>
      <c r="BY168" s="67"/>
      <c r="BZ168" s="58"/>
    </row>
    <row r="169" spans="1:78" ht="15" customHeight="1" x14ac:dyDescent="0.3">
      <c r="A169" s="81" t="s">
        <v>694</v>
      </c>
      <c r="B169" s="38">
        <v>2590</v>
      </c>
      <c r="C169" s="1" t="s">
        <v>2983</v>
      </c>
      <c r="D169" t="s">
        <v>2984</v>
      </c>
      <c r="E169" s="40" t="s">
        <v>482</v>
      </c>
      <c r="F169" s="41"/>
      <c r="G169" s="42"/>
      <c r="H169" s="42"/>
      <c r="I169" s="42"/>
      <c r="J169" s="42"/>
      <c r="K169" s="42"/>
      <c r="L169" s="42"/>
      <c r="M169" s="42"/>
      <c r="N169" s="42"/>
      <c r="O169" s="42" t="s">
        <v>2985</v>
      </c>
      <c r="P169" s="42" t="s">
        <v>2986</v>
      </c>
      <c r="Q169" s="42" t="s">
        <v>2987</v>
      </c>
      <c r="R169" s="42" t="s">
        <v>2988</v>
      </c>
      <c r="S169" s="42" t="s">
        <v>2989</v>
      </c>
      <c r="T169" s="42" t="s">
        <v>2990</v>
      </c>
      <c r="U169" s="42" t="s">
        <v>2991</v>
      </c>
      <c r="V169" s="42" t="str">
        <f>VLOOKUP(D169,[1]ALL!$A$15:$Z$983,3,FALSE)</f>
        <v>FPM-EGW</v>
      </c>
      <c r="W169" s="43"/>
      <c r="X169" s="43"/>
      <c r="Y169" s="43"/>
      <c r="Z169" s="43"/>
      <c r="AA169" s="43"/>
      <c r="AB169" s="43"/>
      <c r="AC169" s="43"/>
      <c r="AD169" s="43"/>
      <c r="AE169" s="43">
        <v>6930.36</v>
      </c>
      <c r="AF169" s="43">
        <v>19224.39</v>
      </c>
      <c r="AG169" s="43">
        <v>21193.52</v>
      </c>
      <c r="AH169" s="43">
        <v>34047.03</v>
      </c>
      <c r="AI169" s="43">
        <v>39823.21</v>
      </c>
      <c r="AJ169" s="43">
        <v>41256.050000000003</v>
      </c>
      <c r="AK169" s="43">
        <v>47061.599999999999</v>
      </c>
      <c r="AL169" s="44"/>
      <c r="AM169" s="45">
        <f>VLOOKUP($B169,'[2]E.U.'!$R$9:$AZ$205,11,FALSE)</f>
        <v>3415.14</v>
      </c>
      <c r="AN169" s="45">
        <f>VLOOKUP($B169,'[3]E.U.'!$R9:$AZ$225,11,FALSE)</f>
        <v>2.46</v>
      </c>
      <c r="AO169" s="45">
        <f>VLOOKUP($B169,'[4]E.U.'!$R$9:$BZ$225,11,FALSE)</f>
        <v>2237.1774752398896</v>
      </c>
      <c r="AP169" s="45">
        <f>VLOOKUP($B169,'[5]E.U.'!$R$9:$BZ$225,11,FALSE)</f>
        <v>2118.3434542699379</v>
      </c>
      <c r="AQ169" s="45">
        <f>VLOOKUP($B169,'[6]E.U.'!$R$9:$CA$225,11,FALSE)</f>
        <v>2235.0997752975295</v>
      </c>
      <c r="AR169" s="45">
        <f>VLOOKUP($B169,'[7]E.U.'!$R$9:$AZ$225,11,FALSE)</f>
        <v>1973.2713750844828</v>
      </c>
      <c r="AS169" s="45">
        <f>VLOOKUP($B169,'[8]E.U.'!$R$9:$AZ$225,11,FALSE)</f>
        <v>2180.109413782824</v>
      </c>
      <c r="AT169" s="45">
        <f>VLOOKUP($B169,'[9]E.U.'!$R$9:$AZ$221,11,FALSE)</f>
        <v>1986.0518477008548</v>
      </c>
      <c r="AU169" s="45"/>
      <c r="AV169" s="45">
        <f>VLOOKUP($B169,'[10]E.U.'!$R$9:$AZ$221,11,FALSE)</f>
        <v>2049.9547736156092</v>
      </c>
      <c r="AW169" s="45">
        <f>VLOOKUP($B169,'[11]E.U.'!$R$9:$AZ$220,11,FALSE)</f>
        <v>11179.410622854915</v>
      </c>
      <c r="AX169" s="45"/>
      <c r="AY169" s="45">
        <f>VLOOKUP($B169,'[12]E.U.'!$R$9:$AZ$220,11,FALSE)</f>
        <v>1868.3616455436866</v>
      </c>
      <c r="AZ169" s="45"/>
      <c r="BA169" s="45">
        <f>VLOOKUP($B169,'[13]E.U.'!$R$9:$AZ$221,11,FALSE)</f>
        <v>3965.7590255584109</v>
      </c>
      <c r="BB169" s="46">
        <f t="shared" si="26"/>
        <v>35211.139408948133</v>
      </c>
      <c r="BC169" s="47" t="e">
        <f>SUM(#REF!)</f>
        <v>#REF!</v>
      </c>
      <c r="BD169" s="43" t="e">
        <f>VLOOKUP(V169,[14]ELECTRIC!$C$1:$H$4000,6,FALSE)</f>
        <v>#N/A</v>
      </c>
      <c r="BE169" s="43" t="e">
        <f t="shared" si="19"/>
        <v>#N/A</v>
      </c>
      <c r="BF169" s="48">
        <f t="shared" si="23"/>
        <v>35211.139408948133</v>
      </c>
      <c r="BG169" s="49"/>
      <c r="BH169" s="43" t="e">
        <f t="shared" si="28"/>
        <v>#REF!</v>
      </c>
      <c r="BI169" s="50" t="e">
        <f t="shared" si="24"/>
        <v>#REF!</v>
      </c>
      <c r="BJ169" s="51">
        <f t="shared" si="22"/>
        <v>-0.25180743092142777</v>
      </c>
      <c r="BK169" s="52"/>
      <c r="BL169" s="52"/>
      <c r="BM169" s="52"/>
      <c r="BN169" s="52"/>
      <c r="BO169" s="72"/>
      <c r="BP169" s="52"/>
      <c r="BQ169" s="52"/>
      <c r="BR169" s="50"/>
      <c r="BS169" s="127"/>
      <c r="BT169" s="127"/>
      <c r="BU169" s="54"/>
      <c r="BV169" s="55"/>
      <c r="BW169" s="55"/>
      <c r="BX169" s="56"/>
      <c r="BY169" s="67"/>
      <c r="BZ169" s="58"/>
    </row>
    <row r="170" spans="1:78" ht="15.75" customHeight="1" x14ac:dyDescent="0.3">
      <c r="A170" s="81" t="s">
        <v>1222</v>
      </c>
      <c r="B170" s="38" t="s">
        <v>483</v>
      </c>
      <c r="C170" s="1" t="s">
        <v>484</v>
      </c>
      <c r="D170" s="39" t="s">
        <v>2992</v>
      </c>
      <c r="E170" s="40" t="s">
        <v>485</v>
      </c>
      <c r="F170" s="41">
        <v>0</v>
      </c>
      <c r="G170" s="42" t="s">
        <v>2993</v>
      </c>
      <c r="H170" s="42" t="s">
        <v>2993</v>
      </c>
      <c r="I170" s="42" t="s">
        <v>2993</v>
      </c>
      <c r="J170" s="42" t="s">
        <v>2994</v>
      </c>
      <c r="K170" s="42" t="s">
        <v>2995</v>
      </c>
      <c r="L170" s="42" t="s">
        <v>2996</v>
      </c>
      <c r="M170" s="42" t="s">
        <v>2997</v>
      </c>
      <c r="N170" s="42" t="s">
        <v>2998</v>
      </c>
      <c r="O170" s="42" t="s">
        <v>2999</v>
      </c>
      <c r="P170" s="42" t="s">
        <v>3000</v>
      </c>
      <c r="Q170" s="42" t="s">
        <v>3001</v>
      </c>
      <c r="R170" s="42" t="s">
        <v>3002</v>
      </c>
      <c r="S170" s="42" t="s">
        <v>3003</v>
      </c>
      <c r="T170" s="42" t="s">
        <v>3004</v>
      </c>
      <c r="U170" s="42" t="s">
        <v>3005</v>
      </c>
      <c r="V170" s="42" t="str">
        <f>VLOOKUP(D170,[1]ALL!$A$15:$Z$983,3,FALSE)</f>
        <v>EGG-EGW</v>
      </c>
      <c r="W170" s="43">
        <v>31298.95016</v>
      </c>
      <c r="X170" s="43">
        <v>37920.860024508002</v>
      </c>
      <c r="Y170" s="43">
        <v>36254.594819999998</v>
      </c>
      <c r="Z170" s="43">
        <v>37120.767460000003</v>
      </c>
      <c r="AA170" s="43">
        <v>33914.050000000003</v>
      </c>
      <c r="AB170" s="43">
        <v>36947.019999999997</v>
      </c>
      <c r="AC170" s="43">
        <v>31861.003599999996</v>
      </c>
      <c r="AD170" s="43">
        <v>31198.384460000001</v>
      </c>
      <c r="AE170" s="43">
        <v>34951.814509999997</v>
      </c>
      <c r="AF170" s="43">
        <v>44229.633580000002</v>
      </c>
      <c r="AG170" s="43">
        <v>36478.569179999999</v>
      </c>
      <c r="AH170" s="43">
        <v>36775.67</v>
      </c>
      <c r="AI170" s="43">
        <v>37527.86</v>
      </c>
      <c r="AJ170" s="43">
        <v>28767.59</v>
      </c>
      <c r="AK170" s="43">
        <v>54544.639999999999</v>
      </c>
      <c r="AL170" s="44"/>
      <c r="AM170" s="45">
        <f>VLOOKUP($B170,'[2]E.U.'!$R$9:$AZ$205,11,FALSE)</f>
        <v>4210.7958000000008</v>
      </c>
      <c r="AN170" s="45">
        <f>VLOOKUP($B170,'[3]E.U.'!$R9:$AZ$225,11,FALSE)</f>
        <v>4786.9526400000004</v>
      </c>
      <c r="AO170" s="45">
        <f>VLOOKUP($B170,'[4]E.U.'!$R$9:$BZ$225,11,FALSE)</f>
        <v>5304.0095999999994</v>
      </c>
      <c r="AP170" s="45">
        <f>VLOOKUP($B170,'[5]E.U.'!$R$9:$BZ$225,11,FALSE)</f>
        <v>6279.5264199999992</v>
      </c>
      <c r="AQ170" s="45">
        <f>VLOOKUP($B170,'[6]E.U.'!$R$9:$CA$225,11,FALSE)</f>
        <v>7232.3794399999997</v>
      </c>
      <c r="AR170" s="45">
        <f>VLOOKUP($B170,'[7]E.U.'!$R$9:$AZ$225,11,FALSE)</f>
        <v>6019.6099199999999</v>
      </c>
      <c r="AS170" s="45">
        <f>VLOOKUP($B170,'[8]E.U.'!$R$9:$AZ$225,11,FALSE)</f>
        <v>5694.7113199999994</v>
      </c>
      <c r="AT170" s="45">
        <f>VLOOKUP($B170,'[9]E.U.'!$R$9:$AZ$221,11,FALSE)</f>
        <v>4447.9251999999997</v>
      </c>
      <c r="AU170" s="45"/>
      <c r="AV170" s="45">
        <f>VLOOKUP($B170,'[10]E.U.'!$R$9:$AZ$221,11,FALSE)</f>
        <v>4529.8022899999996</v>
      </c>
      <c r="AW170" s="45">
        <f>VLOOKUP($B170,'[11]E.U.'!$R$9:$AZ$220,11,FALSE)</f>
        <v>5026.6584000000003</v>
      </c>
      <c r="AX170" s="45"/>
      <c r="AY170" s="45">
        <f>VLOOKUP($B170,'[12]E.U.'!$R$9:$AZ$220,11,FALSE)</f>
        <v>4535.44398</v>
      </c>
      <c r="AZ170" s="45"/>
      <c r="BA170" s="45">
        <f>VLOOKUP($B170,'[13]E.U.'!$R$9:$AZ$221,11,FALSE)</f>
        <v>4545.0417299999999</v>
      </c>
      <c r="BB170" s="46">
        <f t="shared" si="26"/>
        <v>62612.856740000003</v>
      </c>
      <c r="BC170" s="47" t="e">
        <f>SUM(#REF!)</f>
        <v>#REF!</v>
      </c>
      <c r="BD170" s="43" t="e">
        <f>VLOOKUP(V170,[14]ELECTRIC!$C$1:$H$4000,6,FALSE)</f>
        <v>#N/A</v>
      </c>
      <c r="BE170" s="43" t="e">
        <f t="shared" si="19"/>
        <v>#N/A</v>
      </c>
      <c r="BF170" s="48">
        <f t="shared" si="23"/>
        <v>62612.856740000003</v>
      </c>
      <c r="BG170" s="49">
        <f t="shared" ref="BG170:BG180" si="29">(BB170*9/7)+((BB170*3/7)*1.065)</f>
        <v>109080.54113490001</v>
      </c>
      <c r="BH170" s="43" t="e">
        <f t="shared" si="28"/>
        <v>#REF!</v>
      </c>
      <c r="BI170" s="50" t="e">
        <f t="shared" ref="BI170:BI188" si="30">IF(OR(BB170=0,BC170=0),0,ABS(BB170/BC170)-1)</f>
        <v>#REF!</v>
      </c>
      <c r="BJ170" s="51">
        <f t="shared" si="22"/>
        <v>0.14791951583143659</v>
      </c>
      <c r="BK170" s="52"/>
      <c r="BL170" s="52"/>
      <c r="BM170" s="52"/>
      <c r="BN170" s="52"/>
      <c r="BO170" s="105" t="s">
        <v>3006</v>
      </c>
      <c r="BP170" s="52"/>
      <c r="BQ170" s="52"/>
      <c r="BR170" s="50"/>
      <c r="BS170" s="53"/>
      <c r="BT170" s="53"/>
      <c r="BU170" s="65"/>
      <c r="BV170" s="55"/>
      <c r="BW170" s="79"/>
      <c r="BX170" s="74" t="s">
        <v>1239</v>
      </c>
      <c r="BY170" s="77"/>
      <c r="BZ170" s="58"/>
    </row>
    <row r="171" spans="1:78" ht="15.75" customHeight="1" x14ac:dyDescent="0.3">
      <c r="A171" s="81" t="s">
        <v>694</v>
      </c>
      <c r="B171" s="38" t="s">
        <v>486</v>
      </c>
      <c r="C171" s="63" t="s">
        <v>487</v>
      </c>
      <c r="D171" s="39" t="s">
        <v>3007</v>
      </c>
      <c r="E171" s="40" t="s">
        <v>488</v>
      </c>
      <c r="F171" s="41">
        <v>0</v>
      </c>
      <c r="G171" s="42" t="s">
        <v>3008</v>
      </c>
      <c r="H171" s="42" t="s">
        <v>3008</v>
      </c>
      <c r="I171" s="42" t="s">
        <v>3008</v>
      </c>
      <c r="J171" s="42" t="s">
        <v>3009</v>
      </c>
      <c r="K171" s="42" t="s">
        <v>3010</v>
      </c>
      <c r="L171" t="s">
        <v>3011</v>
      </c>
      <c r="M171" s="42" t="s">
        <v>3012</v>
      </c>
      <c r="N171" s="42" t="s">
        <v>3013</v>
      </c>
      <c r="O171" s="42" t="s">
        <v>3014</v>
      </c>
      <c r="P171" s="42" t="s">
        <v>3015</v>
      </c>
      <c r="Q171" s="42" t="s">
        <v>3016</v>
      </c>
      <c r="R171" s="42" t="s">
        <v>3017</v>
      </c>
      <c r="S171" s="42" t="s">
        <v>3018</v>
      </c>
      <c r="T171" s="42" t="s">
        <v>3019</v>
      </c>
      <c r="U171" s="42" t="s">
        <v>3020</v>
      </c>
      <c r="V171" s="42" t="str">
        <f>VLOOKUP(D171,[1]ALL!$A$15:$Z$983,3,FALSE)</f>
        <v>RGL-EGW</v>
      </c>
      <c r="W171" s="43">
        <v>46476.660550682434</v>
      </c>
      <c r="X171" s="43">
        <v>38740.070561388842</v>
      </c>
      <c r="Y171" s="43">
        <v>37680.568832166689</v>
      </c>
      <c r="Z171" s="43">
        <v>10806.637728375055</v>
      </c>
      <c r="AA171" s="43">
        <v>11320</v>
      </c>
      <c r="AB171" s="43">
        <v>10899.61</v>
      </c>
      <c r="AC171" s="43">
        <v>12087.37</v>
      </c>
      <c r="AD171" s="43">
        <v>17445.95</v>
      </c>
      <c r="AE171" s="43">
        <v>15775.32</v>
      </c>
      <c r="AF171" s="43">
        <v>17641.54</v>
      </c>
      <c r="AG171" s="43">
        <v>18737.12</v>
      </c>
      <c r="AH171" s="43">
        <v>17217.560000000001</v>
      </c>
      <c r="AI171" s="43">
        <v>37841.53</v>
      </c>
      <c r="AJ171" s="43">
        <v>54356.52</v>
      </c>
      <c r="AK171" s="43">
        <v>68671.89</v>
      </c>
      <c r="AL171" s="44"/>
      <c r="AM171" s="45">
        <f>VLOOKUP($B171,'[2]E.U.'!$R$9:$AZ$205,11,FALSE)</f>
        <v>5281.39</v>
      </c>
      <c r="AN171" s="45">
        <f>VLOOKUP($B171,'[3]E.U.'!$R10:$AZ$225,11,FALSE)</f>
        <v>6022.38</v>
      </c>
      <c r="AO171" s="45">
        <f>VLOOKUP($B171,'[4]E.U.'!$R$9:$BZ$225,11,FALSE)</f>
        <v>5736.3453187925697</v>
      </c>
      <c r="AP171" s="45">
        <f>VLOOKUP($B171,'[5]E.U.'!$R$9:$BZ$225,11,FALSE)</f>
        <v>5329.8735763860677</v>
      </c>
      <c r="AQ171" s="45">
        <f>VLOOKUP($B171,'[6]E.U.'!$R$9:$BA$192,11,FALSE)</f>
        <v>5788.6325015601178</v>
      </c>
      <c r="AR171" s="45">
        <f>VLOOKUP($B171,'[7]E.U.'!$R$9:$AZ$225,11,FALSE)</f>
        <v>5094.5374481693234</v>
      </c>
      <c r="AS171" s="45">
        <f>VLOOKUP($B171,'[8]E.U.'!$R$9:$AZ$225,11,FALSE)</f>
        <v>5502.2035098465849</v>
      </c>
      <c r="AT171" s="45">
        <f>VLOOKUP($B171,'[9]E.U.'!$R$9:$AZ$221,11,FALSE)</f>
        <v>4743.3723174910847</v>
      </c>
      <c r="AU171" s="45"/>
      <c r="AV171" s="45">
        <f>VLOOKUP($B171,'[10]E.U.'!$R$9:$AZ$221,11,FALSE)</f>
        <v>5039.8870047303517</v>
      </c>
      <c r="AW171" s="45">
        <f>VLOOKUP($B171,'[11]E.U.'!$R$9:$AZ$220,11,FALSE)</f>
        <v>4869.2037715724045</v>
      </c>
      <c r="AX171" s="252"/>
      <c r="AY171" s="45">
        <f>VLOOKUP($B171,'[12]E.U.'!$R$9:$AZ$220,11,FALSE)</f>
        <v>4752.3595247156009</v>
      </c>
      <c r="AZ171" s="45"/>
      <c r="BA171" s="45">
        <f>VLOOKUP($B171,'[13]E.U.'!$R$9:$AZ$221,11,FALSE)</f>
        <v>4589.1220692083125</v>
      </c>
      <c r="BB171" s="46">
        <f t="shared" si="26"/>
        <v>62749.307042472428</v>
      </c>
      <c r="BC171" s="47" t="e">
        <f>SUM(#REF!)</f>
        <v>#REF!</v>
      </c>
      <c r="BD171" s="43" t="e">
        <f>VLOOKUP(V171,[14]ELECTRIC!$C$1:$H$4000,6,FALSE)</f>
        <v>#N/A</v>
      </c>
      <c r="BE171" s="43" t="e">
        <f t="shared" si="19"/>
        <v>#N/A</v>
      </c>
      <c r="BF171" s="48">
        <f t="shared" si="23"/>
        <v>62749.307042472428</v>
      </c>
      <c r="BG171" s="49">
        <f t="shared" si="29"/>
        <v>109318.25705470733</v>
      </c>
      <c r="BH171" s="43" t="e">
        <f t="shared" si="28"/>
        <v>#REF!</v>
      </c>
      <c r="BI171" s="50" t="e">
        <f t="shared" si="30"/>
        <v>#REF!</v>
      </c>
      <c r="BJ171" s="51">
        <f t="shared" si="22"/>
        <v>-8.6244647664824314E-2</v>
      </c>
      <c r="BK171" s="52"/>
      <c r="BL171" s="52"/>
      <c r="BM171" s="52"/>
      <c r="BN171" s="52"/>
      <c r="BO171" s="72"/>
      <c r="BP171" s="52"/>
      <c r="BQ171" s="52"/>
      <c r="BR171" s="50"/>
      <c r="BS171" s="53"/>
      <c r="BT171" s="53"/>
      <c r="BU171" s="65"/>
      <c r="BV171" s="55"/>
      <c r="BW171" s="55"/>
      <c r="BX171" s="66"/>
      <c r="BY171" s="128" t="s">
        <v>3021</v>
      </c>
      <c r="BZ171" s="68"/>
    </row>
    <row r="172" spans="1:78" ht="15.6" x14ac:dyDescent="0.3">
      <c r="A172" s="81" t="s">
        <v>739</v>
      </c>
      <c r="B172" s="38" t="s">
        <v>486</v>
      </c>
      <c r="C172" s="63" t="s">
        <v>489</v>
      </c>
      <c r="D172" s="39" t="s">
        <v>3007</v>
      </c>
      <c r="E172" s="40" t="s">
        <v>490</v>
      </c>
      <c r="F172" s="41">
        <v>0</v>
      </c>
      <c r="G172" s="42" t="s">
        <v>3008</v>
      </c>
      <c r="H172" s="42" t="s">
        <v>3008</v>
      </c>
      <c r="I172" s="42" t="s">
        <v>3008</v>
      </c>
      <c r="J172" s="42" t="s">
        <v>3009</v>
      </c>
      <c r="K172" s="42" t="s">
        <v>3010</v>
      </c>
      <c r="L172" s="42" t="s">
        <v>3022</v>
      </c>
      <c r="M172" s="42" t="s">
        <v>3012</v>
      </c>
      <c r="N172" s="42" t="s">
        <v>3013</v>
      </c>
      <c r="O172" s="42" t="s">
        <v>3014</v>
      </c>
      <c r="P172" s="42" t="s">
        <v>3015</v>
      </c>
      <c r="Q172" s="42" t="s">
        <v>3016</v>
      </c>
      <c r="R172" s="42" t="s">
        <v>3017</v>
      </c>
      <c r="S172" s="42" t="s">
        <v>3018</v>
      </c>
      <c r="T172" s="42" t="s">
        <v>3019</v>
      </c>
      <c r="U172" s="42" t="s">
        <v>3020</v>
      </c>
      <c r="V172" s="42" t="str">
        <f>VLOOKUP(D172,[1]ALL!$A$15:$Z$983,3,FALSE)</f>
        <v>RGL-EGW</v>
      </c>
      <c r="W172" s="43">
        <v>0</v>
      </c>
      <c r="X172" s="43">
        <v>0</v>
      </c>
      <c r="Y172" s="43"/>
      <c r="Z172" s="43">
        <v>30378.550745120541</v>
      </c>
      <c r="AA172" s="43">
        <v>28571.61</v>
      </c>
      <c r="AB172" s="43">
        <v>27287.34</v>
      </c>
      <c r="AC172" s="43">
        <v>28876.26</v>
      </c>
      <c r="AD172" s="43">
        <v>29936.76</v>
      </c>
      <c r="AE172" s="43">
        <v>38110.11</v>
      </c>
      <c r="AF172" s="43">
        <v>38931.29</v>
      </c>
      <c r="AG172" s="43">
        <v>40542.21</v>
      </c>
      <c r="AH172" s="43">
        <v>32440.2</v>
      </c>
      <c r="AI172" s="43">
        <v>18488.91</v>
      </c>
      <c r="AJ172" s="43"/>
      <c r="AK172" s="43"/>
      <c r="AL172" s="44" t="s">
        <v>3023</v>
      </c>
      <c r="AM172" s="45"/>
      <c r="AN172" s="45"/>
      <c r="AO172" s="45"/>
      <c r="AP172" s="45"/>
      <c r="AQ172" s="45"/>
      <c r="AR172" s="266">
        <f>14836/(71528+123336)</f>
        <v>7.6135150669184665E-2</v>
      </c>
      <c r="AS172" s="45"/>
      <c r="AT172" s="45"/>
      <c r="AU172" s="45"/>
      <c r="AV172" s="45"/>
      <c r="AW172" s="45"/>
      <c r="AX172" s="45"/>
      <c r="AY172" s="45"/>
      <c r="AZ172" s="45"/>
      <c r="BA172" s="45"/>
      <c r="BB172" s="46"/>
      <c r="BC172" s="47"/>
      <c r="BD172" s="43"/>
      <c r="BE172" s="43">
        <f t="shared" si="19"/>
        <v>0</v>
      </c>
      <c r="BF172" s="48">
        <f t="shared" si="23"/>
        <v>0</v>
      </c>
      <c r="BG172" s="49"/>
      <c r="BH172" s="43"/>
      <c r="BI172" s="50">
        <f t="shared" si="30"/>
        <v>0</v>
      </c>
      <c r="BJ172" s="51">
        <f t="shared" si="22"/>
        <v>0</v>
      </c>
      <c r="BK172" s="52"/>
      <c r="BL172" s="52"/>
      <c r="BM172" s="52"/>
      <c r="BN172" s="52"/>
      <c r="BO172" s="72"/>
      <c r="BP172" s="52"/>
      <c r="BQ172" s="52"/>
      <c r="BR172" s="50"/>
      <c r="BS172" s="53"/>
      <c r="BT172" s="53"/>
      <c r="BU172" s="65"/>
      <c r="BV172" s="55"/>
      <c r="BW172" s="55"/>
      <c r="BX172" s="56"/>
      <c r="BY172" s="114"/>
      <c r="BZ172" s="58"/>
    </row>
    <row r="173" spans="1:78" ht="15.6" x14ac:dyDescent="0.3">
      <c r="A173" s="81" t="s">
        <v>694</v>
      </c>
      <c r="B173" s="38" t="s">
        <v>491</v>
      </c>
      <c r="C173" s="63" t="s">
        <v>492</v>
      </c>
      <c r="D173" t="s">
        <v>3024</v>
      </c>
      <c r="E173" s="40" t="s">
        <v>3025</v>
      </c>
      <c r="F173" s="41">
        <v>0</v>
      </c>
      <c r="G173" s="42" t="s">
        <v>3026</v>
      </c>
      <c r="H173" s="42" t="s">
        <v>3026</v>
      </c>
      <c r="I173" s="42" t="s">
        <v>3026</v>
      </c>
      <c r="J173" s="42" t="s">
        <v>3027</v>
      </c>
      <c r="K173" s="42" t="s">
        <v>3028</v>
      </c>
      <c r="L173" s="42" t="s">
        <v>3029</v>
      </c>
      <c r="M173" s="42" t="s">
        <v>3030</v>
      </c>
      <c r="N173" s="42" t="s">
        <v>3031</v>
      </c>
      <c r="O173" s="42" t="s">
        <v>3032</v>
      </c>
      <c r="P173" s="42" t="s">
        <v>3033</v>
      </c>
      <c r="Q173" s="42" t="s">
        <v>3034</v>
      </c>
      <c r="R173" s="42" t="s">
        <v>3035</v>
      </c>
      <c r="S173" s="42" t="s">
        <v>3036</v>
      </c>
      <c r="T173" s="42" t="s">
        <v>3037</v>
      </c>
      <c r="U173" s="42" t="s">
        <v>3038</v>
      </c>
      <c r="V173" s="42" t="str">
        <f>VLOOKUP(D173,[1]ALL!$A$15:$Z$983,3,FALSE)</f>
        <v>JKP-EGW</v>
      </c>
      <c r="W173" s="43">
        <v>84010.891871442247</v>
      </c>
      <c r="X173" s="43">
        <v>65100.894511691862</v>
      </c>
      <c r="Y173" s="43">
        <v>67102.947214155793</v>
      </c>
      <c r="Z173" s="43">
        <v>66382.901824821776</v>
      </c>
      <c r="AA173" s="43">
        <v>65201.37</v>
      </c>
      <c r="AB173" s="43">
        <v>63860.160000000003</v>
      </c>
      <c r="AC173" s="43">
        <v>75309.710000000006</v>
      </c>
      <c r="AD173" s="43">
        <v>75689.22</v>
      </c>
      <c r="AE173" s="43">
        <v>99652.34</v>
      </c>
      <c r="AF173" s="43">
        <v>107504.61</v>
      </c>
      <c r="AG173" s="43">
        <v>108431.82</v>
      </c>
      <c r="AH173" s="43">
        <v>98650.25</v>
      </c>
      <c r="AI173" s="43">
        <v>108281.45</v>
      </c>
      <c r="AJ173" s="43">
        <v>119848.86</v>
      </c>
      <c r="AK173" s="43">
        <v>98526.1</v>
      </c>
      <c r="AL173" s="44"/>
      <c r="AM173" s="45">
        <f>VLOOKUP($B173,'[2]E.U.'!$R$9:$AZ$205,11,FALSE)</f>
        <v>5503.69</v>
      </c>
      <c r="AN173" s="45">
        <f>VLOOKUP($B173,'[3]E.U.'!$R9:$AZ$225,11,FALSE)</f>
        <v>6695.46</v>
      </c>
      <c r="AO173" s="45">
        <f>VLOOKUP($B173,'[4]E.U.'!$R$9:$BZ$225,11,FALSE)</f>
        <v>4893.6865324086448</v>
      </c>
      <c r="AP173" s="45">
        <f>VLOOKUP($B173,'[5]E.U.'!$R$9:$BZ$225,11,FALSE)</f>
        <v>2859.874339384914</v>
      </c>
      <c r="AQ173" s="45">
        <f>VLOOKUP($B173,'[6]E.U.'!$R$9:$CA$225,11,FALSE)</f>
        <v>3279.1965176352819</v>
      </c>
      <c r="AR173" s="45">
        <f>VLOOKUP($B173,'[7]E.U.'!$R$9:$AZ$225,11,FALSE)</f>
        <v>13063.645585477387</v>
      </c>
      <c r="AS173" s="45">
        <f>VLOOKUP($B173,'[8]E.U.'!$R$9:$AZ$225,11,FALSE)</f>
        <v>14148.40000534952</v>
      </c>
      <c r="AT173" s="45">
        <f>VLOOKUP($B173,'[9]E.U.'!$R$9:$AZ$221,11,FALSE)</f>
        <v>11350.649139382149</v>
      </c>
      <c r="AU173" s="45"/>
      <c r="AV173" s="45">
        <f>VLOOKUP($B173,'[10]E.U.'!$R$9:$AZ$221,11,FALSE)</f>
        <v>12646.988646446665</v>
      </c>
      <c r="AW173" s="45">
        <f>VLOOKUP($B173,'[11]E.U.'!$R$9:$AZ$220,11,FALSE)</f>
        <v>11374.46421614533</v>
      </c>
      <c r="AX173" s="45"/>
      <c r="AY173" s="45">
        <f>VLOOKUP($B173,'[12]E.U.'!$R$9:$AZ$220,11,FALSE)</f>
        <v>10337.53595778879</v>
      </c>
      <c r="AZ173" s="45"/>
      <c r="BA173" s="45">
        <f>VLOOKUP($B173,'[13]E.U.'!$R$9:$AZ$221,11,FALSE)</f>
        <v>9924.6586774726056</v>
      </c>
      <c r="BB173" s="46">
        <f t="shared" si="26"/>
        <v>106078.24961749128</v>
      </c>
      <c r="BC173" s="47" t="e">
        <f>SUM(#REF!)</f>
        <v>#REF!</v>
      </c>
      <c r="BD173" s="43" t="e">
        <f>VLOOKUP(V173,[14]ELECTRIC!$C$1:$H$4000,6,FALSE)</f>
        <v>#N/A</v>
      </c>
      <c r="BE173" s="43" t="e">
        <f t="shared" ref="BE173:BE213" si="31">BB173-BD173</f>
        <v>#N/A</v>
      </c>
      <c r="BF173" s="48">
        <f t="shared" si="23"/>
        <v>106078.24961749128</v>
      </c>
      <c r="BG173" s="49">
        <f t="shared" si="29"/>
        <v>184803.46486932947</v>
      </c>
      <c r="BH173" s="43" t="e">
        <f t="shared" ref="BH173:BH180" si="32">IF(BC173=0,0,(BB173*(AK173/BC173)))</f>
        <v>#REF!</v>
      </c>
      <c r="BI173" s="50" t="e">
        <f t="shared" si="30"/>
        <v>#REF!</v>
      </c>
      <c r="BJ173" s="51">
        <f t="shared" si="22"/>
        <v>7.6651259082530121E-2</v>
      </c>
      <c r="BK173" s="52"/>
      <c r="BL173" s="52"/>
      <c r="BM173" s="52"/>
      <c r="BN173" s="52"/>
      <c r="BO173" s="72"/>
      <c r="BP173" s="52"/>
      <c r="BQ173" s="52"/>
      <c r="BR173" s="71" t="s">
        <v>2890</v>
      </c>
      <c r="BS173" s="53"/>
      <c r="BT173" s="53"/>
      <c r="BU173" s="65"/>
      <c r="BV173" s="55"/>
      <c r="BW173" s="55"/>
      <c r="BX173" s="56"/>
      <c r="BY173" s="77"/>
      <c r="BZ173" s="58"/>
    </row>
    <row r="174" spans="1:78" ht="15.6" x14ac:dyDescent="0.3">
      <c r="A174" s="81" t="s">
        <v>1359</v>
      </c>
      <c r="B174" s="38" t="s">
        <v>493</v>
      </c>
      <c r="C174" s="63" t="s">
        <v>494</v>
      </c>
      <c r="D174" t="s">
        <v>3039</v>
      </c>
      <c r="E174" s="40" t="s">
        <v>3040</v>
      </c>
      <c r="F174" s="41">
        <v>0</v>
      </c>
      <c r="G174" s="42" t="s">
        <v>3026</v>
      </c>
      <c r="H174" s="42" t="s">
        <v>3041</v>
      </c>
      <c r="I174" s="42" t="s">
        <v>3042</v>
      </c>
      <c r="J174" s="42" t="s">
        <v>3043</v>
      </c>
      <c r="K174" s="42" t="s">
        <v>3044</v>
      </c>
      <c r="L174" s="42" t="s">
        <v>3045</v>
      </c>
      <c r="M174" s="42" t="s">
        <v>3046</v>
      </c>
      <c r="N174" s="42" t="s">
        <v>3047</v>
      </c>
      <c r="O174" s="42" t="s">
        <v>3048</v>
      </c>
      <c r="P174" s="42" t="s">
        <v>3049</v>
      </c>
      <c r="Q174" s="42" t="s">
        <v>3050</v>
      </c>
      <c r="R174" s="42" t="s">
        <v>3051</v>
      </c>
      <c r="S174" s="42" t="s">
        <v>3052</v>
      </c>
      <c r="T174" s="42" t="s">
        <v>3053</v>
      </c>
      <c r="U174" s="42" t="s">
        <v>3054</v>
      </c>
      <c r="V174" s="42" t="str">
        <f>VLOOKUP(D174,[1]ALL!$A$15:$Z$983,3,FALSE)</f>
        <v>JKP1-ELC</v>
      </c>
      <c r="W174" s="43">
        <v>10404.776132410632</v>
      </c>
      <c r="X174" s="43">
        <v>8775.4972469224904</v>
      </c>
      <c r="Y174" s="43">
        <v>8736.5013162272753</v>
      </c>
      <c r="Z174" s="43">
        <v>10135.735022453264</v>
      </c>
      <c r="AA174" s="43">
        <v>9878</v>
      </c>
      <c r="AB174" s="43">
        <v>8257</v>
      </c>
      <c r="AC174" s="43">
        <v>8628.15</v>
      </c>
      <c r="AD174" s="43">
        <v>14708.99</v>
      </c>
      <c r="AE174" s="43">
        <v>14393.05</v>
      </c>
      <c r="AF174" s="43">
        <v>12848.76</v>
      </c>
      <c r="AG174" s="43">
        <v>12784.99</v>
      </c>
      <c r="AH174" s="43">
        <v>12047.93</v>
      </c>
      <c r="AI174" s="43">
        <v>11551.51</v>
      </c>
      <c r="AJ174" s="43">
        <v>12374.42</v>
      </c>
      <c r="AK174" s="43">
        <v>12204.4</v>
      </c>
      <c r="AL174" s="44"/>
      <c r="AM174" s="45">
        <f>VLOOKUP($B174,'[2]E.U.'!$R$9:$AZ$205,11,FALSE)</f>
        <v>923.32</v>
      </c>
      <c r="AN174" s="45">
        <f>VLOOKUP($B174,'[3]E.U.'!$R9:$AZ$225,11,FALSE)</f>
        <v>1062.55</v>
      </c>
      <c r="AO174" s="45">
        <f>VLOOKUP($B174,'[4]E.U.'!$R$9:$BZ$225,11,FALSE)</f>
        <v>1059.8604993695103</v>
      </c>
      <c r="AP174" s="45">
        <f>VLOOKUP($B174,'[5]E.U.'!$R$9:$BZ$225,11,FALSE)</f>
        <v>1078.6097442607561</v>
      </c>
      <c r="AQ174" s="45">
        <f>VLOOKUP($B174,'[6]E.U.'!$R$9:$CA$225,11,FALSE)</f>
        <v>1112.4315877444144</v>
      </c>
      <c r="AR174" s="45">
        <f>VLOOKUP($B174,'[7]E.U.'!$R$9:$AZ$225,11,FALSE)</f>
        <v>1006.1011862836272</v>
      </c>
      <c r="AS174" s="45">
        <f>VLOOKUP($B174,'[8]E.U.'!$R$9:$AZ$225,11,FALSE)</f>
        <v>1105.665466814492</v>
      </c>
      <c r="AT174" s="45">
        <f>VLOOKUP($B174,'[9]E.U.'!$R$9:$AZ$221,11,FALSE)</f>
        <v>749.62373962202059</v>
      </c>
      <c r="AU174" s="45"/>
      <c r="AV174" s="45">
        <f>VLOOKUP($B174,'[10]E.U.'!$R$9:$AZ$221,11,FALSE)</f>
        <v>791.66550580248781</v>
      </c>
      <c r="AW174" s="45">
        <f>VLOOKUP($B174,'[11]E.U.'!$R$9:$AZ$220,11,FALSE)</f>
        <v>866.17812600573654</v>
      </c>
      <c r="AX174" s="45"/>
      <c r="AY174" s="45">
        <f>VLOOKUP($B174,'[12]E.U.'!$R$9:$AZ$220,11,FALSE)</f>
        <v>864.15782263286849</v>
      </c>
      <c r="AZ174" s="45"/>
      <c r="BA174" s="45">
        <f>VLOOKUP($B174,'[13]E.U.'!$R$9:$AZ$221,11,FALSE)</f>
        <v>830.93669410311736</v>
      </c>
      <c r="BB174" s="46">
        <f t="shared" si="26"/>
        <v>11451.100372639028</v>
      </c>
      <c r="BC174" s="47" t="e">
        <f>SUM(#REF!)</f>
        <v>#REF!</v>
      </c>
      <c r="BD174" s="43" t="e">
        <f>VLOOKUP(V174,[14]ELECTRIC!$C$1:$H$4000,6,FALSE)</f>
        <v>#N/A</v>
      </c>
      <c r="BE174" s="43" t="e">
        <f t="shared" si="31"/>
        <v>#N/A</v>
      </c>
      <c r="BF174" s="48">
        <f t="shared" si="23"/>
        <v>11451.100372639028</v>
      </c>
      <c r="BG174" s="49">
        <f t="shared" si="29"/>
        <v>19949.452720618996</v>
      </c>
      <c r="BH174" s="43" t="e">
        <f t="shared" si="32"/>
        <v>#REF!</v>
      </c>
      <c r="BI174" s="50" t="e">
        <f t="shared" si="30"/>
        <v>#REF!</v>
      </c>
      <c r="BJ174" s="51">
        <f t="shared" si="22"/>
        <v>-6.1723610121019568E-2</v>
      </c>
      <c r="BK174" s="52"/>
      <c r="BL174" s="52"/>
      <c r="BM174" s="52"/>
      <c r="BN174" s="52"/>
      <c r="BO174" s="72"/>
      <c r="BP174" s="52"/>
      <c r="BQ174" s="52"/>
      <c r="BR174" s="50"/>
      <c r="BS174" s="53"/>
      <c r="BT174" s="53"/>
      <c r="BU174" s="65"/>
      <c r="BV174" s="55"/>
      <c r="BW174" s="55"/>
      <c r="BX174" s="56"/>
      <c r="BY174" s="77"/>
      <c r="BZ174" s="58"/>
    </row>
    <row r="175" spans="1:78" ht="15.6" x14ac:dyDescent="0.3">
      <c r="A175" s="81" t="s">
        <v>1222</v>
      </c>
      <c r="B175" s="38" t="s">
        <v>495</v>
      </c>
      <c r="C175" s="63" t="s">
        <v>496</v>
      </c>
      <c r="D175" s="39" t="s">
        <v>3055</v>
      </c>
      <c r="E175" s="40" t="s">
        <v>497</v>
      </c>
      <c r="F175" s="41">
        <v>0</v>
      </c>
      <c r="G175" s="42" t="s">
        <v>3056</v>
      </c>
      <c r="H175" s="42" t="s">
        <v>3056</v>
      </c>
      <c r="I175" s="42" t="s">
        <v>3056</v>
      </c>
      <c r="J175" s="42" t="s">
        <v>3057</v>
      </c>
      <c r="K175" s="42" t="s">
        <v>3058</v>
      </c>
      <c r="L175" s="42" t="s">
        <v>3059</v>
      </c>
      <c r="M175" s="42" t="s">
        <v>3060</v>
      </c>
      <c r="N175" s="42" t="s">
        <v>3061</v>
      </c>
      <c r="O175" s="42" t="s">
        <v>3062</v>
      </c>
      <c r="P175" s="42" t="s">
        <v>3063</v>
      </c>
      <c r="Q175" s="42" t="s">
        <v>3064</v>
      </c>
      <c r="R175" s="42" t="s">
        <v>3065</v>
      </c>
      <c r="S175" s="42" t="s">
        <v>3066</v>
      </c>
      <c r="T175" s="42" t="s">
        <v>3067</v>
      </c>
      <c r="U175" s="42" t="s">
        <v>3068</v>
      </c>
      <c r="V175" s="42" t="str">
        <f>VLOOKUP(D175,[1]ALL!$A$15:$Z$983,3,FALSE)</f>
        <v>FMH-EGW</v>
      </c>
      <c r="W175" s="43">
        <v>6657.18</v>
      </c>
      <c r="X175" s="43">
        <v>6685.96</v>
      </c>
      <c r="Y175" s="43">
        <v>8358.06</v>
      </c>
      <c r="Z175" s="43">
        <v>8760.9500000000007</v>
      </c>
      <c r="AA175" s="43">
        <v>8305.4699999999993</v>
      </c>
      <c r="AB175" s="43">
        <v>7840.63</v>
      </c>
      <c r="AC175" s="43">
        <v>8324.64</v>
      </c>
      <c r="AD175" s="43">
        <v>8795.65</v>
      </c>
      <c r="AE175" s="43">
        <v>8756.2900000000009</v>
      </c>
      <c r="AF175" s="43">
        <v>8914.7000000000007</v>
      </c>
      <c r="AG175" s="43">
        <v>8783.4699999999993</v>
      </c>
      <c r="AH175" s="43">
        <v>9878.76</v>
      </c>
      <c r="AI175" s="43">
        <v>9273.26</v>
      </c>
      <c r="AJ175" s="43">
        <v>9694.93</v>
      </c>
      <c r="AK175" s="43">
        <v>10700.02</v>
      </c>
      <c r="AL175" s="44"/>
      <c r="AM175" s="45">
        <f>VLOOKUP($B175,'[2]E.U.'!$R$9:$AZ$205,11,FALSE)</f>
        <v>731.04</v>
      </c>
      <c r="AN175" s="45">
        <f>VLOOKUP($B175,'[3]E.U.'!$R9:$AZ$225,11,FALSE)</f>
        <v>1037.2</v>
      </c>
      <c r="AO175" s="45">
        <f>VLOOKUP($B175,'[4]E.U.'!$R$9:$BZ$225,11,FALSE)</f>
        <v>1012.7299999999998</v>
      </c>
      <c r="AP175" s="45">
        <f>VLOOKUP($B175,'[5]E.U.'!$R$9:$BZ$225,11,FALSE)</f>
        <v>1126.67</v>
      </c>
      <c r="AQ175" s="45">
        <f>VLOOKUP($B175,'[6]E.U.'!$R$9:$CA$225,11,FALSE)</f>
        <v>1201.3800000000001</v>
      </c>
      <c r="AR175" s="45">
        <f>VLOOKUP($B175,'[7]E.U.'!$R$9:$AZ$225,11,FALSE)</f>
        <v>821.34</v>
      </c>
      <c r="AS175" s="45">
        <f>VLOOKUP($B175,'[8]E.U.'!$R$9:$AZ$225,11,FALSE)</f>
        <v>698.26</v>
      </c>
      <c r="AT175" s="45">
        <f>VLOOKUP($B175,'[9]E.U.'!$R$9:$AZ$221,11,FALSE)</f>
        <v>703.54</v>
      </c>
      <c r="AU175" s="45"/>
      <c r="AV175" s="45">
        <f>VLOOKUP($B175,'[10]E.U.'!$R$9:$AZ$221,11,FALSE)</f>
        <v>716.64</v>
      </c>
      <c r="AW175" s="45">
        <f>VLOOKUP($B175,'[11]E.U.'!$R$9:$AZ$220,11,FALSE)</f>
        <v>651.17999999999995</v>
      </c>
      <c r="AX175" s="45"/>
      <c r="AY175" s="45">
        <f>VLOOKUP($B175,'[12]E.U.'!$R$9:$AZ$220,11,FALSE)</f>
        <v>646.15</v>
      </c>
      <c r="AZ175" s="45"/>
      <c r="BA175" s="45">
        <f>VLOOKUP($B175,'[13]E.U.'!$R$9:$AZ$221,11,FALSE)</f>
        <v>645.66</v>
      </c>
      <c r="BB175" s="46">
        <f t="shared" si="26"/>
        <v>9991.7900000000009</v>
      </c>
      <c r="BC175" s="47" t="e">
        <f>SUM(#REF!)</f>
        <v>#REF!</v>
      </c>
      <c r="BD175" s="43" t="e">
        <f>VLOOKUP(V175,[14]ELECTRIC!$C$1:$H$4000,6,FALSE)</f>
        <v>#N/A</v>
      </c>
      <c r="BE175" s="43" t="e">
        <f t="shared" si="31"/>
        <v>#N/A</v>
      </c>
      <c r="BF175" s="48">
        <f t="shared" si="23"/>
        <v>9991.7900000000009</v>
      </c>
      <c r="BG175" s="49">
        <f t="shared" si="29"/>
        <v>17407.125578571431</v>
      </c>
      <c r="BH175" s="43" t="e">
        <f t="shared" si="32"/>
        <v>#REF!</v>
      </c>
      <c r="BI175" s="50" t="e">
        <f t="shared" si="30"/>
        <v>#REF!</v>
      </c>
      <c r="BJ175" s="51">
        <f t="shared" si="22"/>
        <v>-6.6189595907297338E-2</v>
      </c>
      <c r="BK175" s="52"/>
      <c r="BL175" s="52"/>
      <c r="BM175" s="52"/>
      <c r="BN175" s="52"/>
      <c r="BO175" s="72"/>
      <c r="BP175" s="52"/>
      <c r="BQ175" s="52"/>
      <c r="BR175" s="50"/>
      <c r="BS175" s="53"/>
      <c r="BT175" s="53"/>
      <c r="BU175" s="65"/>
      <c r="BV175" s="55"/>
      <c r="BW175" s="55"/>
      <c r="BX175" s="56"/>
      <c r="BY175" s="129"/>
      <c r="BZ175" s="58"/>
    </row>
    <row r="176" spans="1:78" ht="15.6" x14ac:dyDescent="0.3">
      <c r="A176" s="81" t="s">
        <v>1222</v>
      </c>
      <c r="B176" s="38" t="s">
        <v>498</v>
      </c>
      <c r="C176" s="63" t="s">
        <v>499</v>
      </c>
      <c r="D176" s="39" t="s">
        <v>3069</v>
      </c>
      <c r="E176" s="40" t="s">
        <v>500</v>
      </c>
      <c r="F176" s="41">
        <v>0</v>
      </c>
      <c r="G176" s="42" t="s">
        <v>3070</v>
      </c>
      <c r="H176" s="42" t="s">
        <v>3070</v>
      </c>
      <c r="I176" s="42" t="s">
        <v>3070</v>
      </c>
      <c r="J176" s="42" t="s">
        <v>3071</v>
      </c>
      <c r="K176" s="42" t="s">
        <v>3072</v>
      </c>
      <c r="L176" s="42" t="s">
        <v>3073</v>
      </c>
      <c r="M176" s="42" t="s">
        <v>3074</v>
      </c>
      <c r="N176" s="42" t="s">
        <v>3075</v>
      </c>
      <c r="O176" s="42" t="s">
        <v>3076</v>
      </c>
      <c r="P176" s="42" t="s">
        <v>3077</v>
      </c>
      <c r="Q176" s="42" t="s">
        <v>3078</v>
      </c>
      <c r="R176" s="42" t="s">
        <v>3079</v>
      </c>
      <c r="S176" s="42" t="s">
        <v>3080</v>
      </c>
      <c r="T176" s="42" t="s">
        <v>3081</v>
      </c>
      <c r="U176" s="42" t="s">
        <v>3082</v>
      </c>
      <c r="V176" s="42" t="str">
        <f>VLOOKUP(D176,[1]ALL!$A$15:$Z$983,3,FALSE)</f>
        <v>COH-EGW</v>
      </c>
      <c r="W176" s="43">
        <v>3754.55</v>
      </c>
      <c r="X176" s="43">
        <v>3417.85</v>
      </c>
      <c r="Y176" s="43">
        <v>5040.6400000000003</v>
      </c>
      <c r="Z176" s="43">
        <v>5033.4399999999996</v>
      </c>
      <c r="AA176" s="43">
        <v>4886.16</v>
      </c>
      <c r="AB176" s="43">
        <v>5494.78</v>
      </c>
      <c r="AC176" s="43">
        <v>5556.86</v>
      </c>
      <c r="AD176" s="43">
        <v>5262.65</v>
      </c>
      <c r="AE176" s="43">
        <v>5864.36</v>
      </c>
      <c r="AF176" s="43">
        <v>6641.03</v>
      </c>
      <c r="AG176" s="43">
        <v>6652.26</v>
      </c>
      <c r="AH176" s="43">
        <v>6653.18</v>
      </c>
      <c r="AI176" s="43">
        <v>7391.8</v>
      </c>
      <c r="AJ176" s="43">
        <v>8414.92</v>
      </c>
      <c r="AK176" s="43">
        <v>8828.6200000000008</v>
      </c>
      <c r="AL176" s="44"/>
      <c r="AM176" s="45">
        <f>VLOOKUP($B176,'[2]E.U.'!$R$9:$AZ$205,11,FALSE)</f>
        <v>452.04</v>
      </c>
      <c r="AN176" s="45">
        <f>VLOOKUP($B176,'[3]E.U.'!$R9:$AZ$225,11,FALSE)</f>
        <v>612.41999999999996</v>
      </c>
      <c r="AO176" s="45">
        <f>VLOOKUP($B176,'[4]E.U.'!$R$9:$BZ$225,11,FALSE)</f>
        <v>756.84</v>
      </c>
      <c r="AP176" s="45">
        <f>VLOOKUP($B176,'[5]E.U.'!$R$9:$BZ$225,11,FALSE)</f>
        <v>905.65</v>
      </c>
      <c r="AQ176" s="45">
        <f>VLOOKUP($B176,'[6]E.U.'!$R$9:$CA$225,11,FALSE)</f>
        <v>1084.49</v>
      </c>
      <c r="AR176" s="45">
        <f>VLOOKUP($B176,'[7]E.U.'!$R$9:$AZ$225,11,FALSE)</f>
        <v>816.06</v>
      </c>
      <c r="AS176" s="45">
        <f>VLOOKUP($B176,'[8]E.U.'!$R$9:$AZ$225,11,FALSE)</f>
        <v>688.33</v>
      </c>
      <c r="AT176" s="45">
        <f>VLOOKUP($B176,'[9]E.U.'!$R$9:$AZ$221,11,FALSE)</f>
        <v>660.21</v>
      </c>
      <c r="AU176" s="45"/>
      <c r="AV176" s="45">
        <f>VLOOKUP($B176,'[10]E.U.'!$R$9:$AZ$221,11,FALSE)</f>
        <v>673.90999999999985</v>
      </c>
      <c r="AW176" s="45">
        <f>VLOOKUP($B176,'[11]E.U.'!$R$9:$AZ$220,11,FALSE)</f>
        <v>647.55999999999995</v>
      </c>
      <c r="AX176" s="45"/>
      <c r="AY176" s="45">
        <f>VLOOKUP($B176,'[12]E.U.'!$R$9:$AZ$220,11,FALSE)</f>
        <v>596.80999999999995</v>
      </c>
      <c r="AZ176" s="45"/>
      <c r="BA176" s="45">
        <f>VLOOKUP($B176,'[13]E.U.'!$R$9:$AZ$221,11,FALSE)</f>
        <v>624.54999999999995</v>
      </c>
      <c r="BB176" s="46">
        <f t="shared" si="26"/>
        <v>8518.869999999999</v>
      </c>
      <c r="BC176" s="47" t="e">
        <f>SUM(#REF!)</f>
        <v>#REF!</v>
      </c>
      <c r="BD176" s="43" t="e">
        <f>VLOOKUP(V176,[14]ELECTRIC!$C$1:$H$4000,6,FALSE)</f>
        <v>#N/A</v>
      </c>
      <c r="BE176" s="43" t="e">
        <f t="shared" si="31"/>
        <v>#N/A</v>
      </c>
      <c r="BF176" s="48">
        <f t="shared" si="23"/>
        <v>8518.869999999999</v>
      </c>
      <c r="BG176" s="49">
        <f t="shared" si="29"/>
        <v>14841.08852142857</v>
      </c>
      <c r="BH176" s="43" t="e">
        <f t="shared" si="32"/>
        <v>#REF!</v>
      </c>
      <c r="BI176" s="50" t="e">
        <f t="shared" si="30"/>
        <v>#REF!</v>
      </c>
      <c r="BJ176" s="51">
        <f t="shared" si="22"/>
        <v>-3.5084758433368002E-2</v>
      </c>
      <c r="BK176" s="52"/>
      <c r="BL176" s="52"/>
      <c r="BM176" s="52"/>
      <c r="BN176" s="52"/>
      <c r="BO176" s="72"/>
      <c r="BP176" s="52"/>
      <c r="BQ176" s="52"/>
      <c r="BR176" s="50"/>
      <c r="BS176" s="53"/>
      <c r="BT176" s="53"/>
      <c r="BU176" s="65"/>
      <c r="BV176" s="55"/>
      <c r="BW176" s="55" t="s">
        <v>3083</v>
      </c>
      <c r="BX176" s="56"/>
      <c r="BY176" s="57" t="s">
        <v>3084</v>
      </c>
      <c r="BZ176" s="58"/>
    </row>
    <row r="177" spans="1:78" ht="15.6" x14ac:dyDescent="0.3">
      <c r="A177" s="81" t="s">
        <v>1222</v>
      </c>
      <c r="B177" s="38" t="s">
        <v>501</v>
      </c>
      <c r="C177" s="63" t="s">
        <v>502</v>
      </c>
      <c r="D177" t="s">
        <v>3085</v>
      </c>
      <c r="E177" s="40" t="s">
        <v>503</v>
      </c>
      <c r="F177" s="41">
        <v>0</v>
      </c>
      <c r="G177" s="42" t="s">
        <v>3086</v>
      </c>
      <c r="H177" s="42" t="s">
        <v>3086</v>
      </c>
      <c r="I177" s="42" t="s">
        <v>3086</v>
      </c>
      <c r="J177" s="42" t="s">
        <v>3087</v>
      </c>
      <c r="K177" s="42" t="s">
        <v>3088</v>
      </c>
      <c r="L177" s="117" t="s">
        <v>3089</v>
      </c>
      <c r="M177" s="42" t="s">
        <v>3090</v>
      </c>
      <c r="N177" s="42" t="s">
        <v>3091</v>
      </c>
      <c r="O177" s="42" t="s">
        <v>3092</v>
      </c>
      <c r="P177" s="42" t="s">
        <v>3093</v>
      </c>
      <c r="Q177" s="42" t="s">
        <v>3094</v>
      </c>
      <c r="R177" s="42" t="s">
        <v>3095</v>
      </c>
      <c r="S177" s="42" t="s">
        <v>3096</v>
      </c>
      <c r="T177" s="42" t="s">
        <v>3097</v>
      </c>
      <c r="U177" s="42" t="s">
        <v>3098</v>
      </c>
      <c r="V177" s="42" t="str">
        <f>VLOOKUP(D177,[1]ALL!$A$15:$Z$983,3,FALSE)</f>
        <v>UGB-ELC</v>
      </c>
      <c r="W177" s="43">
        <v>52884.76</v>
      </c>
      <c r="X177" s="43">
        <v>90042.64</v>
      </c>
      <c r="Y177" s="43">
        <v>62917.116999965008</v>
      </c>
      <c r="Z177" s="43">
        <v>96549.79</v>
      </c>
      <c r="AA177" s="43">
        <v>82121.47</v>
      </c>
      <c r="AB177" s="43">
        <v>88939.01</v>
      </c>
      <c r="AC177" s="43">
        <v>88204.788702439022</v>
      </c>
      <c r="AD177" s="43">
        <v>93410.94</v>
      </c>
      <c r="AE177" s="43">
        <v>109392.69</v>
      </c>
      <c r="AF177" s="43">
        <v>139389.79</v>
      </c>
      <c r="AG177" s="43">
        <v>150243.07</v>
      </c>
      <c r="AH177" s="43">
        <v>151423.15</v>
      </c>
      <c r="AI177" s="43">
        <v>159617.09</v>
      </c>
      <c r="AJ177" s="43">
        <v>166906.26999999999</v>
      </c>
      <c r="AK177" s="43">
        <v>166273.23000000001</v>
      </c>
      <c r="AL177" s="44"/>
      <c r="AM177" s="45">
        <f>VLOOKUP($B177,'[2]E.U.'!$R$9:$AZ$205,11,FALSE)</f>
        <v>12057.9</v>
      </c>
      <c r="AN177" s="45">
        <f>VLOOKUP($B177,'[3]E.U.'!$R9:$AZ$225,11,FALSE)</f>
        <v>15016.58</v>
      </c>
      <c r="AO177" s="45">
        <f>VLOOKUP($B177,'[4]E.U.'!$R$9:$BZ$225,11,FALSE)</f>
        <v>15323.73</v>
      </c>
      <c r="AP177" s="45">
        <f>VLOOKUP($B177,'[5]E.U.'!$R$9:$BZ$225,11,FALSE)</f>
        <v>15972.61</v>
      </c>
      <c r="AQ177" s="45">
        <f>VLOOKUP($B177,'[6]E.U.'!$R$9:$CA$225,11,FALSE)</f>
        <v>18522.849999999999</v>
      </c>
      <c r="AR177" s="45">
        <f>VLOOKUP($B177,'[7]E.U.'!$R$9:$AZ$225,11,FALSE)</f>
        <v>14545.1</v>
      </c>
      <c r="AS177" s="45">
        <f>VLOOKUP($B177,'[8]E.U.'!$R$9:$AZ$225,11,FALSE)</f>
        <v>13830.010000000002</v>
      </c>
      <c r="AT177" s="45">
        <f>VLOOKUP($B177,'[9]E.U.'!$R$9:$AZ$221,11,FALSE)</f>
        <v>7312.27</v>
      </c>
      <c r="AU177" s="45"/>
      <c r="AV177" s="45">
        <f>VLOOKUP($B177,'[10]E.U.'!$R$9:$AZ$221,11,FALSE)</f>
        <v>15678.5</v>
      </c>
      <c r="AW177" s="45">
        <f>VLOOKUP($B177,'[11]E.U.'!$R$9:$AZ$220,11,FALSE)</f>
        <v>11524.82</v>
      </c>
      <c r="AX177" s="45"/>
      <c r="AY177" s="45">
        <f>VLOOKUP($B177,'[12]E.U.'!$R$9:$AZ$220,11,FALSE)</f>
        <v>10904.09</v>
      </c>
      <c r="AZ177" s="45"/>
      <c r="BA177" s="45">
        <f>VLOOKUP($B177,'[13]E.U.'!$R$9:$AZ$221,11,FALSE)</f>
        <v>10998.14</v>
      </c>
      <c r="BB177" s="46">
        <f t="shared" si="26"/>
        <v>161686.59999999998</v>
      </c>
      <c r="BC177" s="47" t="e">
        <f>SUM(#REF!)</f>
        <v>#REF!</v>
      </c>
      <c r="BD177" s="43" t="e">
        <f>VLOOKUP(V177,[14]ELECTRIC!$C$1:$H$4000,6,FALSE)</f>
        <v>#N/A</v>
      </c>
      <c r="BE177" s="43" t="e">
        <f t="shared" si="31"/>
        <v>#N/A</v>
      </c>
      <c r="BF177" s="48">
        <f t="shared" si="23"/>
        <v>161686.59999999998</v>
      </c>
      <c r="BG177" s="49">
        <f t="shared" si="29"/>
        <v>281681.15528571425</v>
      </c>
      <c r="BH177" s="43" t="e">
        <f t="shared" si="32"/>
        <v>#REF!</v>
      </c>
      <c r="BI177" s="50" t="e">
        <f t="shared" si="30"/>
        <v>#REF!</v>
      </c>
      <c r="BJ177" s="51">
        <f t="shared" si="22"/>
        <v>-2.7584897460643742E-2</v>
      </c>
      <c r="BK177" s="52"/>
      <c r="BL177" s="52"/>
      <c r="BM177" s="52"/>
      <c r="BN177" s="52"/>
      <c r="BO177" s="72" t="s">
        <v>3099</v>
      </c>
      <c r="BP177" s="52"/>
      <c r="BQ177" s="52"/>
      <c r="BR177" s="50" t="s">
        <v>3100</v>
      </c>
      <c r="BS177" s="53" t="s">
        <v>3101</v>
      </c>
      <c r="BT177" s="53"/>
      <c r="BU177" s="65" t="s">
        <v>3102</v>
      </c>
      <c r="BV177" s="55"/>
      <c r="BW177" s="55" t="s">
        <v>3083</v>
      </c>
      <c r="BX177" s="56"/>
      <c r="BY177" s="57" t="s">
        <v>3103</v>
      </c>
      <c r="BZ177" s="58"/>
    </row>
    <row r="178" spans="1:78" ht="15.6" x14ac:dyDescent="0.3">
      <c r="A178" s="81" t="s">
        <v>694</v>
      </c>
      <c r="B178" s="59" t="s">
        <v>504</v>
      </c>
      <c r="C178" s="102" t="s">
        <v>505</v>
      </c>
      <c r="D178" s="39" t="s">
        <v>3104</v>
      </c>
      <c r="E178" s="40" t="s">
        <v>506</v>
      </c>
      <c r="F178" s="41">
        <v>0</v>
      </c>
      <c r="G178" s="42"/>
      <c r="H178" s="42" t="s">
        <v>3105</v>
      </c>
      <c r="I178" s="42" t="s">
        <v>3105</v>
      </c>
      <c r="J178" s="42" t="s">
        <v>3106</v>
      </c>
      <c r="K178" s="42" t="s">
        <v>3107</v>
      </c>
      <c r="L178" s="42" t="s">
        <v>3108</v>
      </c>
      <c r="M178" s="42" t="s">
        <v>3109</v>
      </c>
      <c r="N178" s="42" t="s">
        <v>3110</v>
      </c>
      <c r="O178" s="42" t="s">
        <v>3111</v>
      </c>
      <c r="P178" s="42" t="s">
        <v>3112</v>
      </c>
      <c r="Q178" s="42" t="s">
        <v>3113</v>
      </c>
      <c r="R178" s="42" t="s">
        <v>3114</v>
      </c>
      <c r="S178" s="42" t="s">
        <v>3115</v>
      </c>
      <c r="T178" s="42" t="s">
        <v>3116</v>
      </c>
      <c r="U178" s="42" t="s">
        <v>3117</v>
      </c>
      <c r="V178" s="42" t="str">
        <f>VLOOKUP(D178,[1]ALL!$A$15:$Z$983,3,FALSE)</f>
        <v>LTS-EGW</v>
      </c>
      <c r="W178" s="43">
        <v>0</v>
      </c>
      <c r="X178" s="43">
        <v>5997.4497817354804</v>
      </c>
      <c r="Y178" s="43">
        <v>8445.049170769913</v>
      </c>
      <c r="Z178" s="43">
        <v>12346.843212173968</v>
      </c>
      <c r="AA178" s="43">
        <v>15738.45</v>
      </c>
      <c r="AB178" s="43">
        <v>12035.65</v>
      </c>
      <c r="AC178" s="43">
        <v>13914.93</v>
      </c>
      <c r="AD178" s="43">
        <v>15500.73</v>
      </c>
      <c r="AE178" s="43">
        <v>21077.759999999998</v>
      </c>
      <c r="AF178" s="43">
        <v>21983.56</v>
      </c>
      <c r="AG178" s="43">
        <v>25940.34</v>
      </c>
      <c r="AH178" s="43">
        <v>26355.62</v>
      </c>
      <c r="AI178" s="43">
        <v>23735.66</v>
      </c>
      <c r="AJ178" s="43">
        <v>27325.43</v>
      </c>
      <c r="AK178" s="43">
        <v>25981.23</v>
      </c>
      <c r="AL178" s="44"/>
      <c r="AM178" s="45">
        <f>VLOOKUP($B178,'[2]E.U.'!$R$9:$AZ$205,11,FALSE)</f>
        <v>1622.28</v>
      </c>
      <c r="AN178" s="45">
        <f>VLOOKUP($B178,'[3]E.U.'!$R9:$AZ$225,11,FALSE)</f>
        <v>1393.97</v>
      </c>
      <c r="AO178" s="45">
        <f>VLOOKUP($B178,'[4]E.U.'!$R$9:$BZ$225,11,FALSE)</f>
        <v>1573.1846618313946</v>
      </c>
      <c r="AP178" s="45">
        <f>VLOOKUP($B178,'[5]E.U.'!$R$9:$BZ$225,11,FALSE)</f>
        <v>1968.7756639591723</v>
      </c>
      <c r="AQ178" s="45">
        <f>VLOOKUP($B178,'[6]E.U.'!$R$9:$CA$225,11,FALSE)</f>
        <v>3507.3117505134255</v>
      </c>
      <c r="AR178" s="45">
        <f>VLOOKUP($B178,'[7]E.U.'!$R$9:$AZ$225,11,FALSE)</f>
        <v>3503.8242273119854</v>
      </c>
      <c r="AS178" s="45">
        <f>VLOOKUP($B178,'[8]E.U.'!$R$9:$AZ$225,11,FALSE)</f>
        <v>4217.7739761580933</v>
      </c>
      <c r="AT178" s="45">
        <f>VLOOKUP($B178,'[9]E.U.'!$R$9:$AZ$221,11,FALSE)</f>
        <v>2150.8799487308947</v>
      </c>
      <c r="AU178" s="45"/>
      <c r="AV178" s="45">
        <f>VLOOKUP($B178,'[10]E.U.'!$R$9:$AZ$221,11,FALSE)</f>
        <v>2959.9954092185949</v>
      </c>
      <c r="AW178" s="45">
        <f>VLOOKUP($B178,'[11]E.U.'!$R$9:$AZ$220,11,FALSE)</f>
        <v>3573.1947204690391</v>
      </c>
      <c r="AX178" s="45"/>
      <c r="AY178" s="45">
        <f>VLOOKUP($B178,'[12]E.U.'!$R$9:$AZ$220,11,FALSE)</f>
        <v>3383.4362446139189</v>
      </c>
      <c r="AZ178" s="45"/>
      <c r="BA178" s="45">
        <f>VLOOKUP($B178,'[13]E.U.'!$R$9:$AZ$221,11,FALSE)</f>
        <v>2985.9160948887625</v>
      </c>
      <c r="BB178" s="46">
        <f t="shared" si="26"/>
        <v>32840.54269769528</v>
      </c>
      <c r="BC178" s="47" t="e">
        <f>SUM(#REF!)</f>
        <v>#REF!</v>
      </c>
      <c r="BD178" s="43" t="e">
        <f>VLOOKUP(V178,[14]ELECTRIC!$C$1:$H$4000,6,FALSE)</f>
        <v>#N/A</v>
      </c>
      <c r="BE178" s="43" t="e">
        <f t="shared" si="31"/>
        <v>#N/A</v>
      </c>
      <c r="BF178" s="48">
        <f t="shared" si="23"/>
        <v>32840.54269769528</v>
      </c>
      <c r="BG178" s="49">
        <f t="shared" si="29"/>
        <v>57212.916885484847</v>
      </c>
      <c r="BH178" s="43" t="e">
        <f t="shared" si="32"/>
        <v>#REF!</v>
      </c>
      <c r="BI178" s="50" t="e">
        <f t="shared" si="30"/>
        <v>#REF!</v>
      </c>
      <c r="BJ178" s="51">
        <f t="shared" si="22"/>
        <v>0.264010314280551</v>
      </c>
      <c r="BK178" s="52"/>
      <c r="BL178" s="52"/>
      <c r="BM178" s="52"/>
      <c r="BN178" s="52"/>
      <c r="BO178" s="72"/>
      <c r="BP178" s="52"/>
      <c r="BQ178" s="52"/>
      <c r="BR178" s="50"/>
      <c r="BS178" s="53"/>
      <c r="BT178" s="53"/>
      <c r="BU178" s="65"/>
      <c r="BV178" s="55"/>
      <c r="BW178" s="55"/>
      <c r="BX178" s="56"/>
      <c r="BY178" s="57"/>
      <c r="BZ178" s="58"/>
    </row>
    <row r="179" spans="1:78" ht="15.6" x14ac:dyDescent="0.3">
      <c r="A179" s="81" t="s">
        <v>1359</v>
      </c>
      <c r="B179" s="130" t="s">
        <v>507</v>
      </c>
      <c r="C179" s="102" t="s">
        <v>3118</v>
      </c>
      <c r="D179" t="s">
        <v>3119</v>
      </c>
      <c r="E179" s="40" t="s">
        <v>509</v>
      </c>
      <c r="F179" s="41">
        <v>0</v>
      </c>
      <c r="G179" s="42"/>
      <c r="H179" s="42" t="s">
        <v>3120</v>
      </c>
      <c r="I179" s="42" t="s">
        <v>3121</v>
      </c>
      <c r="J179" s="42" t="s">
        <v>3122</v>
      </c>
      <c r="K179" s="42" t="s">
        <v>3123</v>
      </c>
      <c r="L179" s="42" t="s">
        <v>3124</v>
      </c>
      <c r="M179" s="42" t="s">
        <v>3125</v>
      </c>
      <c r="N179" s="42" t="s">
        <v>3126</v>
      </c>
      <c r="O179" s="42" t="s">
        <v>3127</v>
      </c>
      <c r="P179" s="42" t="s">
        <v>3128</v>
      </c>
      <c r="Q179" s="42" t="s">
        <v>3129</v>
      </c>
      <c r="R179" s="42" t="s">
        <v>3130</v>
      </c>
      <c r="S179" s="42" t="s">
        <v>3131</v>
      </c>
      <c r="T179" s="42" t="s">
        <v>3132</v>
      </c>
      <c r="U179" s="42" t="s">
        <v>3133</v>
      </c>
      <c r="V179" s="42" t="str">
        <f>VLOOKUP(D179,[1]ALL!$A$15:$Z$983,3,FALSE)</f>
        <v>IRC-ELC</v>
      </c>
      <c r="W179" s="43">
        <v>0</v>
      </c>
      <c r="X179" s="43">
        <v>138631.68374334168</v>
      </c>
      <c r="Y179" s="43">
        <v>129643.08488882481</v>
      </c>
      <c r="Z179" s="43">
        <v>145154.41381352249</v>
      </c>
      <c r="AA179" s="43">
        <v>130707.52</v>
      </c>
      <c r="AB179" s="43">
        <v>126937.52</v>
      </c>
      <c r="AC179" s="43">
        <v>117868.73</v>
      </c>
      <c r="AD179" s="43">
        <v>146229.82999999999</v>
      </c>
      <c r="AE179" s="43">
        <v>182046.45</v>
      </c>
      <c r="AF179" s="43">
        <v>203910.38</v>
      </c>
      <c r="AG179" s="43">
        <v>205368.45</v>
      </c>
      <c r="AH179" s="43">
        <v>218584.43</v>
      </c>
      <c r="AI179" s="43">
        <v>231805.86</v>
      </c>
      <c r="AJ179" s="43">
        <v>266311.71000000002</v>
      </c>
      <c r="AK179" s="43">
        <v>267457.03000000003</v>
      </c>
      <c r="AL179" s="44"/>
      <c r="AM179" s="45">
        <f>VLOOKUP($B179,'[2]E.U.'!$R$9:$AZ$205,11,FALSE)</f>
        <v>20691.060000000001</v>
      </c>
      <c r="AN179" s="45">
        <f>VLOOKUP($B179,'[3]E.U.'!$R9:$AZ$225,11,FALSE)</f>
        <v>13319.58</v>
      </c>
      <c r="AO179" s="45">
        <f>VLOOKUP($B179,'[4]E.U.'!$R$9:$BZ$225,11,FALSE)</f>
        <v>13394.193746914694</v>
      </c>
      <c r="AP179" s="45">
        <f>VLOOKUP($B179,'[5]E.U.'!$R$9:$BZ$225,11,FALSE)</f>
        <v>13139.584780124052</v>
      </c>
      <c r="AQ179" s="45">
        <f>VLOOKUP($B179,'[6]E.U.'!$R$9:$CA$225,11,FALSE)</f>
        <v>13692.824385609574</v>
      </c>
      <c r="AR179" s="45">
        <f>VLOOKUP($B179,'[7]E.U.'!$R$9:$AZ$225,11,FALSE)</f>
        <v>12742.040158319916</v>
      </c>
      <c r="AS179" s="45">
        <f>VLOOKUP($B179,'[8]E.U.'!$R$9:$AZ$225,11,FALSE)</f>
        <v>18546.527549416995</v>
      </c>
      <c r="AT179" s="45">
        <f>VLOOKUP($B179,'[9]E.U.'!$R$9:$AZ$221,11,FALSE)</f>
        <v>17392.189211548888</v>
      </c>
      <c r="AU179" s="45"/>
      <c r="AV179" s="45">
        <f>VLOOKUP($B179,'[10]E.U.'!$R$9:$AZ$221,11,FALSE)</f>
        <v>23029.294347453219</v>
      </c>
      <c r="AW179" s="45">
        <f>VLOOKUP($B179,'[11]E.U.'!$R$9:$AZ$220,11,FALSE)</f>
        <v>22642.481628215079</v>
      </c>
      <c r="AX179" s="45"/>
      <c r="AY179" s="45">
        <f>VLOOKUP($B179,'[12]E.U.'!$R$9:$AZ$220,11,FALSE)</f>
        <v>20040.788065955167</v>
      </c>
      <c r="AZ179" s="45"/>
      <c r="BA179" s="45">
        <f>VLOOKUP($B179,'[13]E.U.'!$R$9:$AZ$221,11,FALSE)</f>
        <v>19731.821510927824</v>
      </c>
      <c r="BB179" s="46">
        <f t="shared" si="26"/>
        <v>208362.38538448542</v>
      </c>
      <c r="BC179" s="47" t="e">
        <f>SUM(#REF!)</f>
        <v>#REF!</v>
      </c>
      <c r="BD179" s="43" t="e">
        <f>VLOOKUP(V179,[14]ELECTRIC!$C$1:$H$4000,6,FALSE)</f>
        <v>#N/A</v>
      </c>
      <c r="BE179" s="43" t="e">
        <f t="shared" si="31"/>
        <v>#N/A</v>
      </c>
      <c r="BF179" s="48">
        <f t="shared" si="23"/>
        <v>208362.38538448542</v>
      </c>
      <c r="BG179" s="49">
        <f t="shared" si="29"/>
        <v>362997.04139482853</v>
      </c>
      <c r="BH179" s="43" t="e">
        <f t="shared" si="32"/>
        <v>#REF!</v>
      </c>
      <c r="BI179" s="50" t="e">
        <f t="shared" si="30"/>
        <v>#REF!</v>
      </c>
      <c r="BJ179" s="51">
        <f t="shared" si="22"/>
        <v>-0.220950051735468</v>
      </c>
      <c r="BK179" s="52"/>
      <c r="BL179" s="52"/>
      <c r="BM179" s="52"/>
      <c r="BN179" s="52"/>
      <c r="BO179" s="72" t="s">
        <v>3134</v>
      </c>
      <c r="BP179" s="52"/>
      <c r="BQ179" s="52"/>
      <c r="BR179" s="50"/>
      <c r="BS179" s="53"/>
      <c r="BT179" s="53"/>
      <c r="BU179" s="65"/>
      <c r="BV179" s="55"/>
      <c r="BW179" s="55"/>
      <c r="BX179" s="56"/>
      <c r="BY179" s="57"/>
      <c r="BZ179" s="58"/>
    </row>
    <row r="180" spans="1:78" ht="15.6" x14ac:dyDescent="0.3">
      <c r="A180" s="81" t="s">
        <v>1359</v>
      </c>
      <c r="B180" s="59" t="s">
        <v>510</v>
      </c>
      <c r="C180" s="102" t="s">
        <v>3135</v>
      </c>
      <c r="D180" t="s">
        <v>3136</v>
      </c>
      <c r="E180" s="40" t="s">
        <v>3137</v>
      </c>
      <c r="F180" s="41">
        <v>0</v>
      </c>
      <c r="G180" s="42"/>
      <c r="H180" s="42"/>
      <c r="I180" s="42" t="s">
        <v>3138</v>
      </c>
      <c r="J180" s="42" t="s">
        <v>3122</v>
      </c>
      <c r="K180" s="42" t="s">
        <v>3139</v>
      </c>
      <c r="L180" s="42" t="s">
        <v>3140</v>
      </c>
      <c r="M180" s="42" t="s">
        <v>3141</v>
      </c>
      <c r="N180" s="42" t="s">
        <v>3142</v>
      </c>
      <c r="O180" s="42" t="s">
        <v>3143</v>
      </c>
      <c r="P180" s="42" t="s">
        <v>3144</v>
      </c>
      <c r="Q180" s="42" t="s">
        <v>3145</v>
      </c>
      <c r="R180" s="42" t="s">
        <v>3146</v>
      </c>
      <c r="S180" s="42" t="s">
        <v>3147</v>
      </c>
      <c r="T180" s="42" t="s">
        <v>3148</v>
      </c>
      <c r="U180" s="42" t="s">
        <v>3149</v>
      </c>
      <c r="V180" s="42" t="str">
        <f>VLOOKUP(D180,[1]ALL!$A$15:$Z$983,3,FALSE)</f>
        <v>IRC1-ELC</v>
      </c>
      <c r="W180" s="43"/>
      <c r="X180" s="43">
        <v>16978.880940822808</v>
      </c>
      <c r="Y180" s="43">
        <v>49723.512414736826</v>
      </c>
      <c r="Z180" s="43">
        <v>55408.490199626336</v>
      </c>
      <c r="AA180" s="43">
        <v>50828.09</v>
      </c>
      <c r="AB180" s="43">
        <v>51086.51</v>
      </c>
      <c r="AC180" s="43">
        <v>50572.45</v>
      </c>
      <c r="AD180" s="43">
        <v>44241.59</v>
      </c>
      <c r="AE180" s="43">
        <v>61658.21</v>
      </c>
      <c r="AF180" s="43">
        <v>61305.71</v>
      </c>
      <c r="AG180" s="43">
        <v>64565.33</v>
      </c>
      <c r="AH180" s="43">
        <v>68545.88</v>
      </c>
      <c r="AI180" s="43">
        <v>70940.38</v>
      </c>
      <c r="AJ180" s="43">
        <v>81905.850000000006</v>
      </c>
      <c r="AK180" s="43">
        <v>82236.14</v>
      </c>
      <c r="AL180" s="44"/>
      <c r="AM180" s="45">
        <f>VLOOKUP($B180,'[2]E.U.'!$R$9:$AZ$205,11,FALSE)</f>
        <v>5374.18</v>
      </c>
      <c r="AN180" s="45">
        <f>VLOOKUP($B180,'[3]E.U.'!$R9:$AZ$225,11,FALSE)</f>
        <v>3706.31</v>
      </c>
      <c r="AO180" s="45">
        <f>VLOOKUP($B180,'[4]E.U.'!$R$9:$BZ$225,11,FALSE)</f>
        <v>7194.8664977273047</v>
      </c>
      <c r="AP180" s="45">
        <f>VLOOKUP($B180,'[5]E.U.'!$R$9:$BZ$225,11,FALSE)</f>
        <v>7058.1034756368263</v>
      </c>
      <c r="AQ180" s="45">
        <f>VLOOKUP($B180,'[6]E.U.'!$R$9:$CA$225,11,FALSE)</f>
        <v>7355.2873749211221</v>
      </c>
      <c r="AR180" s="45">
        <f>VLOOKUP($B180,'[7]E.U.'!$R$9:$AZ$225,11,FALSE)</f>
        <v>6844.5528867139346</v>
      </c>
      <c r="AS180" s="45">
        <f>VLOOKUP($B180,'[8]E.U.'!$R$9:$AZ$225,11,FALSE)</f>
        <v>7581.0590784391125</v>
      </c>
      <c r="AT180" s="45">
        <f>VLOOKUP($B180,'[9]E.U.'!$R$9:$AZ$221,11,FALSE)</f>
        <v>7138.2944693469153</v>
      </c>
      <c r="AU180" s="45"/>
      <c r="AV180" s="45">
        <f>VLOOKUP($B180,'[10]E.U.'!$R$9:$AZ$221,11,FALSE)</f>
        <v>5214.0267263223495</v>
      </c>
      <c r="AW180" s="45">
        <f>VLOOKUP($B180,'[11]E.U.'!$R$9:$AZ$220,11,FALSE)</f>
        <v>6781.7102686080798</v>
      </c>
      <c r="AX180" s="45"/>
      <c r="AY180" s="45">
        <f>VLOOKUP($B180,'[12]E.U.'!$R$9:$AZ$220,11,FALSE)</f>
        <v>6002.6034050207045</v>
      </c>
      <c r="AZ180" s="45"/>
      <c r="BA180" s="45">
        <f>VLOOKUP($B180,'[13]E.U.'!$R$9:$AZ$221,11,FALSE)</f>
        <v>6277.1069795415679</v>
      </c>
      <c r="BB180" s="46">
        <f t="shared" si="26"/>
        <v>76528.101162277919</v>
      </c>
      <c r="BC180" s="47" t="e">
        <f>SUM(#REF!)</f>
        <v>#REF!</v>
      </c>
      <c r="BD180" s="43" t="e">
        <f>VLOOKUP(V180,[14]ELECTRIC!$C$1:$H$4000,6,FALSE)</f>
        <v>#N/A</v>
      </c>
      <c r="BE180" s="43" t="e">
        <f t="shared" si="31"/>
        <v>#N/A</v>
      </c>
      <c r="BF180" s="48">
        <f t="shared" si="23"/>
        <v>76528.101162277919</v>
      </c>
      <c r="BG180" s="43">
        <f t="shared" si="29"/>
        <v>133322.88481056844</v>
      </c>
      <c r="BH180" s="43" t="e">
        <f t="shared" si="32"/>
        <v>#REF!</v>
      </c>
      <c r="BI180" s="52" t="e">
        <f t="shared" si="30"/>
        <v>#REF!</v>
      </c>
      <c r="BJ180" s="51">
        <f t="shared" si="22"/>
        <v>-6.9410344864460849E-2</v>
      </c>
      <c r="BK180" s="52"/>
      <c r="BL180" s="52"/>
      <c r="BM180" s="52"/>
      <c r="BN180" s="52"/>
      <c r="BO180" s="72"/>
      <c r="BP180" s="52"/>
      <c r="BQ180" s="52"/>
      <c r="BR180" s="50"/>
      <c r="BS180" s="53"/>
      <c r="BT180" s="53"/>
      <c r="BU180" s="65"/>
      <c r="BV180" s="55"/>
      <c r="BW180" s="55"/>
      <c r="BX180" s="66"/>
      <c r="BY180" s="106"/>
      <c r="BZ180" s="68"/>
    </row>
    <row r="181" spans="1:78" ht="15.6" x14ac:dyDescent="0.3">
      <c r="A181" s="81" t="s">
        <v>1359</v>
      </c>
      <c r="B181" s="130" t="s">
        <v>513</v>
      </c>
      <c r="C181" s="134" t="s">
        <v>514</v>
      </c>
      <c r="D181" t="s">
        <v>3150</v>
      </c>
      <c r="E181" s="40" t="s">
        <v>3151</v>
      </c>
      <c r="F181" s="41"/>
      <c r="G181" s="42"/>
      <c r="H181" s="42"/>
      <c r="I181" s="42"/>
      <c r="J181" s="42"/>
      <c r="K181" s="42"/>
      <c r="L181" s="42"/>
      <c r="M181" s="42"/>
      <c r="N181" s="42"/>
      <c r="O181" s="42" t="s">
        <v>3152</v>
      </c>
      <c r="P181" s="42" t="s">
        <v>3153</v>
      </c>
      <c r="Q181" s="42" t="s">
        <v>3154</v>
      </c>
      <c r="R181" s="42" t="s">
        <v>3155</v>
      </c>
      <c r="S181" s="42" t="s">
        <v>3156</v>
      </c>
      <c r="T181" s="42" t="s">
        <v>3157</v>
      </c>
      <c r="U181" s="42" t="s">
        <v>3158</v>
      </c>
      <c r="V181" s="42" t="str">
        <f>VLOOKUP(D181,[1]ALL!$A$15:$Z$983,3,FALSE)</f>
        <v>IRC2-EGW</v>
      </c>
      <c r="W181" s="43"/>
      <c r="X181" s="43"/>
      <c r="Y181" s="43"/>
      <c r="Z181" s="43"/>
      <c r="AA181" s="43"/>
      <c r="AB181" s="43"/>
      <c r="AC181" s="43"/>
      <c r="AD181" s="43"/>
      <c r="AE181" s="43">
        <v>45868.99</v>
      </c>
      <c r="AF181" s="43">
        <v>0</v>
      </c>
      <c r="AG181" s="43">
        <v>0</v>
      </c>
      <c r="AH181" s="43">
        <v>0</v>
      </c>
      <c r="AI181" s="43">
        <v>0</v>
      </c>
      <c r="AJ181" s="43">
        <v>0</v>
      </c>
      <c r="AK181" s="43">
        <v>0</v>
      </c>
      <c r="AL181" s="44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6"/>
      <c r="BC181" s="47"/>
      <c r="BD181" s="43"/>
      <c r="BE181" s="43">
        <f t="shared" si="31"/>
        <v>0</v>
      </c>
      <c r="BF181" s="48">
        <f t="shared" si="23"/>
        <v>0</v>
      </c>
      <c r="BG181" s="43"/>
      <c r="BH181" s="43"/>
      <c r="BI181" s="52">
        <f t="shared" si="30"/>
        <v>0</v>
      </c>
      <c r="BJ181" s="51">
        <f t="shared" si="22"/>
        <v>0</v>
      </c>
      <c r="BK181" s="52"/>
      <c r="BL181" s="52"/>
      <c r="BM181" s="52"/>
      <c r="BN181" s="52"/>
      <c r="BO181" s="72"/>
      <c r="BP181" s="72" t="s">
        <v>3159</v>
      </c>
      <c r="BQ181" s="52"/>
      <c r="BR181" s="50"/>
      <c r="BS181" s="53"/>
      <c r="BT181" s="53"/>
      <c r="BU181" s="65"/>
      <c r="BV181" s="55"/>
      <c r="BW181" s="55"/>
      <c r="BX181" s="66"/>
      <c r="BY181" s="66"/>
      <c r="BZ181" s="68"/>
    </row>
    <row r="182" spans="1:78" ht="15.6" x14ac:dyDescent="0.3">
      <c r="A182" s="81" t="s">
        <v>1222</v>
      </c>
      <c r="B182" s="115" t="s">
        <v>516</v>
      </c>
      <c r="C182" s="131" t="s">
        <v>517</v>
      </c>
      <c r="D182" s="39" t="s">
        <v>3160</v>
      </c>
      <c r="E182" s="132" t="s">
        <v>518</v>
      </c>
      <c r="F182" s="41">
        <v>0</v>
      </c>
      <c r="G182" s="42"/>
      <c r="H182" s="42"/>
      <c r="I182" s="42"/>
      <c r="J182" s="42" t="s">
        <v>3161</v>
      </c>
      <c r="K182" s="42" t="s">
        <v>3162</v>
      </c>
      <c r="L182" s="42" t="s">
        <v>3163</v>
      </c>
      <c r="M182" s="42" t="s">
        <v>3164</v>
      </c>
      <c r="N182" s="42" t="s">
        <v>3165</v>
      </c>
      <c r="O182" s="42" t="s">
        <v>3166</v>
      </c>
      <c r="P182" s="42" t="s">
        <v>3167</v>
      </c>
      <c r="Q182" s="42" t="s">
        <v>3168</v>
      </c>
      <c r="R182" s="42" t="s">
        <v>3169</v>
      </c>
      <c r="S182" s="42" t="s">
        <v>3170</v>
      </c>
      <c r="T182" s="42" t="s">
        <v>3171</v>
      </c>
      <c r="U182" s="42" t="s">
        <v>3172</v>
      </c>
      <c r="V182" s="42" t="str">
        <f>VLOOKUP(D182,[1]ALL!$A$15:$Z$983,3,FALSE)</f>
        <v>CAL-EGW</v>
      </c>
      <c r="W182" s="43"/>
      <c r="X182" s="43" t="s">
        <v>725</v>
      </c>
      <c r="Y182" s="43"/>
      <c r="Z182" s="43">
        <v>65628.210000000006</v>
      </c>
      <c r="AA182" s="43">
        <v>70298.75</v>
      </c>
      <c r="AB182" s="43">
        <v>83987.65</v>
      </c>
      <c r="AC182" s="43">
        <f>598065.81-11094.45</f>
        <v>586971.3600000001</v>
      </c>
      <c r="AD182" s="43">
        <v>1138834.58</v>
      </c>
      <c r="AE182" s="43">
        <v>1343684.57</v>
      </c>
      <c r="AF182" s="43">
        <v>1645294.0998027003</v>
      </c>
      <c r="AG182" s="43">
        <v>1828385.7380551849</v>
      </c>
      <c r="AH182" s="43">
        <v>1973141.03</v>
      </c>
      <c r="AI182" s="43">
        <v>2092528.24</v>
      </c>
      <c r="AJ182" s="43">
        <v>2294157.71</v>
      </c>
      <c r="AK182" s="43">
        <v>2376577.96</v>
      </c>
      <c r="AL182" s="44"/>
      <c r="AM182" s="45">
        <f>VLOOKUP($B182,'[2]E.U.'!$R$9:$AZ$205,11,FALSE)</f>
        <v>313719.48223922489</v>
      </c>
      <c r="AN182" s="45">
        <f>VLOOKUP($B182,'[3]E.U.'!$R9:$AZ$225,11,FALSE)</f>
        <v>215072.16202860384</v>
      </c>
      <c r="AO182" s="45">
        <f>VLOOKUP($B182,'[4]E.U.'!$R$9:$BZ$225,11,FALSE)</f>
        <v>221356.34891691586</v>
      </c>
      <c r="AP182" s="45">
        <f>VLOOKUP($B182,'[5]E.U.'!$R$9:$BZ$225,11,FALSE)</f>
        <v>230002.41171640102</v>
      </c>
      <c r="AQ182" s="45">
        <f>VLOOKUP($B182,'[6]E.U.'!$R$9:$CA$225,11,FALSE)</f>
        <v>225342.4833655337</v>
      </c>
      <c r="AR182" s="45">
        <f>VLOOKUP($B182,'[7]E.U.'!$R$9:$AZ$225,11,FALSE)</f>
        <v>204720.37694157002</v>
      </c>
      <c r="AS182" s="45">
        <f>VLOOKUP($B182,'[8]E.U.'!$R$9:$AZ$225,11,FALSE)</f>
        <v>225315.31911770458</v>
      </c>
      <c r="AT182" s="45">
        <f>VLOOKUP($B182,'[9]E.U.'!$R$9:$AZ$221,11,FALSE)</f>
        <v>212765.83127420378</v>
      </c>
      <c r="AU182" s="45"/>
      <c r="AV182" s="45">
        <f>VLOOKUP($B182,'[10]E.U.'!$R$9:$AZ$221,11,FALSE)</f>
        <v>182374.48463282493</v>
      </c>
      <c r="AW182" s="45">
        <f>VLOOKUP($B182,'[11]E.U.'!$R$9:$AZ$220,11,FALSE)</f>
        <v>187688.472407789</v>
      </c>
      <c r="AX182" s="45"/>
      <c r="AY182" s="45">
        <f>VLOOKUP($B182,'[12]E.U.'!$R$9:$AZ$220,11,FALSE)</f>
        <v>187802.06208396913</v>
      </c>
      <c r="AZ182" s="45"/>
      <c r="BA182" s="45">
        <f>VLOOKUP($B182,'[13]E.U.'!$R$9:$AZ$221,11,FALSE)</f>
        <v>169574.96</v>
      </c>
      <c r="BB182" s="46">
        <f t="shared" si="26"/>
        <v>2575734.3947247406</v>
      </c>
      <c r="BC182" s="47" t="e">
        <f>SUM(#REF!)</f>
        <v>#REF!</v>
      </c>
      <c r="BD182" s="43" t="e">
        <f>VLOOKUP(V182,[14]ELECTRIC!$C$1:$H$4000,6,FALSE)</f>
        <v>#N/A</v>
      </c>
      <c r="BE182" s="43" t="e">
        <f t="shared" si="31"/>
        <v>#N/A</v>
      </c>
      <c r="BF182" s="48">
        <f t="shared" si="23"/>
        <v>2575734.3947247406</v>
      </c>
      <c r="BG182" s="49">
        <f>(BB182*9/7)+((BB182*3/7)*1.065)</f>
        <v>4487297.2776668873</v>
      </c>
      <c r="BH182" s="43" t="e">
        <f t="shared" ref="BH182:BH188" si="33">IF(BC182=0,0,(BB182*(AK182/BC182)))</f>
        <v>#REF!</v>
      </c>
      <c r="BI182" s="52" t="e">
        <f t="shared" si="30"/>
        <v>#REF!</v>
      </c>
      <c r="BJ182" s="51">
        <f t="shared" si="22"/>
        <v>8.3799664087072845E-2</v>
      </c>
      <c r="BK182" s="52"/>
      <c r="BL182" s="52"/>
      <c r="BM182" s="52"/>
      <c r="BN182" s="52"/>
      <c r="BO182" s="72" t="s">
        <v>3173</v>
      </c>
      <c r="BP182" s="52"/>
      <c r="BQ182" s="52" t="s">
        <v>3174</v>
      </c>
      <c r="BR182" s="50" t="s">
        <v>3175</v>
      </c>
      <c r="BS182" s="53"/>
      <c r="BT182" s="53"/>
      <c r="BU182" s="65"/>
      <c r="BV182" s="55"/>
      <c r="BW182" s="55"/>
      <c r="BX182" s="56"/>
      <c r="BY182" s="129"/>
      <c r="BZ182" s="58"/>
    </row>
    <row r="183" spans="1:78" ht="15.6" x14ac:dyDescent="0.3">
      <c r="A183" s="81" t="s">
        <v>1359</v>
      </c>
      <c r="B183" s="115" t="s">
        <v>519</v>
      </c>
      <c r="C183" s="131" t="s">
        <v>3176</v>
      </c>
      <c r="D183" s="39" t="s">
        <v>3177</v>
      </c>
      <c r="E183" s="132" t="s">
        <v>521</v>
      </c>
      <c r="F183" s="41"/>
      <c r="G183" s="42"/>
      <c r="H183" s="42"/>
      <c r="I183" s="42"/>
      <c r="J183" s="42"/>
      <c r="K183" s="42"/>
      <c r="L183" s="42"/>
      <c r="M183" s="42"/>
      <c r="N183" s="42"/>
      <c r="O183" s="42"/>
      <c r="P183" s="42" t="s">
        <v>3178</v>
      </c>
      <c r="Q183" s="42" t="s">
        <v>3179</v>
      </c>
      <c r="R183" s="42" t="s">
        <v>3180</v>
      </c>
      <c r="S183" s="42" t="s">
        <v>3181</v>
      </c>
      <c r="T183" s="42" t="s">
        <v>3182</v>
      </c>
      <c r="U183" s="42" t="s">
        <v>3183</v>
      </c>
      <c r="V183" s="42" t="str">
        <f>VLOOKUP(D183,[1]ALL!$A$15:$Z$983,3,FALSE)</f>
        <v>CAL1NELC</v>
      </c>
      <c r="W183" s="43"/>
      <c r="X183" s="43"/>
      <c r="Y183" s="43"/>
      <c r="Z183" s="43"/>
      <c r="AA183" s="43"/>
      <c r="AB183" s="43"/>
      <c r="AC183" s="43"/>
      <c r="AD183" s="43"/>
      <c r="AE183" s="43"/>
      <c r="AF183" s="43">
        <v>12312.505849093839</v>
      </c>
      <c r="AG183" s="43">
        <v>20057.410080906029</v>
      </c>
      <c r="AH183" s="43">
        <v>24310.79</v>
      </c>
      <c r="AI183" s="43">
        <v>24281.13</v>
      </c>
      <c r="AJ183" s="43">
        <v>25590.89</v>
      </c>
      <c r="AK183" s="43">
        <v>26134.46</v>
      </c>
      <c r="AL183" s="44"/>
      <c r="AM183" s="45">
        <f>VLOOKUP($B183,'[2]E.U.'!$R$9:$AZ$205,11,FALSE)</f>
        <v>2409.4122352812687</v>
      </c>
      <c r="AN183" s="45">
        <f>VLOOKUP($B183,'[3]E.U.'!$R9:$AZ$225,11,FALSE)</f>
        <v>2805.9770989554236</v>
      </c>
      <c r="AO183" s="45">
        <f>VLOOKUP($B183,'[4]E.U.'!$R$9:$BZ$225,11,FALSE)</f>
        <v>2738.2017536614303</v>
      </c>
      <c r="AP183" s="45">
        <f>VLOOKUP($B183,'[5]E.U.'!$R$9:$BZ$225,11,FALSE)</f>
        <v>2532.203891851203</v>
      </c>
      <c r="AQ183" s="45">
        <f>VLOOKUP($B183,'[6]E.U.'!$R$9:$CA$225,11,FALSE)</f>
        <v>2596.5842937306556</v>
      </c>
      <c r="AR183" s="45">
        <f>VLOOKUP($B183,'[7]E.U.'!$R$9:$AZ$225,11,FALSE)</f>
        <v>2026.2856756359813</v>
      </c>
      <c r="AS183" s="45">
        <f>VLOOKUP($B183,'[8]E.U.'!$R$9:$AZ$225,11,FALSE)</f>
        <v>1802.3940595616195</v>
      </c>
      <c r="AT183" s="45">
        <f>VLOOKUP($B183,'[9]E.U.'!$R$9:$AZ$221,11,FALSE)</f>
        <v>1931.8031921103548</v>
      </c>
      <c r="AU183" s="45"/>
      <c r="AV183" s="45">
        <f>VLOOKUP($B183,'[10]E.U.'!$R$9:$AZ$221,11,FALSE)</f>
        <v>1897.4784407308471</v>
      </c>
      <c r="AW183" s="45">
        <f>(VLOOKUP($B183,'[11]E.U.'!$R$9:$AZ$220,11,FALSE)*1)</f>
        <v>2299.8872917636586</v>
      </c>
      <c r="AX183" s="45"/>
      <c r="AY183" s="45">
        <f>VLOOKUP($B183,'[12]E.U.'!$R$9:$AZ$220,11,FALSE)</f>
        <v>2134.046407988993</v>
      </c>
      <c r="AZ183" s="45"/>
      <c r="BA183" s="45">
        <f>VLOOKUP($B183,'[13]E.U.'!$R$9:$AZ$221,11,FALSE)</f>
        <v>0</v>
      </c>
      <c r="BB183" s="46">
        <f t="shared" si="26"/>
        <v>25174.274341271434</v>
      </c>
      <c r="BC183" s="47" t="e">
        <f>SUM(#REF!)</f>
        <v>#REF!</v>
      </c>
      <c r="BD183" s="43" t="e">
        <f>VLOOKUP(V183,[14]ELECTRIC!$C$1:$H$4000,6,FALSE)</f>
        <v>#N/A</v>
      </c>
      <c r="BE183" s="242" t="e">
        <f t="shared" si="31"/>
        <v>#N/A</v>
      </c>
      <c r="BF183" s="48">
        <f t="shared" si="23"/>
        <v>25174.274341271434</v>
      </c>
      <c r="BG183" s="49"/>
      <c r="BH183" s="43" t="e">
        <f t="shared" si="33"/>
        <v>#REF!</v>
      </c>
      <c r="BI183" s="52" t="e">
        <f t="shared" si="30"/>
        <v>#REF!</v>
      </c>
      <c r="BJ183" s="51">
        <f t="shared" si="22"/>
        <v>-3.6740214212521161E-2</v>
      </c>
      <c r="BK183" s="52"/>
      <c r="BL183" s="52"/>
      <c r="BM183" s="52"/>
      <c r="BN183" s="52"/>
      <c r="BO183" s="72"/>
      <c r="BP183" s="52"/>
      <c r="BQ183" s="52"/>
      <c r="BR183" s="50"/>
      <c r="BS183" s="53"/>
      <c r="BT183" s="53"/>
      <c r="BU183" s="65"/>
      <c r="BV183" s="55"/>
      <c r="BW183" s="55"/>
      <c r="BX183" s="56"/>
      <c r="BY183" s="129"/>
      <c r="BZ183" s="58"/>
    </row>
    <row r="184" spans="1:78" ht="15.6" x14ac:dyDescent="0.3">
      <c r="A184" s="81" t="s">
        <v>694</v>
      </c>
      <c r="B184" s="59">
        <v>2830</v>
      </c>
      <c r="C184" s="102" t="s">
        <v>522</v>
      </c>
      <c r="D184" t="s">
        <v>3184</v>
      </c>
      <c r="E184" s="40" t="s">
        <v>3185</v>
      </c>
      <c r="F184" s="41">
        <v>0</v>
      </c>
      <c r="G184" s="42"/>
      <c r="H184" s="42"/>
      <c r="I184" s="42"/>
      <c r="J184" s="42" t="s">
        <v>3186</v>
      </c>
      <c r="K184" s="42" t="s">
        <v>3187</v>
      </c>
      <c r="L184" s="42" t="s">
        <v>3188</v>
      </c>
      <c r="M184" s="42" t="s">
        <v>3189</v>
      </c>
      <c r="N184" s="42" t="s">
        <v>3190</v>
      </c>
      <c r="O184" s="42" t="s">
        <v>3191</v>
      </c>
      <c r="P184" s="42" t="s">
        <v>3192</v>
      </c>
      <c r="Q184" s="42" t="s">
        <v>3193</v>
      </c>
      <c r="R184" s="42" t="s">
        <v>3194</v>
      </c>
      <c r="S184" s="42" t="s">
        <v>3195</v>
      </c>
      <c r="T184" s="42" t="s">
        <v>3196</v>
      </c>
      <c r="U184" s="42" t="s">
        <v>3197</v>
      </c>
      <c r="V184" s="42" t="str">
        <f>VLOOKUP(D184,[1]ALL!$A$15:$Z$983,3,FALSE)</f>
        <v>SWC-EGW</v>
      </c>
      <c r="W184" s="43"/>
      <c r="X184" s="43"/>
      <c r="Y184" s="43">
        <v>0</v>
      </c>
      <c r="Z184" s="43">
        <v>4705.67</v>
      </c>
      <c r="AA184" s="43">
        <v>10590.01</v>
      </c>
      <c r="AB184" s="43">
        <v>11933.05</v>
      </c>
      <c r="AC184" s="43">
        <v>12148.31</v>
      </c>
      <c r="AD184" s="43">
        <v>13313.86</v>
      </c>
      <c r="AE184" s="43">
        <v>14725.36</v>
      </c>
      <c r="AF184" s="43">
        <v>16087.2</v>
      </c>
      <c r="AG184" s="43">
        <v>16619.62</v>
      </c>
      <c r="AH184" s="43">
        <v>15881.99</v>
      </c>
      <c r="AI184" s="43">
        <v>14851.7</v>
      </c>
      <c r="AJ184" s="43">
        <v>17643.05</v>
      </c>
      <c r="AK184" s="43">
        <v>19010.669999999998</v>
      </c>
      <c r="AL184" s="44"/>
      <c r="AM184" s="45">
        <f>VLOOKUP($B184,'[2]E.U.'!$R$9:$AZ$205,11,FALSE)</f>
        <v>1455.51</v>
      </c>
      <c r="AN184" s="45">
        <f>VLOOKUP($B184,'[3]E.U.'!$R9:$AZ$225,11,FALSE)</f>
        <v>1601.74</v>
      </c>
      <c r="AO184" s="45">
        <f>VLOOKUP($B184,'[4]E.U.'!$R$9:$BZ$225,11,FALSE)</f>
        <v>1420.700613571742</v>
      </c>
      <c r="AP184" s="45">
        <f>VLOOKUP($B184,'[5]E.U.'!$R$9:$BZ$225,11,FALSE)</f>
        <v>1448.4066386815912</v>
      </c>
      <c r="AQ184" s="45">
        <f>VLOOKUP($B184,'[6]E.U.'!$R$9:$CA$225,11,FALSE)</f>
        <v>1636.4464808169082</v>
      </c>
      <c r="AR184" s="45">
        <f>VLOOKUP($B184,'[7]E.U.'!$R$9:$AZ$225,11,FALSE)</f>
        <v>1475.0877350030121</v>
      </c>
      <c r="AS184" s="45">
        <f>VLOOKUP($B184,'[8]E.U.'!$R$9:$AZ$225,11,FALSE)</f>
        <v>1556.8004005896953</v>
      </c>
      <c r="AT184" s="45">
        <f>VLOOKUP($B184,'[9]E.U.'!$R$9:$AZ$221,11,FALSE)</f>
        <v>1339.3624968020297</v>
      </c>
      <c r="AU184" s="45"/>
      <c r="AV184" s="45">
        <f>VLOOKUP($B184,'[10]E.U.'!$R$9:$AZ$221,11,FALSE)</f>
        <v>1307.0101282616565</v>
      </c>
      <c r="AW184" s="45">
        <f>VLOOKUP($B184,'[11]E.U.'!$R$9:$AZ$220,11,FALSE)</f>
        <v>1341.2573280838683</v>
      </c>
      <c r="AX184" s="252"/>
      <c r="AY184" s="45">
        <f>VLOOKUP($B184,'[12]E.U.'!$R$9:$AZ$220,11,FALSE)</f>
        <v>1325.6953634685888</v>
      </c>
      <c r="AZ184" s="45"/>
      <c r="BA184" s="45">
        <f>VLOOKUP($B184,'[13]E.U.'!$R$9:$AZ$221,11,FALSE)</f>
        <v>1283.1747929189805</v>
      </c>
      <c r="BB184" s="46">
        <f t="shared" si="26"/>
        <v>17191.191978198069</v>
      </c>
      <c r="BC184" s="47" t="e">
        <f>SUM(#REF!)</f>
        <v>#REF!</v>
      </c>
      <c r="BD184" s="43" t="e">
        <f>VLOOKUP(V184,[14]ELECTRIC!$C$1:$H$4000,6,FALSE)</f>
        <v>#N/A</v>
      </c>
      <c r="BE184" s="43" t="e">
        <f t="shared" si="31"/>
        <v>#N/A</v>
      </c>
      <c r="BF184" s="48">
        <f t="shared" si="23"/>
        <v>17191.191978198069</v>
      </c>
      <c r="BG184" s="49">
        <f t="shared" ref="BG184:BG191" si="34">(BB184*9/7)+((BB184*3/7)*1.065)</f>
        <v>29949.512310589351</v>
      </c>
      <c r="BH184" s="43" t="e">
        <f t="shared" si="33"/>
        <v>#REF!</v>
      </c>
      <c r="BI184" s="50" t="e">
        <f t="shared" si="30"/>
        <v>#REF!</v>
      </c>
      <c r="BJ184" s="51">
        <f t="shared" si="22"/>
        <v>-9.5708253407267074E-2</v>
      </c>
      <c r="BK184" s="52"/>
      <c r="BL184" s="52"/>
      <c r="BM184" s="52"/>
      <c r="BN184" s="52"/>
      <c r="BO184" s="72"/>
      <c r="BP184" s="52"/>
      <c r="BQ184" s="52"/>
      <c r="BR184" s="50"/>
      <c r="BS184" s="53"/>
      <c r="BT184" s="53"/>
      <c r="BU184" s="133" t="s">
        <v>3198</v>
      </c>
      <c r="BV184" s="55"/>
      <c r="BW184" s="55"/>
      <c r="BX184" s="66"/>
      <c r="BY184" s="106"/>
      <c r="BZ184" s="68"/>
    </row>
    <row r="185" spans="1:78" ht="15.6" x14ac:dyDescent="0.3">
      <c r="A185" s="81" t="s">
        <v>1222</v>
      </c>
      <c r="B185" s="59">
        <v>2890</v>
      </c>
      <c r="C185" s="134" t="s">
        <v>3199</v>
      </c>
      <c r="D185" t="s">
        <v>3200</v>
      </c>
      <c r="E185" s="40" t="s">
        <v>524</v>
      </c>
      <c r="F185" s="41">
        <v>0</v>
      </c>
      <c r="K185" s="3" t="s">
        <v>3201</v>
      </c>
      <c r="L185" s="42" t="s">
        <v>3202</v>
      </c>
      <c r="M185" s="42" t="s">
        <v>3203</v>
      </c>
      <c r="N185" s="42" t="s">
        <v>3204</v>
      </c>
      <c r="O185" s="42" t="s">
        <v>3205</v>
      </c>
      <c r="P185" s="42" t="s">
        <v>3206</v>
      </c>
      <c r="Q185" s="42" t="s">
        <v>3207</v>
      </c>
      <c r="R185" s="42" t="s">
        <v>3208</v>
      </c>
      <c r="S185" s="42" t="s">
        <v>3209</v>
      </c>
      <c r="T185" s="42" t="s">
        <v>3210</v>
      </c>
      <c r="U185" s="42" t="s">
        <v>3211</v>
      </c>
      <c r="V185" s="42" t="str">
        <f>VLOOKUP(D185,[1]ALL!$A$15:$Z$983,3,FALSE)</f>
        <v>GEC-NELC</v>
      </c>
      <c r="X185" s="6"/>
      <c r="Y185" s="6"/>
      <c r="Z185" s="135" t="s">
        <v>3212</v>
      </c>
      <c r="AA185" s="43">
        <v>1569.87</v>
      </c>
      <c r="AB185" s="43">
        <v>5192.59</v>
      </c>
      <c r="AC185" s="43">
        <v>375662.95756300242</v>
      </c>
      <c r="AD185" s="43">
        <v>562312.52277661546</v>
      </c>
      <c r="AE185" s="43">
        <v>707094.53036530747</v>
      </c>
      <c r="AF185" s="43">
        <v>764930.55300754693</v>
      </c>
      <c r="AG185" s="43">
        <v>837108.23743221513</v>
      </c>
      <c r="AH185" s="43">
        <v>822386.06</v>
      </c>
      <c r="AI185" s="43">
        <v>984802.07</v>
      </c>
      <c r="AJ185" s="43">
        <v>1057382.46</v>
      </c>
      <c r="AK185" s="43">
        <v>1174532.26</v>
      </c>
      <c r="AL185" s="44"/>
      <c r="AM185" s="45">
        <f>VLOOKUP($B185,'[2]E.U.'!$R$9:$AZ$205,11,FALSE)</f>
        <v>80459.875807232005</v>
      </c>
      <c r="AN185" s="45">
        <f>VLOOKUP($B185,'[3]E.U.'!$R9:$AZ$225,11,FALSE)</f>
        <v>114065.9774532369</v>
      </c>
      <c r="AO185" s="45">
        <f>VLOOKUP($B185,'[4]E.U.'!$R$9:$BZ$225,11,FALSE)</f>
        <v>108365.60852836816</v>
      </c>
      <c r="AP185" s="45">
        <f>VLOOKUP($B185,'[5]E.U.'!$R$9:$BZ$225,11,FALSE)</f>
        <v>114471.79262554891</v>
      </c>
      <c r="AQ185" s="45">
        <f>VLOOKUP($B185,'[6]E.U.'!$R$9:$CA$225,11,FALSE)</f>
        <v>119493.24619957995</v>
      </c>
      <c r="AR185" s="45">
        <f>VLOOKUP($B185,'[7]E.U.'!$R$9:$AZ$225,11,FALSE)</f>
        <v>95749.976925273251</v>
      </c>
      <c r="AS185" s="45">
        <f>VLOOKUP($B185,'[8]E.U.'!$R$9:$AZ$225,11,FALSE)</f>
        <v>87332.764096471263</v>
      </c>
      <c r="AT185" s="45">
        <f>VLOOKUP($B185,'[9]E.U.'!$R$9:$AZ$221,11,FALSE)</f>
        <v>69560.335958427197</v>
      </c>
      <c r="AU185" s="45"/>
      <c r="AV185" s="45">
        <f>VLOOKUP($B185,'[10]E.U.'!$R$9:$AZ$221,11,FALSE)</f>
        <v>69482.05872161263</v>
      </c>
      <c r="AW185" s="45">
        <f>(VLOOKUP($B185,'[11]E.U.'!$R$9:$AZ$220,11,FALSE)*1)</f>
        <v>80299.334406832975</v>
      </c>
      <c r="AX185" s="45"/>
      <c r="AY185" s="45">
        <f>VLOOKUP($B185,'[12]E.U.'!$R$9:$AZ$220,11,FALSE)</f>
        <v>70436.118814228626</v>
      </c>
      <c r="AZ185" s="45"/>
      <c r="BA185" s="45">
        <f>VLOOKUP($B185,'[13]E.U.'!$R$9:$AZ$221,11,FALSE)</f>
        <v>70973.177868233819</v>
      </c>
      <c r="BB185" s="46">
        <f t="shared" si="26"/>
        <v>1080690.2674050457</v>
      </c>
      <c r="BC185" s="47" t="e">
        <f>SUM(#REF!)</f>
        <v>#REF!</v>
      </c>
      <c r="BD185" s="43" t="e">
        <f>VLOOKUP(V185,[14]ELECTRIC!$C$1:$H$4000,6,FALSE)</f>
        <v>#N/A</v>
      </c>
      <c r="BE185" s="242" t="e">
        <f t="shared" si="31"/>
        <v>#N/A</v>
      </c>
      <c r="BF185" s="48">
        <f t="shared" si="23"/>
        <v>1080690.2674050457</v>
      </c>
      <c r="BG185" s="49">
        <f t="shared" si="34"/>
        <v>1882716.8301435048</v>
      </c>
      <c r="BH185" s="43" t="e">
        <f t="shared" si="33"/>
        <v>#REF!</v>
      </c>
      <c r="BI185" s="50" t="e">
        <f t="shared" si="30"/>
        <v>#REF!</v>
      </c>
      <c r="BJ185" s="51">
        <f t="shared" si="22"/>
        <v>-7.9897330870209005E-2</v>
      </c>
      <c r="BK185" s="52"/>
      <c r="BL185" s="52"/>
      <c r="BM185" s="52"/>
      <c r="BN185" s="52"/>
      <c r="BO185" s="72"/>
      <c r="BP185" s="52"/>
      <c r="BQ185" s="50" t="s">
        <v>2775</v>
      </c>
      <c r="BR185" s="50" t="s">
        <v>2775</v>
      </c>
      <c r="BS185" s="136" t="s">
        <v>3213</v>
      </c>
      <c r="BT185" s="136" t="s">
        <v>3213</v>
      </c>
    </row>
    <row r="186" spans="1:78" ht="15.6" x14ac:dyDescent="0.3">
      <c r="A186" s="81" t="s">
        <v>694</v>
      </c>
      <c r="B186" s="137">
        <v>2900</v>
      </c>
      <c r="C186" s="102" t="s">
        <v>525</v>
      </c>
      <c r="D186" t="s">
        <v>3214</v>
      </c>
      <c r="E186" s="138" t="s">
        <v>526</v>
      </c>
      <c r="F186" s="41" t="s">
        <v>758</v>
      </c>
      <c r="G186" s="42"/>
      <c r="H186" s="42"/>
      <c r="I186" s="42"/>
      <c r="J186" s="42" t="s">
        <v>3215</v>
      </c>
      <c r="K186" s="42" t="s">
        <v>3216</v>
      </c>
      <c r="L186" s="42" t="s">
        <v>3217</v>
      </c>
      <c r="M186" s="42" t="s">
        <v>3218</v>
      </c>
      <c r="N186" s="42" t="s">
        <v>3219</v>
      </c>
      <c r="O186" s="42" t="s">
        <v>3220</v>
      </c>
      <c r="P186" s="42" t="s">
        <v>3221</v>
      </c>
      <c r="Q186" s="42" t="s">
        <v>3222</v>
      </c>
      <c r="R186" s="42" t="s">
        <v>3223</v>
      </c>
      <c r="S186" s="42" t="s">
        <v>3224</v>
      </c>
      <c r="T186" s="42" t="s">
        <v>3225</v>
      </c>
      <c r="U186" s="42" t="s">
        <v>3226</v>
      </c>
      <c r="V186" s="42" t="str">
        <f>VLOOKUP(D186,[1]ALL!$A$15:$Z$983,3,FALSE)</f>
        <v>RTH-ELC</v>
      </c>
      <c r="W186" s="43"/>
      <c r="X186" s="43" t="s">
        <v>725</v>
      </c>
      <c r="Y186" s="43"/>
      <c r="Z186" s="43">
        <v>56007.22770289208</v>
      </c>
      <c r="AA186" s="43">
        <v>149045.32</v>
      </c>
      <c r="AB186" s="43">
        <v>238175.2</v>
      </c>
      <c r="AC186" s="43">
        <v>266371.90000000002</v>
      </c>
      <c r="AD186" s="43">
        <v>308933.71000000002</v>
      </c>
      <c r="AE186" s="43">
        <v>346079.38</v>
      </c>
      <c r="AF186" s="43">
        <v>388862.62</v>
      </c>
      <c r="AG186" s="43">
        <v>414144.46</v>
      </c>
      <c r="AH186" s="43">
        <v>412304.97</v>
      </c>
      <c r="AI186" s="43">
        <v>425941.76000000001</v>
      </c>
      <c r="AJ186" s="43">
        <v>442623.36</v>
      </c>
      <c r="AK186" s="43">
        <v>530698.22</v>
      </c>
      <c r="AL186" s="44"/>
      <c r="AM186" s="45">
        <f>VLOOKUP($B186,'[2]E.U.'!$R$9:$AZ$205,11,FALSE)</f>
        <v>41101.019999999997</v>
      </c>
      <c r="AN186" s="45">
        <f>VLOOKUP($B186,'[3]E.U.'!$R9:$AZ$225,11,FALSE)</f>
        <v>46452.81</v>
      </c>
      <c r="AO186" s="45">
        <f>VLOOKUP($B186,'[4]E.U.'!$R$9:$BZ$225,11,FALSE)</f>
        <v>43827.421602475384</v>
      </c>
      <c r="AP186" s="45">
        <f>VLOOKUP($B186,'[5]E.U.'!$R$9:$BZ$225,11,FALSE)</f>
        <v>38521.14855057071</v>
      </c>
      <c r="AQ186" s="45">
        <f>VLOOKUP($B186,'[6]E.U.'!$R$9:$CA$225,11,FALSE)</f>
        <v>47656.11019825637</v>
      </c>
      <c r="AR186" s="45">
        <f>VLOOKUP($B186,'[7]E.U.'!$R$9:$AZ$225,11,FALSE)</f>
        <v>43842.235542118346</v>
      </c>
      <c r="AS186" s="45">
        <f>VLOOKUP($B186,'[8]E.U.'!$R$9:$AZ$225,11,FALSE)</f>
        <v>47019.469742294052</v>
      </c>
      <c r="AT186" s="45">
        <f>VLOOKUP($B186,'[9]E.U.'!$R$9:$AZ$221,11,FALSE)</f>
        <v>40559.231427987987</v>
      </c>
      <c r="AU186" s="45"/>
      <c r="AV186" s="45">
        <f>VLOOKUP($B186,'[10]E.U.'!$R$9:$AZ$221,11,FALSE)</f>
        <v>42136.92342430634</v>
      </c>
      <c r="AW186" s="45">
        <f>VLOOKUP($B186,'[11]E.U.'!$R$9:$AZ$220,11,FALSE)</f>
        <v>39713.173578640664</v>
      </c>
      <c r="AX186" s="252"/>
      <c r="AY186" s="45">
        <f>VLOOKUP($B186,'[12]E.U.'!$R$9:$AZ$220,11,FALSE)</f>
        <v>39574.276165704512</v>
      </c>
      <c r="AZ186" s="45"/>
      <c r="BA186" s="45">
        <f>VLOOKUP($B186,'[13]E.U.'!$R$9:$AZ$221,11,FALSE)</f>
        <v>37153.846811324736</v>
      </c>
      <c r="BB186" s="46">
        <f t="shared" si="26"/>
        <v>507557.66704367904</v>
      </c>
      <c r="BC186" s="47" t="e">
        <f>SUM(#REF!)</f>
        <v>#REF!</v>
      </c>
      <c r="BD186" s="43" t="e">
        <f>VLOOKUP(V186,[14]ELECTRIC!$C$1:$H$4000,6,FALSE)</f>
        <v>#N/A</v>
      </c>
      <c r="BE186" s="43" t="e">
        <f t="shared" si="31"/>
        <v>#N/A</v>
      </c>
      <c r="BF186" s="48">
        <f t="shared" si="23"/>
        <v>507557.66704367904</v>
      </c>
      <c r="BG186" s="49">
        <f t="shared" si="34"/>
        <v>884237.96422823798</v>
      </c>
      <c r="BH186" s="43" t="e">
        <f t="shared" si="33"/>
        <v>#REF!</v>
      </c>
      <c r="BI186" s="50" t="e">
        <f t="shared" si="30"/>
        <v>#REF!</v>
      </c>
      <c r="BJ186" s="51">
        <f t="shared" si="22"/>
        <v>-4.3603976957602986E-2</v>
      </c>
      <c r="BK186" s="52"/>
      <c r="BL186" s="52"/>
      <c r="BM186" s="52"/>
      <c r="BN186" s="52"/>
      <c r="BO186" s="72"/>
      <c r="BP186" s="52"/>
      <c r="BQ186" s="52"/>
      <c r="BR186" s="50" t="s">
        <v>3227</v>
      </c>
      <c r="BS186" s="53"/>
      <c r="BT186" s="53"/>
      <c r="BU186" s="65" t="s">
        <v>1072</v>
      </c>
      <c r="BV186" s="55"/>
      <c r="BW186" s="55"/>
      <c r="BX186" s="66"/>
      <c r="BY186" s="84"/>
      <c r="BZ186" s="68"/>
    </row>
    <row r="187" spans="1:78" ht="15.6" x14ac:dyDescent="0.3">
      <c r="A187" s="81" t="s">
        <v>694</v>
      </c>
      <c r="B187" s="137">
        <v>2910</v>
      </c>
      <c r="C187" s="134" t="s">
        <v>527</v>
      </c>
      <c r="D187" t="s">
        <v>3228</v>
      </c>
      <c r="E187" s="132" t="s">
        <v>528</v>
      </c>
      <c r="F187" s="41" t="s">
        <v>758</v>
      </c>
      <c r="G187" s="42"/>
      <c r="H187" s="42"/>
      <c r="I187" s="42"/>
      <c r="J187" s="42" t="s">
        <v>3229</v>
      </c>
      <c r="K187" s="42" t="s">
        <v>3230</v>
      </c>
      <c r="L187" s="42" t="s">
        <v>3231</v>
      </c>
      <c r="M187" s="42" t="s">
        <v>3232</v>
      </c>
      <c r="N187" s="42" t="s">
        <v>3233</v>
      </c>
      <c r="O187" s="42" t="s">
        <v>3234</v>
      </c>
      <c r="P187" s="42" t="s">
        <v>3235</v>
      </c>
      <c r="Q187" s="42" t="s">
        <v>3236</v>
      </c>
      <c r="R187" s="42" t="s">
        <v>3237</v>
      </c>
      <c r="S187" s="42" t="s">
        <v>3238</v>
      </c>
      <c r="T187" s="42" t="s">
        <v>3239</v>
      </c>
      <c r="U187" s="42" t="s">
        <v>3240</v>
      </c>
      <c r="V187" s="42" t="str">
        <f>VLOOKUP(D187,[1]ALL!$A$15:$Z$983,3,FALSE)</f>
        <v>RRI-ELC</v>
      </c>
      <c r="W187" s="43"/>
      <c r="X187" s="43" t="s">
        <v>725</v>
      </c>
      <c r="Y187" s="43"/>
      <c r="Z187" s="43">
        <v>19746.078196679573</v>
      </c>
      <c r="AA187" s="43">
        <v>64307.08</v>
      </c>
      <c r="AB187" s="43">
        <v>384727.92</v>
      </c>
      <c r="AC187" s="43">
        <v>507381.89700000006</v>
      </c>
      <c r="AD187" s="43">
        <v>567835.15800000005</v>
      </c>
      <c r="AE187" s="43">
        <v>631358.22200000007</v>
      </c>
      <c r="AF187" s="43">
        <v>683894.34300000023</v>
      </c>
      <c r="AG187" s="43">
        <v>732692.57600000023</v>
      </c>
      <c r="AH187" s="43">
        <v>719853</v>
      </c>
      <c r="AI187" s="43">
        <v>662552.81000000006</v>
      </c>
      <c r="AJ187" s="43">
        <v>749794.15</v>
      </c>
      <c r="AK187" s="43">
        <v>737924.63</v>
      </c>
      <c r="AL187" s="44"/>
      <c r="AM187" s="45">
        <f>VLOOKUP($B187,'[2]E.U.'!$R$9:$AZ$205,11,FALSE)</f>
        <v>59682.95</v>
      </c>
      <c r="AN187" s="45">
        <f>VLOOKUP($B187,'[3]E.U.'!$R9:$AZ$225,11,FALSE)</f>
        <v>69433.45</v>
      </c>
      <c r="AO187" s="45">
        <f>VLOOKUP($B187,'[4]E.U.'!$R$9:$BZ$225,11,FALSE)</f>
        <v>72856.261910725996</v>
      </c>
      <c r="AP187" s="45">
        <f>VLOOKUP($B187,'[5]E.U.'!$R$9:$BZ$225,11,FALSE)</f>
        <v>65674.026714162261</v>
      </c>
      <c r="AQ187" s="45">
        <f>VLOOKUP($B187,'[6]E.U.'!$R$9:$CA$225,11,FALSE)</f>
        <v>71596.231915364944</v>
      </c>
      <c r="AR187" s="45">
        <f>VLOOKUP($B187,'[7]E.U.'!$R$9:$AZ$225,11,FALSE)</f>
        <v>62227.634566597117</v>
      </c>
      <c r="AS187" s="45">
        <f>VLOOKUP($B187,'[8]E.U.'!$R$9:$AZ$225,11,FALSE)</f>
        <v>66348.522854252864</v>
      </c>
      <c r="AT187" s="45">
        <f>VLOOKUP($B187,'[9]E.U.'!$R$9:$AZ$221,11,FALSE)</f>
        <v>61372.302085223164</v>
      </c>
      <c r="AU187" s="45"/>
      <c r="AV187" s="45">
        <f>VLOOKUP($B187,'[10]E.U.'!$R$9:$AZ$221,11,FALSE)</f>
        <v>60075.746126778977</v>
      </c>
      <c r="AW187" s="45">
        <f>VLOOKUP($B187,'[11]E.U.'!$R$9:$AZ$220,11,FALSE)</f>
        <v>55794.217338517759</v>
      </c>
      <c r="AX187" s="252"/>
      <c r="AY187" s="45">
        <f>VLOOKUP($B187,'[12]E.U.'!$R$9:$AZ$220,11,FALSE)</f>
        <v>56273.121275275917</v>
      </c>
      <c r="AZ187" s="45"/>
      <c r="BA187" s="45">
        <f>VLOOKUP($B187,'[13]E.U.'!$R$9:$AZ$221,11,FALSE)</f>
        <v>53439.473414500695</v>
      </c>
      <c r="BB187" s="46">
        <f t="shared" si="26"/>
        <v>754773.93820139975</v>
      </c>
      <c r="BC187" s="47" t="e">
        <f>SUM(#REF!)</f>
        <v>#REF!</v>
      </c>
      <c r="BD187" s="43" t="e">
        <f>VLOOKUP(V187,[14]ELECTRIC!$C$1:$H$4000,6,FALSE)</f>
        <v>#N/A</v>
      </c>
      <c r="BE187" s="242" t="e">
        <f t="shared" si="31"/>
        <v>#N/A</v>
      </c>
      <c r="BF187" s="48">
        <f t="shared" si="23"/>
        <v>754773.93820139975</v>
      </c>
      <c r="BG187" s="49">
        <f t="shared" si="34"/>
        <v>1314924.025195153</v>
      </c>
      <c r="BH187" s="43" t="e">
        <f t="shared" si="33"/>
        <v>#REF!</v>
      </c>
      <c r="BI187" s="50" t="e">
        <f t="shared" si="30"/>
        <v>#REF!</v>
      </c>
      <c r="BJ187" s="51">
        <f t="shared" si="22"/>
        <v>2.28333728356509E-2</v>
      </c>
      <c r="BK187" s="52"/>
      <c r="BL187" s="52"/>
      <c r="BM187" s="52"/>
      <c r="BN187" s="52"/>
      <c r="BO187" s="72"/>
      <c r="BP187" s="52"/>
      <c r="BQ187" s="52"/>
      <c r="BR187" s="50" t="s">
        <v>3227</v>
      </c>
      <c r="BS187" s="53"/>
      <c r="BT187" s="53"/>
      <c r="BU187" s="65" t="s">
        <v>1072</v>
      </c>
      <c r="BV187" s="55"/>
      <c r="BW187" s="55"/>
      <c r="BX187" s="66"/>
      <c r="BY187" s="84"/>
      <c r="BZ187" s="68"/>
    </row>
    <row r="188" spans="1:78" ht="15.6" x14ac:dyDescent="0.3">
      <c r="A188" s="81" t="s">
        <v>694</v>
      </c>
      <c r="B188" s="62">
        <v>2920</v>
      </c>
      <c r="C188" s="139" t="s">
        <v>529</v>
      </c>
      <c r="D188" t="s">
        <v>3241</v>
      </c>
      <c r="E188" s="126" t="s">
        <v>530</v>
      </c>
      <c r="F188" s="41" t="s">
        <v>758</v>
      </c>
      <c r="K188" s="3" t="s">
        <v>3242</v>
      </c>
      <c r="L188" s="42" t="s">
        <v>3243</v>
      </c>
      <c r="M188" s="42" t="s">
        <v>3244</v>
      </c>
      <c r="N188" s="42" t="s">
        <v>3245</v>
      </c>
      <c r="O188" s="42" t="s">
        <v>3246</v>
      </c>
      <c r="P188" s="42" t="s">
        <v>3247</v>
      </c>
      <c r="Q188" s="42" t="s">
        <v>3248</v>
      </c>
      <c r="R188" s="42" t="s">
        <v>3249</v>
      </c>
      <c r="S188" s="42" t="s">
        <v>3250</v>
      </c>
      <c r="T188" s="42" t="s">
        <v>3251</v>
      </c>
      <c r="U188" s="42" t="s">
        <v>3252</v>
      </c>
      <c r="V188" s="42" t="str">
        <f>VLOOKUP(D188,[1]ALL!$A$15:$Z$983,3,FALSE)</f>
        <v>DNI-ELC</v>
      </c>
      <c r="X188" s="6"/>
      <c r="Y188" s="6"/>
      <c r="Z188" s="6"/>
      <c r="AA188" s="43">
        <v>34470.11</v>
      </c>
      <c r="AB188" s="43">
        <v>35440.85</v>
      </c>
      <c r="AC188" s="43">
        <v>38949.74</v>
      </c>
      <c r="AD188" s="43">
        <v>42806.49</v>
      </c>
      <c r="AE188" s="43">
        <v>52555.29</v>
      </c>
      <c r="AF188" s="43">
        <v>56467.71</v>
      </c>
      <c r="AG188" s="43">
        <v>61424.09</v>
      </c>
      <c r="AH188" s="43">
        <v>60389.94</v>
      </c>
      <c r="AI188" s="43">
        <v>59013.03</v>
      </c>
      <c r="AJ188" s="43">
        <v>59233.11</v>
      </c>
      <c r="AK188" s="43">
        <v>79855.710000000006</v>
      </c>
      <c r="AL188" s="44"/>
      <c r="AM188" s="45">
        <f>VLOOKUP($B188,'[2]E.U.'!$R$9:$AZ$205,11,FALSE)</f>
        <v>5591.33</v>
      </c>
      <c r="AN188" s="45">
        <f>VLOOKUP($B188,'[3]E.U.'!$R9:$AZ$225,11,FALSE)</f>
        <v>6124.65</v>
      </c>
      <c r="AO188" s="45">
        <f>VLOOKUP($B188,'[4]E.U.'!$R$9:$BZ$225,11,FALSE)</f>
        <v>899.76274378216385</v>
      </c>
      <c r="AP188" s="45">
        <f>VLOOKUP($B188,'[5]E.U.'!$R$9:$BZ$225,11,FALSE)</f>
        <v>1681.8853587001529</v>
      </c>
      <c r="AQ188" s="45">
        <f>VLOOKUP($B188,'[6]E.U.'!$R$9:$CA$225,11,FALSE)</f>
        <v>1734.9854773241211</v>
      </c>
      <c r="AR188" s="45">
        <f>VLOOKUP($B188,'[7]E.U.'!$R$9:$AZ$225,11,FALSE)</f>
        <v>1664.610082542471</v>
      </c>
      <c r="AS188" s="45">
        <f>VLOOKUP($B188,'[8]E.U.'!$R$9:$AZ$225,11,FALSE)</f>
        <v>2015.9823764161179</v>
      </c>
      <c r="AT188" s="45">
        <f>VLOOKUP($B188,'[9]E.U.'!$R$9:$AZ$221,11,FALSE)</f>
        <v>1828.4564484853784</v>
      </c>
      <c r="AU188" s="45"/>
      <c r="AV188" s="45">
        <f>VLOOKUP($B188,'[10]E.U.'!$R$9:$AZ$221,11,FALSE)</f>
        <v>1654.8332140287923</v>
      </c>
      <c r="AW188" s="45">
        <f>VLOOKUP($B188,'[11]E.U.'!$R$9:$AZ$220,11,FALSE)</f>
        <v>1501.5766019334246</v>
      </c>
      <c r="AX188" s="45"/>
      <c r="AY188" s="45">
        <f>VLOOKUP($B188,'[12]E.U.'!$R$9:$AZ$220,11,FALSE)</f>
        <v>1564.7389764151803</v>
      </c>
      <c r="AZ188" s="45"/>
      <c r="BA188" s="45">
        <f>VLOOKUP($B188,'[13]E.U.'!$R$9:$AZ$221,11,FALSE)</f>
        <v>1472.6472723105619</v>
      </c>
      <c r="BB188" s="46">
        <f t="shared" si="26"/>
        <v>27735.458551938369</v>
      </c>
      <c r="BC188" s="47" t="e">
        <f>SUM(#REF!)</f>
        <v>#REF!</v>
      </c>
      <c r="BD188" s="43" t="e">
        <f>VLOOKUP(V188,[14]ELECTRIC!$C$1:$H$4000,6,FALSE)</f>
        <v>#N/A</v>
      </c>
      <c r="BE188" s="43" t="e">
        <f t="shared" si="31"/>
        <v>#N/A</v>
      </c>
      <c r="BF188" s="48">
        <f t="shared" si="23"/>
        <v>27735.458551938369</v>
      </c>
      <c r="BG188" s="49">
        <f t="shared" si="34"/>
        <v>48319.131005841198</v>
      </c>
      <c r="BH188" s="43" t="e">
        <f t="shared" si="33"/>
        <v>#REF!</v>
      </c>
      <c r="BI188" s="50" t="e">
        <f t="shared" si="30"/>
        <v>#REF!</v>
      </c>
      <c r="BJ188" s="51">
        <f t="shared" si="22"/>
        <v>-0.6526803336675816</v>
      </c>
      <c r="BK188" s="52"/>
      <c r="BL188" s="52"/>
      <c r="BM188" s="52"/>
      <c r="BN188" s="52"/>
      <c r="BO188" s="72"/>
      <c r="BP188" s="52"/>
      <c r="BQ188" s="52"/>
      <c r="BR188" s="50"/>
      <c r="BS188" s="9" t="s">
        <v>3253</v>
      </c>
      <c r="BT188" s="9" t="s">
        <v>3253</v>
      </c>
    </row>
    <row r="189" spans="1:78" ht="15.6" x14ac:dyDescent="0.3">
      <c r="A189" s="81" t="s">
        <v>694</v>
      </c>
      <c r="B189" s="62">
        <v>2921</v>
      </c>
      <c r="C189" s="139" t="s">
        <v>531</v>
      </c>
      <c r="D189" s="257" t="s">
        <v>3254</v>
      </c>
      <c r="E189" s="126" t="s">
        <v>532</v>
      </c>
      <c r="F189" s="41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 t="str">
        <f>'[15]SWO MATRIX 04-15-16 NUMRC'!$D$762</f>
        <v>BCI-NELC</v>
      </c>
      <c r="X189" s="6"/>
      <c r="Y189" s="6"/>
      <c r="Z189" s="6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>
        <v>16439.38</v>
      </c>
      <c r="AL189" s="44"/>
      <c r="AM189" s="45">
        <f>VLOOKUP($B189,'[2]E.U.'!$R$9:$AZ$205,11,FALSE)</f>
        <v>1736.66</v>
      </c>
      <c r="AN189" s="45">
        <f>VLOOKUP($B189,'[3]E.U.'!$R10:$AZ$225,11,FALSE)</f>
        <v>1741.84</v>
      </c>
      <c r="AO189" s="45">
        <f>VLOOKUP($B189,'[4]E.U.'!$R$9:$BZ$225,11,FALSE)</f>
        <v>1828.0625785632405</v>
      </c>
      <c r="AP189" s="45">
        <f>VLOOKUP($B189,'[5]E.U.'!$R$9:$BZ$225,11,FALSE)</f>
        <v>1689.1934545443457</v>
      </c>
      <c r="AQ189" s="45">
        <f>VLOOKUP($B189,'[6]E.U.'!$R$9:$CA$225,11,FALSE)</f>
        <v>1744.0120941393736</v>
      </c>
      <c r="AR189" s="45">
        <f>VLOOKUP($B189,'[7]E.U.'!$R$9:$AZ$225,11,FALSE)</f>
        <v>1675.7706133681315</v>
      </c>
      <c r="AS189" s="45">
        <f>VLOOKUP($B189,'[8]E.U.'!$R$9:$AZ$225,11,FALSE)</f>
        <v>2059.9010918365029</v>
      </c>
      <c r="AT189" s="45">
        <f>VLOOKUP($B189,'[9]E.U.'!$R$9:$AZ$221,11,FALSE)</f>
        <v>1823.3673467385131</v>
      </c>
      <c r="AU189" s="45"/>
      <c r="AV189" s="45">
        <f>VLOOKUP($B189,'[10]E.U.'!$R$9:$AZ$221,11,FALSE)</f>
        <v>1809.4009228507991</v>
      </c>
      <c r="AW189" s="45">
        <f>VLOOKUP($B189,'[11]E.U.'!$R$9:$AZ$220,11,FALSE)</f>
        <v>1617.1002417013701</v>
      </c>
      <c r="AX189" s="45"/>
      <c r="AY189" s="45">
        <f>VLOOKUP($B189,'[12]E.U.'!$R$9:$AZ$220,11,FALSE)</f>
        <v>1579.6821728025045</v>
      </c>
      <c r="AZ189" s="45"/>
      <c r="BA189" s="45">
        <f>VLOOKUP($B189,'[13]E.U.'!$R$9:$AZ$221,11,FALSE)</f>
        <v>1490.6981361453768</v>
      </c>
      <c r="BB189" s="46">
        <f t="shared" si="26"/>
        <v>20795.688652690158</v>
      </c>
      <c r="BC189" s="47" t="e">
        <f>SUM(#REF!)</f>
        <v>#REF!</v>
      </c>
      <c r="BD189" s="43"/>
      <c r="BE189" s="43"/>
      <c r="BF189" s="48">
        <f t="shared" si="23"/>
        <v>20795.688652690158</v>
      </c>
      <c r="BG189" s="49"/>
      <c r="BH189" s="43">
        <f>BF189</f>
        <v>20795.688652690158</v>
      </c>
      <c r="BI189" s="50" t="e">
        <f>IF(OR(BB189=0,BC189=0),0,ABS(BB189/BC189)-1)</f>
        <v>#REF!</v>
      </c>
      <c r="BJ189" s="51">
        <f t="shared" si="22"/>
        <v>0.26499227176999107</v>
      </c>
      <c r="BK189" s="52"/>
      <c r="BL189" s="52"/>
      <c r="BM189" s="52"/>
      <c r="BN189" s="52"/>
      <c r="BO189" s="72"/>
      <c r="BP189" s="52"/>
      <c r="BQ189" s="52"/>
      <c r="BR189" s="50"/>
      <c r="BS189" s="9"/>
      <c r="BT189" s="9"/>
    </row>
    <row r="190" spans="1:78" ht="15.6" x14ac:dyDescent="0.3">
      <c r="A190" s="81" t="s">
        <v>694</v>
      </c>
      <c r="B190" s="62">
        <v>2940</v>
      </c>
      <c r="C190" s="140" t="s">
        <v>3255</v>
      </c>
      <c r="D190" t="s">
        <v>3256</v>
      </c>
      <c r="E190" s="126" t="s">
        <v>534</v>
      </c>
      <c r="F190" s="41">
        <v>0</v>
      </c>
      <c r="L190" s="42"/>
      <c r="M190" s="42"/>
      <c r="N190" s="42" t="s">
        <v>3257</v>
      </c>
      <c r="O190" s="42" t="s">
        <v>3258</v>
      </c>
      <c r="P190" s="42" t="s">
        <v>3259</v>
      </c>
      <c r="Q190" s="42" t="s">
        <v>3260</v>
      </c>
      <c r="R190" s="42" t="s">
        <v>3261</v>
      </c>
      <c r="S190" s="42" t="s">
        <v>3262</v>
      </c>
      <c r="T190" s="42" t="s">
        <v>3263</v>
      </c>
      <c r="U190" s="42" t="s">
        <v>3264</v>
      </c>
      <c r="V190" s="42" t="str">
        <f>VLOOKUP(D190,[1]ALL!$A$15:$Z$983,3,FALSE)</f>
        <v>SCA-ELC</v>
      </c>
      <c r="X190" s="6"/>
      <c r="Y190" s="6"/>
      <c r="Z190" s="6"/>
      <c r="AA190" s="43"/>
      <c r="AB190" s="43" t="s">
        <v>3265</v>
      </c>
      <c r="AC190" s="43"/>
      <c r="AD190" s="43">
        <v>8982.2000000000007</v>
      </c>
      <c r="AE190" s="43">
        <v>105748.262</v>
      </c>
      <c r="AF190" s="43">
        <v>201134.57699999999</v>
      </c>
      <c r="AG190" s="43">
        <v>209256.88350000003</v>
      </c>
      <c r="AH190" s="43">
        <v>208742.26</v>
      </c>
      <c r="AI190" s="43">
        <v>210247.75</v>
      </c>
      <c r="AJ190" s="43">
        <v>215369.49</v>
      </c>
      <c r="AK190" s="43">
        <v>234850.76</v>
      </c>
      <c r="AL190" s="44"/>
      <c r="AM190" s="45">
        <f>VLOOKUP($B190,'[2]E.U.'!$R$9:$AZ$205,11,FALSE)</f>
        <v>17479.240000000002</v>
      </c>
      <c r="AN190" s="45">
        <f>VLOOKUP($B190,'[3]E.U.'!$R9:$AZ$225,11,FALSE)</f>
        <v>18280.11</v>
      </c>
      <c r="AO190" s="45">
        <f>VLOOKUP($B190,'[4]E.U.'!$R$9:$BZ$225,11,FALSE)</f>
        <v>17381.969796298876</v>
      </c>
      <c r="AP190" s="45">
        <f>VLOOKUP($B190,'[5]E.U.'!$R$9:$BZ$225,11,FALSE)</f>
        <v>15910.05972039914</v>
      </c>
      <c r="AQ190" s="45">
        <f>VLOOKUP($B190,'[6]E.U.'!$R$9:$CA$225,11,FALSE)</f>
        <v>18717.509711376799</v>
      </c>
      <c r="AR190" s="45">
        <f>VLOOKUP($B190,'[7]E.U.'!$R$9:$AZ$225,11,FALSE)</f>
        <v>16590.758496221035</v>
      </c>
      <c r="AS190" s="45">
        <f>VLOOKUP($B190,'[8]E.U.'!$R$9:$AZ$225,11,FALSE)</f>
        <v>18198.366709061596</v>
      </c>
      <c r="AT190" s="45">
        <f>VLOOKUP($B190,'[9]E.U.'!$R$9:$AZ$221,11,FALSE)</f>
        <v>14560.583481621268</v>
      </c>
      <c r="AU190" s="45"/>
      <c r="AV190" s="45">
        <f>VLOOKUP($B190,'[10]E.U.'!$R$9:$AZ$221,11,FALSE)</f>
        <v>14923.19392997813</v>
      </c>
      <c r="AW190" s="45">
        <f>VLOOKUP($B190,'[11]E.U.'!$R$9:$AZ$220,11,FALSE)</f>
        <v>15219.764266424074</v>
      </c>
      <c r="AX190" s="252"/>
      <c r="AY190" s="45">
        <f>VLOOKUP($B190,'[12]E.U.'!$R$9:$AZ$220,11,FALSE)</f>
        <v>15101.126581203982</v>
      </c>
      <c r="AZ190" s="45"/>
      <c r="BA190" s="45">
        <f>VLOOKUP($B190,'[13]E.U.'!$R$9:$AZ$221,11,FALSE)</f>
        <v>15175.792362046875</v>
      </c>
      <c r="BB190" s="46">
        <f t="shared" si="26"/>
        <v>197538.47505463177</v>
      </c>
      <c r="BC190" s="47" t="e">
        <f>SUM(#REF!)</f>
        <v>#REF!</v>
      </c>
      <c r="BD190" s="43" t="e">
        <f>VLOOKUP(V190,[14]ELECTRIC!$C$1:$H$4000,6,FALSE)</f>
        <v>#N/A</v>
      </c>
      <c r="BE190" s="242" t="e">
        <f t="shared" si="31"/>
        <v>#N/A</v>
      </c>
      <c r="BF190" s="48">
        <f t="shared" si="23"/>
        <v>197538.47505463177</v>
      </c>
      <c r="BG190" s="49">
        <f t="shared" si="34"/>
        <v>344140.24332731921</v>
      </c>
      <c r="BH190" s="43" t="e">
        <f t="shared" ref="BH190:BH205" si="35">IF(BC190=0,0,(BB190*(AK190/BC190)))</f>
        <v>#REF!</v>
      </c>
      <c r="BI190" s="50" t="e">
        <f t="shared" ref="BI190:BI201" si="36">IF(OR(BB190=0,BC190=0),0,ABS(BB190/BC190)-1)</f>
        <v>#REF!</v>
      </c>
      <c r="BJ190" s="51">
        <f t="shared" si="22"/>
        <v>-0.15887657738628669</v>
      </c>
      <c r="BK190" s="52"/>
      <c r="BL190" s="52"/>
      <c r="BM190" s="52"/>
      <c r="BN190" s="52"/>
      <c r="BO190" s="72"/>
      <c r="BP190" s="72" t="s">
        <v>3266</v>
      </c>
      <c r="BQ190" s="52"/>
      <c r="BR190" s="50"/>
      <c r="BS190" s="9"/>
      <c r="BT190" s="9"/>
    </row>
    <row r="191" spans="1:78" ht="15.6" x14ac:dyDescent="0.3">
      <c r="A191" s="76" t="s">
        <v>694</v>
      </c>
      <c r="B191" s="38">
        <v>2960</v>
      </c>
      <c r="C191" s="1" t="s">
        <v>3267</v>
      </c>
      <c r="D191" t="s">
        <v>3268</v>
      </c>
      <c r="E191" s="40" t="s">
        <v>536</v>
      </c>
      <c r="F191" s="41"/>
      <c r="G191" s="42"/>
      <c r="H191" s="42"/>
      <c r="I191" s="42"/>
      <c r="J191" s="42"/>
      <c r="K191" s="42"/>
      <c r="L191" s="42"/>
      <c r="M191" s="42"/>
      <c r="N191" s="42" t="s">
        <v>3269</v>
      </c>
      <c r="O191" s="42" t="s">
        <v>3270</v>
      </c>
      <c r="P191" s="42" t="s">
        <v>3271</v>
      </c>
      <c r="Q191" s="42" t="s">
        <v>3272</v>
      </c>
      <c r="R191" s="42" t="s">
        <v>3273</v>
      </c>
      <c r="S191" s="42" t="s">
        <v>3274</v>
      </c>
      <c r="T191" s="42" t="s">
        <v>3275</v>
      </c>
      <c r="U191" s="42" t="s">
        <v>3276</v>
      </c>
      <c r="V191" s="42" t="str">
        <f>VLOOKUP(D191,[1]ALL!$A$15:$Z$983,3,FALSE)</f>
        <v>TTL-ELC</v>
      </c>
      <c r="W191" s="43"/>
      <c r="X191" s="43"/>
      <c r="Y191" s="43"/>
      <c r="Z191" s="43"/>
      <c r="AA191" s="43"/>
      <c r="AB191" s="43"/>
      <c r="AC191" s="43"/>
      <c r="AD191" s="43">
        <v>3535.1359999999995</v>
      </c>
      <c r="AE191" s="43">
        <v>6530.3175000000001</v>
      </c>
      <c r="AF191" s="43">
        <v>6439.5134999999991</v>
      </c>
      <c r="AG191" s="43">
        <v>6431.7645000000011</v>
      </c>
      <c r="AH191" s="43">
        <v>5750.84</v>
      </c>
      <c r="AI191" s="43">
        <v>5051.33</v>
      </c>
      <c r="AJ191" s="43">
        <v>5054.25</v>
      </c>
      <c r="AK191" s="43">
        <v>5583.05</v>
      </c>
      <c r="AL191" s="44"/>
      <c r="AM191" s="45">
        <f>VLOOKUP($B191,'[2]E.U.'!$R$9:$AZ$205,11,FALSE)</f>
        <v>431.82</v>
      </c>
      <c r="AN191" s="45">
        <f>VLOOKUP($B191,'[3]E.U.'!$R9:$AZ$225,11,FALSE)</f>
        <v>487.88</v>
      </c>
      <c r="AO191" s="45">
        <f>VLOOKUP($B191,'[4]E.U.'!$R$9:$BZ$225,11,FALSE)</f>
        <v>354.99346085484524</v>
      </c>
      <c r="AP191" s="45">
        <f>VLOOKUP($B191,'[5]E.U.'!$R$9:$BZ$225,11,FALSE)</f>
        <v>451.80705723700038</v>
      </c>
      <c r="AQ191" s="45">
        <f>VLOOKUP($B191,'[6]E.U.'!$R$9:$CA$225,11,FALSE)</f>
        <v>526.10738823689178</v>
      </c>
      <c r="AR191" s="45">
        <f>VLOOKUP(B191,'[7]E.U.'!$R$9:$AZ$225,11,FALSE)</f>
        <v>550.07128989226464</v>
      </c>
      <c r="AS191" s="45">
        <f>VLOOKUP($B191,'[8]E.U.'!$R$9:$AZ$225,11,FALSE)</f>
        <v>514.98826339586412</v>
      </c>
      <c r="AT191" s="45">
        <f>VLOOKUP($B191,'[9]E.U.'!$R$9:$AZ$221,11,FALSE)</f>
        <v>582.25381180644592</v>
      </c>
      <c r="AU191" s="45"/>
      <c r="AV191" s="45">
        <f>VLOOKUP($B191,'[10]E.U.'!$R$9:$AZ$221,11,FALSE)</f>
        <v>513.32620443445774</v>
      </c>
      <c r="AW191" s="45">
        <f>VLOOKUP($B191,'[11]E.U.'!$R$9:$AZ$220,11,FALSE)</f>
        <v>336.71372288548196</v>
      </c>
      <c r="AX191" s="252"/>
      <c r="AY191" s="45">
        <f>VLOOKUP($B191,'[12]E.U.'!$R$9:$AZ$220,11,FALSE)</f>
        <v>273.90342728282303</v>
      </c>
      <c r="AZ191" s="45"/>
      <c r="BA191" s="45">
        <f>VLOOKUP($B191,'[13]E.U.'!$R$9:$AZ$221,11,FALSE)</f>
        <v>287.64028629242193</v>
      </c>
      <c r="BB191" s="46">
        <f t="shared" si="26"/>
        <v>5311.5049123184963</v>
      </c>
      <c r="BC191" s="47" t="e">
        <f>SUM(#REF!)</f>
        <v>#REF!</v>
      </c>
      <c r="BD191" s="43" t="e">
        <f>VLOOKUP(V191,[14]ELECTRIC!$C$1:$H$4000,6,FALSE)</f>
        <v>#N/A</v>
      </c>
      <c r="BE191" s="242" t="e">
        <f t="shared" si="31"/>
        <v>#N/A</v>
      </c>
      <c r="BF191" s="48">
        <f t="shared" si="23"/>
        <v>5311.5049123184963</v>
      </c>
      <c r="BG191" s="49">
        <f t="shared" si="34"/>
        <v>9253.4003436748644</v>
      </c>
      <c r="BH191" s="43" t="e">
        <f t="shared" si="35"/>
        <v>#REF!</v>
      </c>
      <c r="BI191" s="50" t="e">
        <f t="shared" si="36"/>
        <v>#REF!</v>
      </c>
      <c r="BJ191" s="51">
        <f t="shared" si="22"/>
        <v>-4.8637409244320584E-2</v>
      </c>
      <c r="BK191" s="52"/>
      <c r="BL191" s="52"/>
      <c r="BM191" s="52"/>
      <c r="BN191" s="52"/>
      <c r="BO191" s="72"/>
      <c r="BP191" s="72" t="s">
        <v>3277</v>
      </c>
      <c r="BQ191" s="52"/>
      <c r="BR191" s="50"/>
      <c r="BS191" s="53"/>
      <c r="BT191" s="53"/>
      <c r="BU191" s="65"/>
      <c r="BV191" s="55"/>
      <c r="BW191" s="55"/>
      <c r="BX191" s="56"/>
      <c r="BY191" s="57"/>
      <c r="BZ191" s="58"/>
    </row>
    <row r="192" spans="1:78" ht="15.6" x14ac:dyDescent="0.3">
      <c r="A192" s="76" t="s">
        <v>694</v>
      </c>
      <c r="B192" s="62">
        <v>3100</v>
      </c>
      <c r="C192" s="1" t="s">
        <v>3278</v>
      </c>
      <c r="D192" t="s">
        <v>3279</v>
      </c>
      <c r="E192" s="40" t="s">
        <v>538</v>
      </c>
      <c r="F192" s="41"/>
      <c r="G192" s="42"/>
      <c r="H192" s="42"/>
      <c r="I192" s="42"/>
      <c r="J192" s="42"/>
      <c r="K192" s="42"/>
      <c r="L192" s="42"/>
      <c r="M192" s="42"/>
      <c r="N192" s="42"/>
      <c r="O192" s="42" t="s">
        <v>3280</v>
      </c>
      <c r="P192" s="42" t="s">
        <v>3281</v>
      </c>
      <c r="Q192" s="42" t="s">
        <v>3282</v>
      </c>
      <c r="R192" s="42" t="s">
        <v>3283</v>
      </c>
      <c r="S192" s="42" t="s">
        <v>3284</v>
      </c>
      <c r="T192" s="42" t="s">
        <v>3285</v>
      </c>
      <c r="U192" s="42" t="s">
        <v>3286</v>
      </c>
      <c r="V192" s="42" t="str">
        <f>VLOOKUP(D192,[1]ALL!$A$15:$Z$983,3,FALSE)</f>
        <v>TCC-NELC</v>
      </c>
      <c r="W192" s="43"/>
      <c r="X192" s="43"/>
      <c r="Y192" s="43"/>
      <c r="Z192" s="43"/>
      <c r="AA192" s="43"/>
      <c r="AB192" s="43"/>
      <c r="AC192" s="43"/>
      <c r="AD192" s="43"/>
      <c r="AE192" s="43">
        <v>28280.38</v>
      </c>
      <c r="AF192" s="43">
        <v>56243.73</v>
      </c>
      <c r="AG192" s="43">
        <v>407639.39500000002</v>
      </c>
      <c r="AH192" s="43">
        <v>405230.95</v>
      </c>
      <c r="AI192" s="43">
        <v>397019.08</v>
      </c>
      <c r="AJ192" s="43">
        <v>416262.02</v>
      </c>
      <c r="AK192" s="43">
        <v>465320.58</v>
      </c>
      <c r="AL192" s="44"/>
      <c r="AM192" s="45">
        <f>VLOOKUP(310,'[2]E.U.'!$R$9:$AZ$205,11,FALSE)</f>
        <v>36382.32</v>
      </c>
      <c r="AN192" s="45">
        <f>VLOOKUP(310,'[3]E.U.'!$R9:$AZ$225,11,FALSE)</f>
        <v>41453.56</v>
      </c>
      <c r="AO192" s="45">
        <f>VLOOKUP(310,'[4]E.U.'!$R$9:$BZ$225,11,FALSE)</f>
        <v>35856.384824713357</v>
      </c>
      <c r="AP192" s="45">
        <f>VLOOKUP(310,'[5]E.U.'!$R$9:$BZ$225,11,FALSE)</f>
        <v>37410.800837852228</v>
      </c>
      <c r="AQ192" s="45">
        <f>VLOOKUP(310,'[6]E.U.'!$R$9:$CA$225,11,FALSE)</f>
        <v>40812.51044937376</v>
      </c>
      <c r="AR192" s="45">
        <f>VLOOKUP(310,'[7]E.U.'!$R$9:$AZ$225,11,FALSE)</f>
        <v>38509.979215806023</v>
      </c>
      <c r="AS192" s="45">
        <f>VLOOKUP(310,'[8]E.U.'!$R$9:$AZ$225,11,FALSE)</f>
        <v>40886.522798470585</v>
      </c>
      <c r="AT192" s="45">
        <f>VLOOKUP(310,'[9]E.U.'!$R$9:$AZ$221,11,FALSE)</f>
        <v>34612.878861435049</v>
      </c>
      <c r="AU192" s="45"/>
      <c r="AV192" s="45">
        <f>VLOOKUP(310,'[10]E.U.'!$R$9:$AZ$221,11,FALSE)</f>
        <v>41413.364884182891</v>
      </c>
      <c r="AW192" s="45">
        <f>(VLOOKUP(310,'[11]E.U.'!$R$9:$AZ$220,11,FALSE)*1)</f>
        <v>41160.652651140452</v>
      </c>
      <c r="AX192" s="252"/>
      <c r="AY192" s="45">
        <f>VLOOKUP(310,'[12]E.U.'!$R$9:$AZ$220,11,FALSE)</f>
        <v>40969.701107756649</v>
      </c>
      <c r="AZ192" s="45"/>
      <c r="BA192" s="45">
        <f>VLOOKUP(310,'[13]E.U.'!$R$9:$AZ$221,11,FALSE)</f>
        <v>38834.499174297853</v>
      </c>
      <c r="BB192" s="46">
        <f t="shared" si="26"/>
        <v>468303.17480502883</v>
      </c>
      <c r="BC192" s="47" t="e">
        <f>SUM(#REF!)</f>
        <v>#REF!</v>
      </c>
      <c r="BD192" s="43" t="e">
        <f>VLOOKUP(V192,[14]ELECTRIC!$C$1:$H$4000,6,FALSE)</f>
        <v>#N/A</v>
      </c>
      <c r="BE192" s="242" t="e">
        <f t="shared" si="31"/>
        <v>#N/A</v>
      </c>
      <c r="BF192" s="48">
        <f t="shared" si="23"/>
        <v>468303.17480502883</v>
      </c>
      <c r="BG192" s="49"/>
      <c r="BH192" s="43" t="e">
        <f t="shared" si="35"/>
        <v>#REF!</v>
      </c>
      <c r="BI192" s="50" t="e">
        <f t="shared" si="36"/>
        <v>#REF!</v>
      </c>
      <c r="BJ192" s="51">
        <f t="shared" si="22"/>
        <v>6.4097633614847993E-3</v>
      </c>
      <c r="BK192" s="52"/>
      <c r="BL192" s="52"/>
      <c r="BM192" s="52"/>
      <c r="BN192" s="52"/>
      <c r="BO192" s="72"/>
      <c r="BP192" s="72" t="s">
        <v>3287</v>
      </c>
      <c r="BQ192" s="52"/>
      <c r="BR192" s="50"/>
      <c r="BS192" s="53"/>
      <c r="BT192" s="53"/>
      <c r="BU192" s="65"/>
      <c r="BV192" s="55"/>
      <c r="BW192" s="55"/>
      <c r="BX192" s="56"/>
      <c r="BY192" s="57"/>
      <c r="BZ192" s="58"/>
    </row>
    <row r="193" spans="1:78" ht="15.6" x14ac:dyDescent="0.3">
      <c r="A193" s="76" t="s">
        <v>694</v>
      </c>
      <c r="B193" s="62">
        <v>3101</v>
      </c>
      <c r="C193" s="207" t="s">
        <v>3288</v>
      </c>
      <c r="D193" t="s">
        <v>3289</v>
      </c>
      <c r="E193" s="229" t="s">
        <v>3290</v>
      </c>
      <c r="F193" s="41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 t="s">
        <v>3291</v>
      </c>
      <c r="R193" s="42" t="s">
        <v>3292</v>
      </c>
      <c r="S193" s="42" t="s">
        <v>3293</v>
      </c>
      <c r="T193" s="42" t="s">
        <v>3294</v>
      </c>
      <c r="U193" s="42" t="s">
        <v>3295</v>
      </c>
      <c r="V193" s="42" t="str">
        <f>VLOOKUP(D193,[1]ALL!$A$15:$Z$983,3,FALSE)</f>
        <v>TCC1NELC</v>
      </c>
      <c r="W193" s="43"/>
      <c r="X193" s="43"/>
      <c r="Y193" s="43"/>
      <c r="Z193" s="43"/>
      <c r="AA193" s="43"/>
      <c r="AB193" s="43"/>
      <c r="AC193" s="43"/>
      <c r="AD193" s="43"/>
      <c r="AE193" s="43"/>
      <c r="AF193" s="43">
        <v>0</v>
      </c>
      <c r="AG193" s="43">
        <v>310596.32</v>
      </c>
      <c r="AH193" s="43">
        <v>262902.68</v>
      </c>
      <c r="AI193" s="43">
        <v>318456.46000000002</v>
      </c>
      <c r="AJ193" s="43">
        <v>284119.49</v>
      </c>
      <c r="AK193" s="43">
        <v>337781.95</v>
      </c>
      <c r="AL193" s="44"/>
      <c r="AM193" s="45">
        <f>VLOOKUP(310.1,'[2]E.U.'!$R$9:$AZ$205,11,FALSE)</f>
        <v>16854.349999999999</v>
      </c>
      <c r="AN193" s="45">
        <f>VLOOKUP(310.1,'[3]E.U.'!$R9:$AZ$225,11,FALSE)</f>
        <v>16214.86</v>
      </c>
      <c r="AO193" s="45">
        <f>VLOOKUP(310.1,'[4]E.U.'!$R$9:$BZ$225,11,FALSE)</f>
        <v>33229.305355029748</v>
      </c>
      <c r="AP193" s="45">
        <f>VLOOKUP(310.1,'[5]E.U.'!$R$9:$BZ$225,11,FALSE)</f>
        <v>33148.653576061995</v>
      </c>
      <c r="AQ193" s="45">
        <f>VLOOKUP(310.1,'[6]E.U.'!$R$9:$CA$225,11,FALSE)</f>
        <v>37214.943903189938</v>
      </c>
      <c r="AR193" s="45">
        <f>VLOOKUP(310.1,'[7]E.U.'!$R$9:$AZ$225,11,FALSE)</f>
        <v>33422.388027739129</v>
      </c>
      <c r="AS193" s="45">
        <f>VLOOKUP(310.1,'[8]E.U.'!$R$9:$AZ$225,11,FALSE)</f>
        <v>35138.161468126083</v>
      </c>
      <c r="AT193" s="45">
        <f>VLOOKUP(310.1,'[9]E.U.'!$R$9:$AZ$221,11,FALSE)</f>
        <v>29220.98443470553</v>
      </c>
      <c r="AU193" s="45"/>
      <c r="AV193" s="45">
        <f>VLOOKUP(310.1,'[10]E.U.'!$R$9:$AZ$221,11,FALSE)</f>
        <v>32010.506205688813</v>
      </c>
      <c r="AW193" s="45">
        <f>(VLOOKUP(310.1,'[11]E.U.'!$R$9:$AZ$220,11,FALSE))</f>
        <v>32555.157751490606</v>
      </c>
      <c r="AX193" s="252"/>
      <c r="AY193" s="45">
        <f>VLOOKUP(310.1,'[12]E.U.'!$R$9:$AZ$220,11,FALSE)</f>
        <v>31162.277877712168</v>
      </c>
      <c r="AZ193" s="45"/>
      <c r="BA193" s="45">
        <f>VLOOKUP(310.1,'[13]E.U.'!$R$9:$AZ$221,11,FALSE)</f>
        <v>30683.656824535952</v>
      </c>
      <c r="BB193" s="46">
        <f t="shared" si="26"/>
        <v>360855.24542427994</v>
      </c>
      <c r="BC193" s="47" t="e">
        <f>SUM(#REF!)</f>
        <v>#REF!</v>
      </c>
      <c r="BD193" s="43" t="e">
        <f>VLOOKUP(V193,[14]ELECTRIC!$C$1:$H$4000,6,FALSE)</f>
        <v>#N/A</v>
      </c>
      <c r="BE193" s="43" t="e">
        <f t="shared" si="31"/>
        <v>#N/A</v>
      </c>
      <c r="BF193" s="48">
        <f t="shared" si="23"/>
        <v>360855.24542427994</v>
      </c>
      <c r="BG193" s="49"/>
      <c r="BH193" s="43" t="e">
        <f t="shared" si="35"/>
        <v>#REF!</v>
      </c>
      <c r="BI193" s="50" t="e">
        <f t="shared" si="36"/>
        <v>#REF!</v>
      </c>
      <c r="BJ193" s="51">
        <f t="shared" si="22"/>
        <v>6.8308254553802961E-2</v>
      </c>
      <c r="BK193" s="52"/>
      <c r="BL193" s="52"/>
      <c r="BM193" s="52"/>
      <c r="BN193" s="52"/>
      <c r="BO193" s="72"/>
      <c r="BP193" s="72"/>
      <c r="BQ193" s="52"/>
      <c r="BR193" s="50"/>
      <c r="BS193" s="53"/>
      <c r="BT193" s="53"/>
      <c r="BU193" s="65"/>
      <c r="BV193" s="55"/>
      <c r="BW193" s="55"/>
      <c r="BX193" s="56"/>
      <c r="BY193" s="57"/>
      <c r="BZ193" s="58"/>
    </row>
    <row r="194" spans="1:78" ht="15.6" x14ac:dyDescent="0.3">
      <c r="A194" s="76" t="s">
        <v>694</v>
      </c>
      <c r="B194" s="62">
        <v>3102</v>
      </c>
      <c r="C194" s="207" t="s">
        <v>3296</v>
      </c>
      <c r="D194" t="s">
        <v>3297</v>
      </c>
      <c r="E194" s="40" t="s">
        <v>542</v>
      </c>
      <c r="F194" s="41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 t="s">
        <v>3298</v>
      </c>
      <c r="R194" s="42" t="s">
        <v>3299</v>
      </c>
      <c r="S194" s="42" t="s">
        <v>3300</v>
      </c>
      <c r="T194" s="42" t="s">
        <v>3301</v>
      </c>
      <c r="U194" s="42" t="s">
        <v>3302</v>
      </c>
      <c r="V194" s="42" t="str">
        <f>VLOOKUP(D194,[1]ALL!$A$15:$Z$983,3,FALSE)</f>
        <v>TCC2-ELC</v>
      </c>
      <c r="W194" s="43"/>
      <c r="X194" s="43"/>
      <c r="Y194" s="43"/>
      <c r="Z194" s="43"/>
      <c r="AA194" s="43"/>
      <c r="AB194" s="43"/>
      <c r="AC194" s="43"/>
      <c r="AD194" s="43"/>
      <c r="AE194" s="43"/>
      <c r="AF194" s="43">
        <v>0</v>
      </c>
      <c r="AG194" s="43">
        <v>69807.289999999994</v>
      </c>
      <c r="AH194" s="43">
        <v>70952.009999999995</v>
      </c>
      <c r="AI194" s="43">
        <v>72425.279999999999</v>
      </c>
      <c r="AJ194" s="43">
        <v>72539.09</v>
      </c>
      <c r="AK194" s="43">
        <v>88383.26</v>
      </c>
      <c r="AL194" s="44"/>
      <c r="AM194" s="45">
        <f>VLOOKUP(310.2,'[2]E.U.'!$R$9:$AZ$205,11,FALSE)</f>
        <v>8436.85</v>
      </c>
      <c r="AN194" s="45">
        <f>VLOOKUP(310.2,'[3]E.U.'!$R9:$AZ$225,11,FALSE)</f>
        <v>9216.1299999999992</v>
      </c>
      <c r="AO194" s="45">
        <f>VLOOKUP(310.2,'[4]E.U.'!$R$9:$BZ$225,11,FALSE)</f>
        <v>0</v>
      </c>
      <c r="AP194" s="45">
        <f>VLOOKUP(310.2,'[5]E.U.'!$R$9:$BZ$225,11,FALSE)</f>
        <v>0</v>
      </c>
      <c r="AQ194" s="45">
        <f>VLOOKUP(310.2,'[6]E.U.'!$R$9:$CA$225,11,FALSE)</f>
        <v>0</v>
      </c>
      <c r="AR194" s="45">
        <f>VLOOKUP(310.2,'[7]E.U.'!$R$9:$AZ$225,11,FALSE)</f>
        <v>0</v>
      </c>
      <c r="AS194" s="45">
        <f>VLOOKUP(310.2,'[8]E.U.'!$R$9:$AZ$225,11,FALSE)</f>
        <v>0</v>
      </c>
      <c r="AT194" s="45">
        <f>VLOOKUP(310.2,'[9]E.U.'!$R$9:$AZ$221,11,FALSE)</f>
        <v>0</v>
      </c>
      <c r="AU194" s="45"/>
      <c r="AV194" s="45">
        <f>VLOOKUP(310.2,'[10]E.U.'!$R$9:$AZ$221,11,FALSE)</f>
        <v>0</v>
      </c>
      <c r="AW194" s="45">
        <f>(VLOOKUP(310.2,'[11]E.U.'!$R$9:$AZ$220,11,FALSE))</f>
        <v>0</v>
      </c>
      <c r="AX194" s="252"/>
      <c r="AY194" s="45">
        <f>VLOOKUP(310.2,'[12]E.U.'!$R$9:$AZ$220,11,FALSE)</f>
        <v>0</v>
      </c>
      <c r="AZ194" s="45"/>
      <c r="BA194" s="45">
        <f>VLOOKUP(310.2,'[13]E.U.'!$R$9:$AZ$221,11,FALSE)</f>
        <v>0</v>
      </c>
      <c r="BB194" s="46">
        <f t="shared" si="26"/>
        <v>17652.98</v>
      </c>
      <c r="BC194" s="47" t="e">
        <f>SUM(#REF!)</f>
        <v>#REF!</v>
      </c>
      <c r="BD194" s="43" t="e">
        <f>VLOOKUP(V194,[14]ELECTRIC!$C$1:$H$4000,6,FALSE)</f>
        <v>#N/A</v>
      </c>
      <c r="BE194" s="43" t="e">
        <f t="shared" si="31"/>
        <v>#N/A</v>
      </c>
      <c r="BF194" s="48">
        <f t="shared" si="23"/>
        <v>17652.98</v>
      </c>
      <c r="BG194" s="49"/>
      <c r="BH194" s="43" t="e">
        <f t="shared" si="35"/>
        <v>#REF!</v>
      </c>
      <c r="BI194" s="50" t="e">
        <f t="shared" si="36"/>
        <v>#REF!</v>
      </c>
      <c r="BJ194" s="51">
        <f t="shared" si="22"/>
        <v>-0.80026783352413111</v>
      </c>
      <c r="BK194" s="52"/>
      <c r="BL194" s="52"/>
      <c r="BM194" s="52"/>
      <c r="BN194" s="52"/>
      <c r="BO194" s="72"/>
      <c r="BP194" s="72"/>
      <c r="BQ194" s="52"/>
      <c r="BR194" s="50"/>
      <c r="BS194" s="53"/>
      <c r="BT194" s="53"/>
      <c r="BU194" s="65"/>
      <c r="BV194" s="55"/>
      <c r="BW194" s="55"/>
      <c r="BX194" s="56"/>
      <c r="BY194" s="57"/>
      <c r="BZ194" s="58"/>
    </row>
    <row r="195" spans="1:78" ht="15.6" x14ac:dyDescent="0.3">
      <c r="A195" s="76" t="s">
        <v>694</v>
      </c>
      <c r="B195" s="62">
        <v>3120</v>
      </c>
      <c r="C195" s="215" t="s">
        <v>543</v>
      </c>
      <c r="D195" t="s">
        <v>3303</v>
      </c>
      <c r="E195" s="40" t="s">
        <v>544</v>
      </c>
      <c r="F195" s="41"/>
      <c r="G195" s="42"/>
      <c r="H195" s="42"/>
      <c r="I195" s="42"/>
      <c r="J195" s="42"/>
      <c r="K195" s="42"/>
      <c r="L195" s="42"/>
      <c r="M195" s="42"/>
      <c r="N195" s="42"/>
      <c r="O195" s="42"/>
      <c r="P195" s="42" t="s">
        <v>3304</v>
      </c>
      <c r="Q195" s="42" t="s">
        <v>3305</v>
      </c>
      <c r="R195" s="42" t="s">
        <v>3306</v>
      </c>
      <c r="S195" s="42" t="s">
        <v>3307</v>
      </c>
      <c r="T195" s="42" t="s">
        <v>3308</v>
      </c>
      <c r="U195" s="42" t="s">
        <v>3309</v>
      </c>
      <c r="V195" s="42" t="str">
        <f>VLOOKUP(D195,[1]ALL!$A$15:$Z$983,3,FALSE)</f>
        <v>SCB-NELC</v>
      </c>
      <c r="W195" s="43"/>
      <c r="X195" s="43"/>
      <c r="Y195" s="43"/>
      <c r="Z195" s="43"/>
      <c r="AA195" s="43"/>
      <c r="AB195" s="43"/>
      <c r="AC195" s="43"/>
      <c r="AD195" s="43"/>
      <c r="AE195" s="43">
        <v>513.91</v>
      </c>
      <c r="AF195" s="43">
        <v>8046.46</v>
      </c>
      <c r="AG195" s="43">
        <v>42119.16</v>
      </c>
      <c r="AH195" s="43">
        <v>47186.35</v>
      </c>
      <c r="AI195" s="43">
        <v>49161.53</v>
      </c>
      <c r="AJ195" s="43">
        <v>49225.16</v>
      </c>
      <c r="AK195" s="43">
        <v>56244.13</v>
      </c>
      <c r="AL195" s="44"/>
      <c r="AM195" s="45">
        <f>VLOOKUP($B195,'[2]E.U.'!$R$9:$AZ$205,11,FALSE)</f>
        <v>4632.45</v>
      </c>
      <c r="AN195" s="45">
        <f>VLOOKUP($B195,'[3]E.U.'!$R9:$AZ$225,11,FALSE)</f>
        <v>4460.8599999999997</v>
      </c>
      <c r="AO195" s="45">
        <f>VLOOKUP($B195,'[4]E.U.'!$R$9:$BZ$225,11,FALSE)</f>
        <v>4716.3768369476647</v>
      </c>
      <c r="AP195" s="45">
        <f>VLOOKUP($B195,'[5]E.U.'!$R$9:$BZ$225,11,FALSE)</f>
        <v>4407.3794821842275</v>
      </c>
      <c r="AQ195" s="45">
        <f>VLOOKUP($B195,'[6]E.U.'!$R$9:$CA$225,11,FALSE)</f>
        <v>5193.0465742954539</v>
      </c>
      <c r="AR195" s="45">
        <f>VLOOKUP(B195,'[7]E.U.'!$R$9:$AZ$225,11,FALSE)</f>
        <v>4760.1824680272402</v>
      </c>
      <c r="AS195" s="45">
        <f>VLOOKUP($B195,'[8]E.U.'!$R$9:$AZ$225,11,FALSE)</f>
        <v>5315.6568577023918</v>
      </c>
      <c r="AT195" s="45">
        <f>VLOOKUP($B195,'[9]E.U.'!$R$9:$AZ$221,11,FALSE)</f>
        <v>4399.7416906849521</v>
      </c>
      <c r="AU195" s="45"/>
      <c r="AV195" s="45">
        <f>VLOOKUP($B195,'[10]E.U.'!$R$9:$AZ$221,11,FALSE)</f>
        <v>4228.6289075969462</v>
      </c>
      <c r="AW195" s="45">
        <f>VLOOKUP($B195,'[11]E.U.'!$R$9:$AZ$220,11,FALSE)</f>
        <v>4264.3800954538638</v>
      </c>
      <c r="AX195" s="252"/>
      <c r="AY195" s="45">
        <f>VLOOKUP($B195,'[12]E.U.'!$R$9:$AZ$220,11,FALSE)</f>
        <v>4342.5670157873446</v>
      </c>
      <c r="AZ195" s="45"/>
      <c r="BA195" s="45">
        <f>VLOOKUP($B195,'[13]E.U.'!$R$9:$AZ$221,11,FALSE)</f>
        <v>4325.4986528516556</v>
      </c>
      <c r="BB195" s="46">
        <f t="shared" si="26"/>
        <v>55046.768581531738</v>
      </c>
      <c r="BC195" s="47" t="e">
        <f>SUM(#REF!)</f>
        <v>#REF!</v>
      </c>
      <c r="BD195" s="43" t="e">
        <f>VLOOKUP(V195,[14]ELECTRIC!$C$1:$H$4000,6,FALSE)</f>
        <v>#N/A</v>
      </c>
      <c r="BE195" s="242" t="e">
        <f t="shared" si="31"/>
        <v>#N/A</v>
      </c>
      <c r="BF195" s="48">
        <f t="shared" si="23"/>
        <v>55046.768581531738</v>
      </c>
      <c r="BG195" s="49"/>
      <c r="BH195" s="43" t="e">
        <f t="shared" si="35"/>
        <v>#REF!</v>
      </c>
      <c r="BI195" s="50" t="e">
        <f t="shared" si="36"/>
        <v>#REF!</v>
      </c>
      <c r="BJ195" s="51">
        <f t="shared" si="22"/>
        <v>-2.1288646805777911E-2</v>
      </c>
      <c r="BK195" s="52"/>
      <c r="BL195" s="52"/>
      <c r="BM195" s="52"/>
      <c r="BN195" s="52"/>
      <c r="BO195" s="72"/>
      <c r="BP195" s="72" t="s">
        <v>3310</v>
      </c>
      <c r="BQ195" s="52"/>
      <c r="BR195" s="50"/>
      <c r="BS195" s="53"/>
      <c r="BT195" s="53"/>
      <c r="BU195" s="65"/>
      <c r="BV195" s="55"/>
      <c r="BW195" s="55"/>
      <c r="BX195" s="56"/>
      <c r="BY195" s="57"/>
      <c r="BZ195" s="58"/>
    </row>
    <row r="196" spans="1:78" ht="15.6" x14ac:dyDescent="0.3">
      <c r="A196" s="76" t="s">
        <v>694</v>
      </c>
      <c r="B196" s="62">
        <v>3130</v>
      </c>
      <c r="C196" s="215" t="s">
        <v>3311</v>
      </c>
      <c r="D196" t="s">
        <v>3312</v>
      </c>
      <c r="E196" s="40" t="s">
        <v>546</v>
      </c>
      <c r="F196" s="41"/>
      <c r="G196" s="42"/>
      <c r="H196" s="42"/>
      <c r="I196" s="42"/>
      <c r="J196" s="42"/>
      <c r="K196" s="42"/>
      <c r="L196" s="42"/>
      <c r="M196" s="42"/>
      <c r="N196" s="42"/>
      <c r="O196" s="42"/>
      <c r="P196" s="42" t="s">
        <v>3313</v>
      </c>
      <c r="Q196" s="42" t="s">
        <v>3314</v>
      </c>
      <c r="R196" s="42" t="s">
        <v>3315</v>
      </c>
      <c r="S196" s="42" t="s">
        <v>3316</v>
      </c>
      <c r="T196" s="42" t="s">
        <v>3317</v>
      </c>
      <c r="U196" s="42" t="s">
        <v>3318</v>
      </c>
      <c r="V196" s="42" t="str">
        <f>VLOOKUP(D196,[1]ALL!$A$15:$Z$983,3,FALSE)</f>
        <v>SCC-NELC</v>
      </c>
      <c r="W196" s="43"/>
      <c r="X196" s="43"/>
      <c r="Y196" s="43"/>
      <c r="Z196" s="43"/>
      <c r="AA196" s="43"/>
      <c r="AB196" s="43"/>
      <c r="AC196" s="43"/>
      <c r="AD196" s="43"/>
      <c r="AE196" s="43"/>
      <c r="AF196" s="43">
        <v>0</v>
      </c>
      <c r="AG196" s="43">
        <v>13393.149000000001</v>
      </c>
      <c r="AH196" s="43">
        <v>12807.17</v>
      </c>
      <c r="AI196" s="43">
        <v>11607.11</v>
      </c>
      <c r="AJ196" s="43">
        <v>12451.04</v>
      </c>
      <c r="AK196" s="43">
        <v>12604.7</v>
      </c>
      <c r="AL196" s="44"/>
      <c r="AM196" s="45">
        <f>VLOOKUP($B196,'[2]E.U.'!$R$9:$AZ$205,11,FALSE)</f>
        <v>965.3</v>
      </c>
      <c r="AN196" s="45">
        <f>VLOOKUP($B196,'[3]E.U.'!$R9:$AZ$225,11,FALSE)</f>
        <v>1121.77</v>
      </c>
      <c r="AO196" s="45">
        <f>VLOOKUP($B196,'[4]E.U.'!$R$9:$BZ$225,11,FALSE)</f>
        <v>877.96158934133643</v>
      </c>
      <c r="AP196" s="45">
        <f>VLOOKUP($B196,'[5]E.U.'!$R$9:$BZ$225,11,FALSE)</f>
        <v>860.42640699416677</v>
      </c>
      <c r="AQ196" s="45">
        <f>VLOOKUP($B196,'[6]E.U.'!$R$9:$CA$225,11,FALSE)</f>
        <v>1320.2227992546043</v>
      </c>
      <c r="AR196" s="45">
        <f>VLOOKUP(B196,'[7]E.U.'!$R$9:$AZ$225,11,FALSE)</f>
        <v>1308.5534505362732</v>
      </c>
      <c r="AS196" s="45">
        <f>VLOOKUP($B196,'[8]E.U.'!$R$9:$AZ$225,11,FALSE)</f>
        <v>1727.412803891596</v>
      </c>
      <c r="AT196" s="45">
        <f>VLOOKUP($B196,'[9]E.U.'!$R$9:$AZ$221,11,FALSE)</f>
        <v>858.55136621134432</v>
      </c>
      <c r="AU196" s="45"/>
      <c r="AV196" s="45">
        <f>VLOOKUP($B196,'[10]E.U.'!$R$9:$AZ$221,11,FALSE)</f>
        <v>800.68561475718116</v>
      </c>
      <c r="AW196" s="45">
        <f>VLOOKUP($B196,'[11]E.U.'!$R$9:$AZ$220,11,FALSE)</f>
        <v>1113.8553463358305</v>
      </c>
      <c r="AX196" s="252"/>
      <c r="AY196" s="45">
        <f>VLOOKUP($B196,'[12]E.U.'!$R$9:$AZ$220,11,FALSE)</f>
        <v>871.2016575711682</v>
      </c>
      <c r="AZ196" s="45"/>
      <c r="BA196" s="45">
        <f>VLOOKUP($B196,'[13]E.U.'!$R$9:$AZ$221,11,FALSE)</f>
        <v>849.05388657144624</v>
      </c>
      <c r="BB196" s="46">
        <f t="shared" si="26"/>
        <v>12674.994921464948</v>
      </c>
      <c r="BC196" s="47" t="e">
        <f>SUM(#REF!)</f>
        <v>#REF!</v>
      </c>
      <c r="BD196" s="43" t="e">
        <f>VLOOKUP(V196,[14]ELECTRIC!$C$1:$H$4000,6,FALSE)</f>
        <v>#N/A</v>
      </c>
      <c r="BE196" s="242" t="e">
        <f t="shared" si="31"/>
        <v>#N/A</v>
      </c>
      <c r="BF196" s="48">
        <f t="shared" si="23"/>
        <v>12674.994921464948</v>
      </c>
      <c r="BG196" s="49"/>
      <c r="BH196" s="43" t="e">
        <f t="shared" si="35"/>
        <v>#REF!</v>
      </c>
      <c r="BI196" s="50" t="e">
        <f t="shared" si="36"/>
        <v>#REF!</v>
      </c>
      <c r="BJ196" s="51">
        <f t="shared" si="22"/>
        <v>5.5768817556107741E-3</v>
      </c>
      <c r="BK196" s="52"/>
      <c r="BL196" s="52"/>
      <c r="BM196" s="52"/>
      <c r="BN196" s="52"/>
      <c r="BO196" s="72"/>
      <c r="BP196" s="72"/>
      <c r="BQ196" s="52"/>
      <c r="BR196" s="50"/>
      <c r="BS196" s="53"/>
      <c r="BT196" s="53"/>
      <c r="BU196" s="65"/>
      <c r="BV196" s="55"/>
      <c r="BW196" s="55"/>
      <c r="BX196" s="56"/>
      <c r="BY196" s="57"/>
      <c r="BZ196" s="58"/>
    </row>
    <row r="197" spans="1:78" ht="15.6" x14ac:dyDescent="0.3">
      <c r="A197" s="76" t="s">
        <v>694</v>
      </c>
      <c r="B197" s="62">
        <v>3140</v>
      </c>
      <c r="C197" s="215" t="s">
        <v>3319</v>
      </c>
      <c r="D197" t="s">
        <v>3320</v>
      </c>
      <c r="E197" s="40" t="s">
        <v>548</v>
      </c>
      <c r="F197" s="41"/>
      <c r="G197" s="42"/>
      <c r="H197" s="42"/>
      <c r="I197" s="42"/>
      <c r="J197" s="42"/>
      <c r="K197" s="42"/>
      <c r="L197" s="42"/>
      <c r="M197" s="42"/>
      <c r="N197" s="42"/>
      <c r="O197" s="42"/>
      <c r="P197" s="42" t="s">
        <v>3321</v>
      </c>
      <c r="Q197" s="42" t="s">
        <v>3322</v>
      </c>
      <c r="R197" s="42" t="s">
        <v>3323</v>
      </c>
      <c r="S197" s="42" t="s">
        <v>3324</v>
      </c>
      <c r="T197" s="42" t="s">
        <v>3325</v>
      </c>
      <c r="U197" s="42" t="s">
        <v>3326</v>
      </c>
      <c r="V197" s="42" t="str">
        <f>VLOOKUP(D197,[1]ALL!$A$15:$Z$983,3,FALSE)</f>
        <v>SCX-NELC</v>
      </c>
      <c r="W197" s="43"/>
      <c r="X197" s="43"/>
      <c r="Y197" s="43"/>
      <c r="Z197" s="43"/>
      <c r="AA197" s="43"/>
      <c r="AB197" s="43"/>
      <c r="AC197" s="43"/>
      <c r="AD197" s="43"/>
      <c r="AE197" s="43"/>
      <c r="AF197" s="43">
        <v>1504.3035000000002</v>
      </c>
      <c r="AG197" s="43">
        <v>14556.391500000002</v>
      </c>
      <c r="AH197" s="43">
        <v>15002.03</v>
      </c>
      <c r="AI197" s="43">
        <v>13787.1</v>
      </c>
      <c r="AJ197" s="43">
        <v>14829.62</v>
      </c>
      <c r="AK197" s="43">
        <v>15709.88</v>
      </c>
      <c r="AL197" s="44"/>
      <c r="AM197" s="45">
        <f>VLOOKUP($B197,'[2]E.U.'!$R$9:$AZ$205,11,FALSE)</f>
        <v>1191.8499999999999</v>
      </c>
      <c r="AN197" s="45">
        <f>VLOOKUP($B197,'[3]E.U.'!$R9:$AZ$225,11,FALSE)</f>
        <v>1351.82</v>
      </c>
      <c r="AO197" s="45">
        <f>VLOOKUP($B197,'[4]E.U.'!$R$9:$BZ$225,11,FALSE)</f>
        <v>1209.1673990826441</v>
      </c>
      <c r="AP197" s="45">
        <f>VLOOKUP($B197,'[5]E.U.'!$R$9:$BZ$225,11,FALSE)</f>
        <v>1150.0425323883808</v>
      </c>
      <c r="AQ197" s="45">
        <f>VLOOKUP($B197,'[6]E.U.'!$R$9:$CA$225,11,FALSE)</f>
        <v>1344.9376384053426</v>
      </c>
      <c r="AR197" s="45">
        <f>VLOOKUP(B197,'[7]E.U.'!$R$9:$AZ$225,11,FALSE)</f>
        <v>1221.0635316984135</v>
      </c>
      <c r="AS197" s="45">
        <f>VLOOKUP($B197,'[8]E.U.'!$R$9:$AZ$225,11,FALSE)</f>
        <v>1294.1098130655726</v>
      </c>
      <c r="AT197" s="45">
        <f>VLOOKUP($B197,'[9]E.U.'!$R$9:$AZ$221,11,FALSE)</f>
        <v>1048.7624670704288</v>
      </c>
      <c r="AU197" s="45"/>
      <c r="AV197" s="45">
        <f>VLOOKUP($B197,'[10]E.U.'!$R$9:$AZ$221,11,FALSE)</f>
        <v>1074.9115640734974</v>
      </c>
      <c r="AW197" s="45">
        <f>VLOOKUP($B197,'[11]E.U.'!$R$9:$AZ$220,11,FALSE)</f>
        <v>1068.3121954926596</v>
      </c>
      <c r="AX197" s="252"/>
      <c r="AY197" s="45">
        <f>VLOOKUP($B197,'[12]E.U.'!$R$9:$AZ$220,11,FALSE)</f>
        <v>1085.0072384513821</v>
      </c>
      <c r="AZ197" s="45"/>
      <c r="BA197" s="45">
        <f>VLOOKUP($B197,'[13]E.U.'!$R$9:$AZ$221,11,FALSE)</f>
        <v>1056.3308663019343</v>
      </c>
      <c r="BB197" s="46">
        <f t="shared" si="26"/>
        <v>14096.315246030255</v>
      </c>
      <c r="BC197" s="47" t="e">
        <f>SUM(#REF!)</f>
        <v>#REF!</v>
      </c>
      <c r="BD197" s="43" t="e">
        <f>VLOOKUP(V197,[14]ELECTRIC!$C$1:$H$4000,6,FALSE)</f>
        <v>#N/A</v>
      </c>
      <c r="BE197" s="242" t="e">
        <f t="shared" si="31"/>
        <v>#N/A</v>
      </c>
      <c r="BF197" s="48">
        <f t="shared" si="23"/>
        <v>14096.315246030255</v>
      </c>
      <c r="BG197" s="49"/>
      <c r="BH197" s="43" t="e">
        <f t="shared" si="35"/>
        <v>#REF!</v>
      </c>
      <c r="BI197" s="50" t="e">
        <f t="shared" si="36"/>
        <v>#REF!</v>
      </c>
      <c r="BJ197" s="51">
        <f t="shared" si="22"/>
        <v>-0.10271018963669643</v>
      </c>
      <c r="BK197" s="52"/>
      <c r="BL197" s="52"/>
      <c r="BM197" s="52"/>
      <c r="BN197" s="52"/>
      <c r="BO197" s="72"/>
      <c r="BP197" s="72"/>
      <c r="BQ197" s="52"/>
      <c r="BR197" s="50"/>
      <c r="BS197" s="53"/>
      <c r="BT197" s="53"/>
      <c r="BU197" s="65"/>
      <c r="BV197" s="55"/>
      <c r="BW197" s="55"/>
      <c r="BX197" s="56"/>
      <c r="BY197" s="57"/>
      <c r="BZ197" s="58"/>
    </row>
    <row r="198" spans="1:78" ht="15.6" x14ac:dyDescent="0.3">
      <c r="A198" s="76" t="s">
        <v>694</v>
      </c>
      <c r="B198" s="62">
        <v>3150</v>
      </c>
      <c r="C198" s="215" t="s">
        <v>3327</v>
      </c>
      <c r="D198" t="s">
        <v>3328</v>
      </c>
      <c r="E198" s="40" t="s">
        <v>550</v>
      </c>
      <c r="F198" s="41"/>
      <c r="G198" s="42"/>
      <c r="H198" s="42"/>
      <c r="I198" s="42"/>
      <c r="J198" s="42"/>
      <c r="K198" s="42"/>
      <c r="L198" s="42"/>
      <c r="M198" s="42"/>
      <c r="N198" s="42"/>
      <c r="O198" s="42"/>
      <c r="P198" s="42" t="s">
        <v>3329</v>
      </c>
      <c r="Q198" s="42" t="s">
        <v>3330</v>
      </c>
      <c r="R198" s="42" t="s">
        <v>3331</v>
      </c>
      <c r="S198" s="42" t="s">
        <v>3332</v>
      </c>
      <c r="T198" s="42" t="s">
        <v>3333</v>
      </c>
      <c r="U198" s="42" t="s">
        <v>3334</v>
      </c>
      <c r="V198" s="42" t="str">
        <f>VLOOKUP(D198,[1]ALL!$A$15:$Z$983,3,FALSE)</f>
        <v>SCE-NELC</v>
      </c>
      <c r="W198" s="43"/>
      <c r="X198" s="43"/>
      <c r="Y198" s="43"/>
      <c r="Z198" s="43"/>
      <c r="AA198" s="43"/>
      <c r="AB198" s="43"/>
      <c r="AC198" s="43"/>
      <c r="AD198" s="43"/>
      <c r="AE198" s="43"/>
      <c r="AF198" s="43">
        <v>619.46850000000006</v>
      </c>
      <c r="AG198" s="43">
        <v>7191.1875</v>
      </c>
      <c r="AH198" s="43">
        <v>8575.2800000000007</v>
      </c>
      <c r="AI198" s="43">
        <v>8698.67</v>
      </c>
      <c r="AJ198" s="43">
        <v>9053.7000000000007</v>
      </c>
      <c r="AK198" s="43">
        <v>9020.33</v>
      </c>
      <c r="AL198" s="44"/>
      <c r="AM198" s="45">
        <f>VLOOKUP($B198,'[2]E.U.'!$R$9:$AZ$205,11,FALSE)</f>
        <v>619.46</v>
      </c>
      <c r="AN198" s="45">
        <f>VLOOKUP($B198,'[3]E.U.'!$R9:$AZ$225,11,FALSE)</f>
        <v>763.35</v>
      </c>
      <c r="AO198" s="45">
        <f>VLOOKUP($B198,'[4]E.U.'!$R$9:$BZ$225,11,FALSE)</f>
        <v>669.07122814769127</v>
      </c>
      <c r="AP198" s="45">
        <f>VLOOKUP($B198,'[5]E.U.'!$R$9:$BZ$225,11,FALSE)</f>
        <v>527.10660062836098</v>
      </c>
      <c r="AQ198" s="45">
        <f>VLOOKUP($B198,'[6]E.U.'!$R$9:$CA$225,11,FALSE)</f>
        <v>785.53237710937447</v>
      </c>
      <c r="AR198" s="45">
        <f>VLOOKUP(B198,'[7]E.U.'!$R$9:$AZ$225,11,FALSE)</f>
        <v>801.53842641093365</v>
      </c>
      <c r="AS198" s="45">
        <f>VLOOKUP($B198,'[8]E.U.'!$R$9:$AZ$225,11,FALSE)</f>
        <v>716.20563232856034</v>
      </c>
      <c r="AT198" s="45">
        <f>VLOOKUP($B198,'[9]E.U.'!$R$9:$AZ$221,11,FALSE)</f>
        <v>491.89911763692766</v>
      </c>
      <c r="AU198" s="45"/>
      <c r="AV198" s="45">
        <f>VLOOKUP($B198,'[10]E.U.'!$R$9:$AZ$221,11,FALSE)</f>
        <v>637.52776160611029</v>
      </c>
      <c r="AW198" s="45">
        <f>VLOOKUP($B198,'[11]E.U.'!$R$9:$AZ$220,11,FALSE)</f>
        <v>637.899427068215</v>
      </c>
      <c r="AX198" s="252"/>
      <c r="AY198" s="45">
        <f>VLOOKUP($B198,'[12]E.U.'!$R$9:$AZ$220,11,FALSE)</f>
        <v>502.36516709752533</v>
      </c>
      <c r="AZ198" s="45"/>
      <c r="BA198" s="45">
        <f>VLOOKUP($B198,'[13]E.U.'!$R$9:$AZ$221,11,FALSE)</f>
        <v>534.62773715902176</v>
      </c>
      <c r="BB198" s="46">
        <f t="shared" si="26"/>
        <v>7686.5834751927196</v>
      </c>
      <c r="BC198" s="47" t="e">
        <f>SUM(#REF!)</f>
        <v>#REF!</v>
      </c>
      <c r="BD198" s="43" t="e">
        <f>VLOOKUP(V198,[14]ELECTRIC!$C$1:$H$4000,6,FALSE)</f>
        <v>#N/A</v>
      </c>
      <c r="BE198" s="242" t="e">
        <f t="shared" si="31"/>
        <v>#N/A</v>
      </c>
      <c r="BF198" s="48">
        <f t="shared" si="23"/>
        <v>7686.5834751927196</v>
      </c>
      <c r="BG198" s="49"/>
      <c r="BH198" s="43" t="e">
        <f t="shared" si="35"/>
        <v>#REF!</v>
      </c>
      <c r="BI198" s="50" t="e">
        <f t="shared" si="36"/>
        <v>#REF!</v>
      </c>
      <c r="BJ198" s="51">
        <f t="shared" si="22"/>
        <v>-0.14786005886783304</v>
      </c>
      <c r="BK198" s="52"/>
      <c r="BL198" s="52"/>
      <c r="BM198" s="52"/>
      <c r="BN198" s="52"/>
      <c r="BO198" s="72"/>
      <c r="BP198" s="72"/>
      <c r="BQ198" s="52"/>
      <c r="BR198" s="50"/>
      <c r="BS198" s="53"/>
      <c r="BT198" s="53"/>
      <c r="BU198" s="65"/>
      <c r="BV198" s="55"/>
      <c r="BW198" s="55"/>
      <c r="BX198" s="56"/>
      <c r="BY198" s="57"/>
      <c r="BZ198" s="58"/>
    </row>
    <row r="199" spans="1:78" ht="15.6" x14ac:dyDescent="0.3">
      <c r="A199" s="76" t="s">
        <v>1222</v>
      </c>
      <c r="B199" s="62">
        <v>3160</v>
      </c>
      <c r="C199" s="215" t="s">
        <v>551</v>
      </c>
      <c r="D199" t="s">
        <v>3335</v>
      </c>
      <c r="E199" s="40" t="s">
        <v>552</v>
      </c>
      <c r="F199" s="41"/>
      <c r="G199" s="42"/>
      <c r="H199" s="42"/>
      <c r="I199" s="42"/>
      <c r="J199" s="42"/>
      <c r="K199" s="42"/>
      <c r="L199" s="42"/>
      <c r="M199" s="42"/>
      <c r="N199" s="42"/>
      <c r="O199" s="42"/>
      <c r="P199" s="42" t="s">
        <v>3336</v>
      </c>
      <c r="Q199" s="42" t="s">
        <v>3337</v>
      </c>
      <c r="R199" s="42" t="s">
        <v>3338</v>
      </c>
      <c r="S199" s="42" t="s">
        <v>3339</v>
      </c>
      <c r="T199" s="42" t="s">
        <v>3340</v>
      </c>
      <c r="U199" s="42" t="s">
        <v>3341</v>
      </c>
      <c r="V199" s="42" t="str">
        <f>VLOOKUP(D199,[1]ALL!$A$15:$Z$983,3,FALSE)</f>
        <v>CDF-ELC</v>
      </c>
      <c r="W199" s="43"/>
      <c r="X199" s="43"/>
      <c r="Y199" s="43"/>
      <c r="Z199" s="43"/>
      <c r="AA199" s="43"/>
      <c r="AB199" s="43"/>
      <c r="AC199" s="43"/>
      <c r="AD199" s="190"/>
      <c r="AE199" s="43">
        <v>0</v>
      </c>
      <c r="AF199" s="43">
        <v>51050.888450399048</v>
      </c>
      <c r="AG199" s="43">
        <v>57554.126629666454</v>
      </c>
      <c r="AH199" s="43">
        <v>62611.33</v>
      </c>
      <c r="AI199" s="43">
        <v>64474.85</v>
      </c>
      <c r="AJ199" s="43">
        <v>68589.58</v>
      </c>
      <c r="AK199" s="43">
        <v>88680.2</v>
      </c>
      <c r="AL199" s="44"/>
      <c r="AM199" s="45">
        <f>VLOOKUP($B199,'[2]E.U.'!$R$9:$AZ$205,11,FALSE)</f>
        <v>8219.6155254938403</v>
      </c>
      <c r="AN199" s="45">
        <f>VLOOKUP($B199,'[3]E.U.'!$R9:$AZ$225,11,FALSE)</f>
        <v>8908.9808724407358</v>
      </c>
      <c r="AO199" s="45">
        <f>VLOOKUP($B199,'[4]E.U.'!$R$9:$BZ$225,11,FALSE)</f>
        <v>8500.7093294227016</v>
      </c>
      <c r="AP199" s="45">
        <f>VLOOKUP($B199,'[5]E.U.'!$R$9:$BZ$225,11,FALSE)</f>
        <v>8043.3643917477411</v>
      </c>
      <c r="AQ199" s="45">
        <f>VLOOKUP($B199,'[6]E.U.'!$R$9:$CA$225,11,FALSE)</f>
        <v>8114.9423407356408</v>
      </c>
      <c r="AR199" s="45">
        <f>VLOOKUP(B199,'[7]E.U.'!$R$9:$AZ$225,11,FALSE)</f>
        <v>6150.8873827940006</v>
      </c>
      <c r="AS199" s="45">
        <f>VLOOKUP($B199,'[8]E.U.'!$R$9:$AZ$225,11,FALSE)</f>
        <v>5523.4068227337966</v>
      </c>
      <c r="AT199" s="45">
        <f>VLOOKUP($B199,'[9]E.U.'!$R$9:$AZ$221,11,FALSE)</f>
        <v>6221.6955336858791</v>
      </c>
      <c r="AU199" s="45"/>
      <c r="AV199" s="45">
        <f>VLOOKUP($B199,'[10]E.U.'!$R$9:$AZ$221,11,FALSE)</f>
        <v>6111.1469264442358</v>
      </c>
      <c r="AW199" s="45">
        <f>VLOOKUP($B199,'[11]E.U.'!$R$9:$AZ$220,11,FALSE)</f>
        <v>5793.7803004473653</v>
      </c>
      <c r="AX199" s="45"/>
      <c r="AY199" s="45">
        <f>VLOOKUP($B199,'[12]E.U.'!$R$9:$AZ$220,11,FALSE)</f>
        <v>6177.241508041855</v>
      </c>
      <c r="AZ199" s="45"/>
      <c r="BA199" s="45">
        <f>VLOOKUP($B199,'[13]E.U.'!$R$9:$AZ$221,11,FALSE)</f>
        <v>0</v>
      </c>
      <c r="BB199" s="46">
        <f t="shared" si="26"/>
        <v>77765.770933987806</v>
      </c>
      <c r="BC199" s="47" t="e">
        <f>SUM(#REF!)</f>
        <v>#REF!</v>
      </c>
      <c r="BD199" s="43" t="e">
        <f>VLOOKUP(V199,[14]ELECTRIC!$C$1:$H$4000,6,FALSE)</f>
        <v>#N/A</v>
      </c>
      <c r="BE199" s="43" t="e">
        <f t="shared" si="31"/>
        <v>#N/A</v>
      </c>
      <c r="BF199" s="48">
        <f t="shared" si="23"/>
        <v>77765.770933987806</v>
      </c>
      <c r="BG199" s="49"/>
      <c r="BH199" s="43" t="e">
        <f t="shared" si="35"/>
        <v>#REF!</v>
      </c>
      <c r="BI199" s="50" t="e">
        <f t="shared" si="36"/>
        <v>#REF!</v>
      </c>
      <c r="BJ199" s="51">
        <f t="shared" si="22"/>
        <v>-0.12307627932742815</v>
      </c>
      <c r="BK199" s="52"/>
      <c r="BL199" s="52"/>
      <c r="BM199" s="52"/>
      <c r="BN199" s="52"/>
      <c r="BO199" s="72"/>
      <c r="BP199" s="72"/>
      <c r="BQ199" s="52"/>
      <c r="BR199" s="50"/>
      <c r="BS199" s="53"/>
      <c r="BT199" s="53"/>
      <c r="BU199" s="65"/>
      <c r="BV199" s="55"/>
      <c r="BW199" s="55"/>
      <c r="BX199" s="56"/>
      <c r="BY199" s="57"/>
      <c r="BZ199" s="58"/>
    </row>
    <row r="200" spans="1:78" ht="15.6" x14ac:dyDescent="0.3">
      <c r="A200" s="76" t="s">
        <v>694</v>
      </c>
      <c r="B200" s="62">
        <v>3210</v>
      </c>
      <c r="C200" s="215" t="s">
        <v>3342</v>
      </c>
      <c r="D200" t="s">
        <v>3343</v>
      </c>
      <c r="E200" s="40" t="s">
        <v>554</v>
      </c>
      <c r="F200" s="41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 t="s">
        <v>3344</v>
      </c>
      <c r="S200" s="42" t="s">
        <v>3345</v>
      </c>
      <c r="T200" s="42" t="s">
        <v>3346</v>
      </c>
      <c r="U200" s="42" t="s">
        <v>3347</v>
      </c>
      <c r="V200" s="42" t="str">
        <f>VLOOKUP(D200,[1]ALL!$A$15:$Z$983,3,FALSE)</f>
        <v>JMC-EGW</v>
      </c>
      <c r="W200" s="43"/>
      <c r="X200" s="43"/>
      <c r="Y200" s="43"/>
      <c r="Z200" s="43"/>
      <c r="AA200" s="43"/>
      <c r="AB200" s="43"/>
      <c r="AC200" s="43"/>
      <c r="AD200" s="190"/>
      <c r="AE200" s="43"/>
      <c r="AF200" s="43"/>
      <c r="AG200" s="43"/>
      <c r="AH200" s="43">
        <v>57177.919999999998</v>
      </c>
      <c r="AI200" s="43">
        <v>243107.38</v>
      </c>
      <c r="AJ200" s="43">
        <v>272682.82</v>
      </c>
      <c r="AK200" s="43">
        <v>315739.44</v>
      </c>
      <c r="AL200" s="44"/>
      <c r="AM200" s="45">
        <f>VLOOKUP($B200,'[2]E.U.'!$R$9:$AZ$205,11,FALSE)</f>
        <v>23313.72</v>
      </c>
      <c r="AN200" s="45">
        <f>VLOOKUP($B200,'[3]E.U.'!$R10:$AZ$225,11,FALSE)</f>
        <v>25757.18</v>
      </c>
      <c r="AO200" s="45">
        <f>VLOOKUP($B200,'[4]E.U.'!$R$9:$BZ$225,11,FALSE)</f>
        <v>24593.438668819472</v>
      </c>
      <c r="AP200" s="45">
        <f>VLOOKUP($B200,'[5]E.U.'!$R$9:$BZ$225,11,FALSE)</f>
        <v>23898.904239684482</v>
      </c>
      <c r="AQ200" s="45">
        <f>VLOOKUP($B200,'[6]E.U.'!$R$9:$CA$225,11,FALSE)</f>
        <v>26262.319748497008</v>
      </c>
      <c r="AR200" s="45">
        <f>VLOOKUP(B200,'[7]E.U.'!$R$9:$AZ$225,11,FALSE)</f>
        <v>22670.429480341001</v>
      </c>
      <c r="AS200" s="45">
        <f>VLOOKUP($B200,'[8]E.U.'!$R$9:$AZ$225,11,FALSE)</f>
        <v>25587.68585609888</v>
      </c>
      <c r="AT200" s="45">
        <f>VLOOKUP($B200,'[9]E.U.'!$R$9:$AZ$221,11,FALSE)</f>
        <v>21425.791215054218</v>
      </c>
      <c r="AU200" s="45"/>
      <c r="AV200" s="45">
        <f>VLOOKUP($B200,'[10]E.U.'!$R$9:$AZ$221,11,FALSE)</f>
        <v>20025.291400449438</v>
      </c>
      <c r="AW200" s="45">
        <f>VLOOKUP($B200,'[11]E.U.'!$R$9:$AZ$220,11,FALSE)</f>
        <v>19973.186438773842</v>
      </c>
      <c r="AX200" s="45"/>
      <c r="AY200" s="45">
        <f>VLOOKUP($B200,'[12]E.U.'!$R$9:$AZ$220,11,FALSE)</f>
        <v>20031.915602365134</v>
      </c>
      <c r="AZ200" s="45"/>
      <c r="BA200" s="45">
        <f>VLOOKUP($B200,'[13]E.U.'!$R$9:$AZ$221,11,FALSE)</f>
        <v>19212.211879007435</v>
      </c>
      <c r="BB200" s="46">
        <f t="shared" si="26"/>
        <v>272752.07452909095</v>
      </c>
      <c r="BC200" s="47" t="e">
        <f>SUM(#REF!)</f>
        <v>#REF!</v>
      </c>
      <c r="BD200" s="43" t="e">
        <f>VLOOKUP(V200,[14]ELECTRIC!$C$1:$H$4000,6,FALSE)</f>
        <v>#N/A</v>
      </c>
      <c r="BE200" s="43" t="e">
        <f t="shared" si="31"/>
        <v>#N/A</v>
      </c>
      <c r="BF200" s="48">
        <f t="shared" si="23"/>
        <v>272752.07452909095</v>
      </c>
      <c r="BG200" s="49"/>
      <c r="BH200" s="43" t="e">
        <f t="shared" si="35"/>
        <v>#REF!</v>
      </c>
      <c r="BI200" s="50" t="e">
        <f t="shared" si="36"/>
        <v>#REF!</v>
      </c>
      <c r="BJ200" s="51">
        <f t="shared" ref="BJ200:BJ218" si="37">IF(OR(AK200=0,BF200=0),0,ABS(BF200/AK200)-1)</f>
        <v>-0.13614822864989262</v>
      </c>
      <c r="BK200" s="52"/>
      <c r="BL200" s="52"/>
      <c r="BM200" s="52"/>
      <c r="BN200" s="52"/>
      <c r="BO200" s="72"/>
      <c r="BP200" s="72"/>
      <c r="BQ200" s="52"/>
      <c r="BR200" s="50"/>
      <c r="BS200" s="53"/>
      <c r="BT200" s="53"/>
      <c r="BU200" s="65"/>
      <c r="BV200" s="55"/>
      <c r="BW200" s="55"/>
      <c r="BX200" s="56"/>
      <c r="BY200" s="57"/>
      <c r="BZ200" s="58"/>
    </row>
    <row r="201" spans="1:78" ht="15" customHeight="1" x14ac:dyDescent="0.3">
      <c r="A201" s="76" t="s">
        <v>694</v>
      </c>
      <c r="B201" s="62">
        <v>3260</v>
      </c>
      <c r="C201" s="215" t="s">
        <v>555</v>
      </c>
      <c r="D201" t="s">
        <v>3348</v>
      </c>
      <c r="E201" s="40" t="s">
        <v>556</v>
      </c>
      <c r="F201" s="41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 t="s">
        <v>3349</v>
      </c>
      <c r="S201" s="42" t="s">
        <v>3350</v>
      </c>
      <c r="T201" s="42" t="s">
        <v>3351</v>
      </c>
      <c r="U201" s="42" t="s">
        <v>3352</v>
      </c>
      <c r="V201" s="42" t="str">
        <f>VLOOKUP(D201,[1]ALL!$A$15:$Z$983,3,FALSE)</f>
        <v>ESH-ELC</v>
      </c>
      <c r="W201" s="43"/>
      <c r="X201" s="43"/>
      <c r="Y201" s="43"/>
      <c r="Z201" s="43"/>
      <c r="AA201" s="43"/>
      <c r="AB201" s="43"/>
      <c r="AC201" s="43"/>
      <c r="AD201" s="190"/>
      <c r="AE201" s="43"/>
      <c r="AF201" s="43"/>
      <c r="AG201" s="43"/>
      <c r="AH201" s="43">
        <v>29783.84</v>
      </c>
      <c r="AI201" s="43">
        <v>120615.61</v>
      </c>
      <c r="AJ201" s="43">
        <v>189316.12</v>
      </c>
      <c r="AK201" s="43">
        <v>222757.14</v>
      </c>
      <c r="AL201" s="44"/>
      <c r="AM201" s="45">
        <f>VLOOKUP($B201,'[2]E.U.'!$R$9:$AZ$205,11,FALSE)</f>
        <v>16142.13</v>
      </c>
      <c r="AN201" s="45">
        <f>VLOOKUP($B201,'[3]E.U.'!$R$9:$AZ$225,11,FALSE)</f>
        <v>20809.45</v>
      </c>
      <c r="AO201" s="45">
        <f>VLOOKUP($B201,'[4]E.U.'!$R$9:$BZ$225,11,FALSE)</f>
        <v>16871.46197477185</v>
      </c>
      <c r="AP201" s="45">
        <f>VLOOKUP($B201,'[5]E.U.'!$R$9:$BZ$225,11,FALSE)</f>
        <v>17745.9124895487</v>
      </c>
      <c r="AQ201" s="45">
        <f>VLOOKUP($B201,'[6]E.U.'!$R$9:$CA$225,11,FALSE)</f>
        <v>18833.366505225091</v>
      </c>
      <c r="AR201" s="45">
        <f>VLOOKUP(B201,'[7]E.U.'!$R$9:$AZ$225,11,FALSE)</f>
        <v>17078.174383320449</v>
      </c>
      <c r="AS201" s="45">
        <f>VLOOKUP($B201,'[8]E.U.'!$R$9:$AZ$225,11,FALSE)</f>
        <v>16048.281004519657</v>
      </c>
      <c r="AT201" s="45">
        <f>VLOOKUP($B201,'[9]E.U.'!$R$9:$AZ$221,11,FALSE)</f>
        <v>13770.975518792657</v>
      </c>
      <c r="AU201" s="45"/>
      <c r="AV201" s="45">
        <f>VLOOKUP($B201,'[10]E.U.'!$R$9:$AZ$221,11,FALSE)</f>
        <v>13364.222101021598</v>
      </c>
      <c r="AW201" s="45">
        <f>VLOOKUP($B201,'[11]E.U.'!$R$9:$AZ$220,11,FALSE)</f>
        <v>14177.451308430995</v>
      </c>
      <c r="AX201" s="45"/>
      <c r="AY201" s="45">
        <f>VLOOKUP($B201,'[12]E.U.'!$R$9:$AZ$220,11,FALSE)</f>
        <v>13792.824236313187</v>
      </c>
      <c r="AZ201" s="45"/>
      <c r="BA201" s="45">
        <f>VLOOKUP($B201,'[13]E.U.'!$R$9:$AZ$221,11,FALSE)</f>
        <v>13433.693041991422</v>
      </c>
      <c r="BB201" s="46">
        <f t="shared" si="26"/>
        <v>192067.94256393556</v>
      </c>
      <c r="BC201" s="47" t="e">
        <f>SUM(#REF!)</f>
        <v>#REF!</v>
      </c>
      <c r="BD201" s="43" t="e">
        <f>VLOOKUP(V201,[14]ELECTRIC!$C$1:$H$4000,6,FALSE)</f>
        <v>#N/A</v>
      </c>
      <c r="BE201" s="43" t="e">
        <f t="shared" si="31"/>
        <v>#N/A</v>
      </c>
      <c r="BF201" s="48">
        <f t="shared" ref="BF201:BF218" si="38">BB201*(12/$BC$5)</f>
        <v>192067.94256393556</v>
      </c>
      <c r="BG201" s="49"/>
      <c r="BH201" s="43" t="e">
        <f t="shared" si="35"/>
        <v>#REF!</v>
      </c>
      <c r="BI201" s="50" t="e">
        <f t="shared" si="36"/>
        <v>#REF!</v>
      </c>
      <c r="BJ201" s="51">
        <f t="shared" si="37"/>
        <v>-0.13776975874292718</v>
      </c>
      <c r="BK201" s="52"/>
      <c r="BL201" s="52"/>
      <c r="BM201" s="52"/>
      <c r="BN201" s="52"/>
      <c r="BO201" s="72"/>
      <c r="BP201" s="72"/>
      <c r="BQ201" s="52"/>
      <c r="BR201" s="50"/>
      <c r="BS201" s="53"/>
      <c r="BT201" s="53"/>
      <c r="BU201" s="65"/>
      <c r="BV201" s="55"/>
      <c r="BW201" s="55"/>
      <c r="BX201" s="56"/>
      <c r="BY201" s="57"/>
      <c r="BZ201" s="58"/>
    </row>
    <row r="202" spans="1:78" ht="15" customHeight="1" x14ac:dyDescent="0.3">
      <c r="A202" s="76" t="s">
        <v>694</v>
      </c>
      <c r="B202" s="62">
        <v>3270</v>
      </c>
      <c r="C202" s="215" t="s">
        <v>557</v>
      </c>
      <c r="D202" t="s">
        <v>3353</v>
      </c>
      <c r="E202" s="40" t="s">
        <v>558</v>
      </c>
      <c r="F202" s="41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 t="str">
        <f>VLOOKUP(D202,[1]ALL!$A$15:$Z$983,3,FALSE)</f>
        <v>ANN-NELC</v>
      </c>
      <c r="W202" s="43"/>
      <c r="X202" s="43"/>
      <c r="Y202" s="43"/>
      <c r="Z202" s="43"/>
      <c r="AA202" s="43"/>
      <c r="AB202" s="43"/>
      <c r="AC202" s="43"/>
      <c r="AD202" s="190"/>
      <c r="AE202" s="43"/>
      <c r="AF202" s="43"/>
      <c r="AG202" s="43"/>
      <c r="AH202" s="43"/>
      <c r="AI202" s="43"/>
      <c r="AJ202" s="43">
        <v>35386</v>
      </c>
      <c r="AK202" s="43">
        <v>172099.84</v>
      </c>
      <c r="AL202" s="44"/>
      <c r="AM202" s="45">
        <f>VLOOKUP($B202,'[2]E.U.'!$R$9:$AZ$205,11,FALSE)</f>
        <v>18498.95</v>
      </c>
      <c r="AN202" s="45">
        <f>VLOOKUP($B202,'[3]E.U.'!$R$9:$AZ$225,11,FALSE)</f>
        <v>23015.360000000001</v>
      </c>
      <c r="AO202" s="45">
        <f>VLOOKUP($B202,'[4]E.U.'!$R$9:$BZ$225,11,FALSE)</f>
        <v>19666.138211447858</v>
      </c>
      <c r="AP202" s="45">
        <f>VLOOKUP($B202,'[5]E.U.'!$R$9:$BZ$225,11,FALSE)</f>
        <v>13956.244591595216</v>
      </c>
      <c r="AQ202" s="45">
        <f>VLOOKUP($B202,'[6]E.U.'!$R$9:$CA$225,11,FALSE)</f>
        <v>16482.144149657102</v>
      </c>
      <c r="AR202" s="45">
        <f>VLOOKUP(B202,'[7]E.U.'!$R$9:$AZ$225,11,FALSE)</f>
        <v>15812.797462525552</v>
      </c>
      <c r="AS202" s="45">
        <f>VLOOKUP($B202,'[8]E.U.'!$R$9:$AZ$225,11,FALSE)</f>
        <v>16123.072317195256</v>
      </c>
      <c r="AT202" s="45">
        <f>VLOOKUP($B202,'[9]E.U.'!$R$9:$AZ$221,11,FALSE)</f>
        <v>13847.77528765016</v>
      </c>
      <c r="AU202" s="45"/>
      <c r="AV202" s="45">
        <f>VLOOKUP($B202,'[10]E.U.'!$R$9:$AZ$221,11,FALSE)</f>
        <v>13827.354623853123</v>
      </c>
      <c r="AW202" s="45">
        <f>VLOOKUP($B202,'[11]E.U.'!$R$9:$AZ$220,11,FALSE)</f>
        <v>14470.089795577052</v>
      </c>
      <c r="AX202" s="45"/>
      <c r="AY202" s="45">
        <f>VLOOKUP($B202,'[12]E.U.'!$R$9:$AZ$220,11,FALSE)</f>
        <v>14621.834366229104</v>
      </c>
      <c r="AZ202" s="45"/>
      <c r="BA202" s="45">
        <f>VLOOKUP($B202,'[13]E.U.'!$R$9:$AZ$221,11,FALSE)</f>
        <v>13862.794316880612</v>
      </c>
      <c r="BB202" s="46">
        <f t="shared" si="26"/>
        <v>194184.55512261103</v>
      </c>
      <c r="BC202" s="47" t="e">
        <f>SUM(#REF!)</f>
        <v>#REF!</v>
      </c>
      <c r="BD202" s="43"/>
      <c r="BE202" s="43"/>
      <c r="BF202" s="48">
        <f t="shared" si="38"/>
        <v>194184.55512261103</v>
      </c>
      <c r="BG202" s="49"/>
      <c r="BH202" s="43" t="e">
        <f t="shared" si="35"/>
        <v>#REF!</v>
      </c>
      <c r="BI202" s="50" t="e">
        <f t="shared" ref="BI202:BI208" si="39">IF(OR(BB202=0,BC202=0),0,ABS(BB202/BC202)-1)</f>
        <v>#REF!</v>
      </c>
      <c r="BJ202" s="51">
        <f t="shared" si="37"/>
        <v>0.12832501833012189</v>
      </c>
      <c r="BK202" s="52"/>
      <c r="BL202" s="52"/>
      <c r="BM202" s="52"/>
      <c r="BN202" s="52"/>
      <c r="BO202" s="72"/>
      <c r="BP202" s="72"/>
      <c r="BQ202" s="52"/>
      <c r="BR202" s="50"/>
      <c r="BS202" s="53"/>
      <c r="BT202" s="53"/>
      <c r="BU202" s="65"/>
      <c r="BV202" s="55"/>
      <c r="BW202" s="55"/>
      <c r="BX202" s="56"/>
      <c r="BY202" s="57"/>
      <c r="BZ202" s="58"/>
    </row>
    <row r="203" spans="1:78" ht="15.6" x14ac:dyDescent="0.3">
      <c r="A203" s="76" t="s">
        <v>694</v>
      </c>
      <c r="B203" s="62">
        <v>3280</v>
      </c>
      <c r="C203" s="207" t="s">
        <v>559</v>
      </c>
      <c r="D203" t="s">
        <v>3354</v>
      </c>
      <c r="E203" s="40" t="s">
        <v>560</v>
      </c>
      <c r="F203" s="41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 t="s">
        <v>3355</v>
      </c>
      <c r="T203" s="42" t="s">
        <v>3356</v>
      </c>
      <c r="U203" s="42" t="s">
        <v>3357</v>
      </c>
      <c r="V203" s="42" t="str">
        <f>VLOOKUP(D203,[1]ALL!$A$15:$Z$983,3,FALSE)</f>
        <v>SCI-NELC</v>
      </c>
      <c r="W203" s="43"/>
      <c r="X203" s="43"/>
      <c r="Y203" s="43"/>
      <c r="Z203" s="43"/>
      <c r="AA203" s="43"/>
      <c r="AB203" s="43"/>
      <c r="AC203" s="43"/>
      <c r="AD203" s="190"/>
      <c r="AE203" s="43"/>
      <c r="AF203" s="43"/>
      <c r="AG203" s="43"/>
      <c r="AH203" s="43"/>
      <c r="AI203" s="43">
        <v>82317.009999999995</v>
      </c>
      <c r="AJ203" s="43">
        <v>378003.02</v>
      </c>
      <c r="AK203" s="43">
        <v>296389.06</v>
      </c>
      <c r="AL203" s="44"/>
      <c r="AM203" s="45">
        <f>VLOOKUP($B203,'[2]E.U.'!$R$9:$AZ$205,11,FALSE)</f>
        <v>12013.18</v>
      </c>
      <c r="AN203" s="45">
        <f>VLOOKUP($B203,'[3]E.U.'!$R$9:$AZ$225,11,FALSE)</f>
        <v>11629.88</v>
      </c>
      <c r="AO203" s="45">
        <f>VLOOKUP($B203,'[4]E.U.'!$R$9:$BZ$225,11,FALSE)</f>
        <v>11691.916192176011</v>
      </c>
      <c r="AP203" s="45">
        <f>VLOOKUP($B203,'[5]E.U.'!$R$9:$BZ$225,11,FALSE)</f>
        <v>10786.867192479627</v>
      </c>
      <c r="AQ203" s="45">
        <f>VLOOKUP($B203,'[6]E.U.'!$R$9:$CA$225,11,FALSE)</f>
        <v>12213.643848872274</v>
      </c>
      <c r="AR203" s="45">
        <f>VLOOKUP(B203,'[7]E.U.'!$R$9:$AZ$225,11,FALSE)</f>
        <v>11086.061526119358</v>
      </c>
      <c r="AS203" s="45">
        <f>VLOOKUP($B203,'[8]E.U.'!$R$9:$AZ$225,11,FALSE)</f>
        <v>11819.310245083683</v>
      </c>
      <c r="AT203" s="45">
        <f>VLOOKUP($B203,'[9]E.U.'!$R$9:$AZ$221,11,FALSE)</f>
        <v>8668.0101811198874</v>
      </c>
      <c r="AU203" s="45"/>
      <c r="AV203" s="45">
        <f>VLOOKUP($B203,'[10]E.U.'!$R$9:$AZ$221,11,FALSE)</f>
        <v>9278.6000283483336</v>
      </c>
      <c r="AW203" s="45">
        <f>VLOOKUP($B203,'[11]E.U.'!$R$9:$AZ$220,11,FALSE)</f>
        <v>9444.5974242462089</v>
      </c>
      <c r="AX203" s="252"/>
      <c r="AY203" s="45">
        <f>VLOOKUP($B203,'[12]E.U.'!$R$9:$AZ$220,11,FALSE)</f>
        <v>10381.452985339325</v>
      </c>
      <c r="AZ203" s="45"/>
      <c r="BA203" s="45">
        <f>VLOOKUP($B203,'[13]E.U.'!$R$9:$AZ$221,11,FALSE)</f>
        <v>10608.990140472173</v>
      </c>
      <c r="BB203" s="46">
        <f t="shared" si="26"/>
        <v>129622.50976425687</v>
      </c>
      <c r="BC203" s="47" t="e">
        <f>SUM(#REF!)</f>
        <v>#REF!</v>
      </c>
      <c r="BD203" s="43" t="e">
        <f>VLOOKUP(V203,[14]ELECTRIC!$C$1:$H$4000,6,FALSE)</f>
        <v>#N/A</v>
      </c>
      <c r="BE203" s="242" t="e">
        <f t="shared" si="31"/>
        <v>#N/A</v>
      </c>
      <c r="BF203" s="48">
        <f t="shared" si="38"/>
        <v>129622.50976425687</v>
      </c>
      <c r="BG203" s="49"/>
      <c r="BH203" s="43" t="e">
        <f t="shared" si="35"/>
        <v>#REF!</v>
      </c>
      <c r="BI203" s="50" t="e">
        <f t="shared" si="39"/>
        <v>#REF!</v>
      </c>
      <c r="BJ203" s="51">
        <f t="shared" si="37"/>
        <v>-0.56266095056188359</v>
      </c>
      <c r="BK203" s="52"/>
      <c r="BL203" s="52"/>
      <c r="BM203" s="52"/>
      <c r="BN203" s="52"/>
      <c r="BO203" s="72"/>
      <c r="BP203" s="72"/>
      <c r="BQ203" s="52"/>
      <c r="BR203" s="50"/>
      <c r="BS203" s="53"/>
      <c r="BT203" s="53"/>
      <c r="BU203" s="65"/>
      <c r="BV203" s="55"/>
      <c r="BW203" s="55"/>
      <c r="BX203" s="56"/>
      <c r="BY203" s="57"/>
      <c r="BZ203" s="58"/>
    </row>
    <row r="204" spans="1:78" ht="15.6" x14ac:dyDescent="0.3">
      <c r="A204" s="76" t="s">
        <v>694</v>
      </c>
      <c r="B204" s="62">
        <v>3300</v>
      </c>
      <c r="C204" s="207" t="s">
        <v>561</v>
      </c>
      <c r="D204" t="s">
        <v>3358</v>
      </c>
      <c r="E204" s="40" t="s">
        <v>562</v>
      </c>
      <c r="F204" s="41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 t="s">
        <v>3359</v>
      </c>
      <c r="U204" s="42" t="s">
        <v>3360</v>
      </c>
      <c r="V204" s="42" t="str">
        <f>VLOOKUP(D204,[1]ALL!$A$15:$Z$983,3,FALSE)</f>
        <v>TRF-NELC</v>
      </c>
      <c r="W204" s="43"/>
      <c r="X204" s="43"/>
      <c r="Y204" s="43"/>
      <c r="Z204" s="43"/>
      <c r="AA204" s="43"/>
      <c r="AB204" s="43"/>
      <c r="AC204" s="43"/>
      <c r="AD204" s="190"/>
      <c r="AE204" s="43"/>
      <c r="AF204" s="43"/>
      <c r="AG204" s="43"/>
      <c r="AH204" s="43" t="s">
        <v>3361</v>
      </c>
      <c r="AI204" s="43"/>
      <c r="AJ204" s="43">
        <v>76262.509999999995</v>
      </c>
      <c r="AK204" s="43">
        <v>100441.7</v>
      </c>
      <c r="AL204" s="44"/>
      <c r="AM204" s="45">
        <f>VLOOKUP($B204,'[2]E.U.'!$R$9:$AZ$205,11,FALSE)</f>
        <v>12669.531159999999</v>
      </c>
      <c r="AN204" s="45">
        <f>VLOOKUP($B204,'[3]E.U.'!$R$9:$AZ$225,11,FALSE)</f>
        <v>15887.247600000001</v>
      </c>
      <c r="AO204" s="45">
        <f>VLOOKUP($B204,'[4]E.U.'!$R$9:$BZ$225,11,FALSE)</f>
        <v>12575.049925062363</v>
      </c>
      <c r="AP204" s="45">
        <f>VLOOKUP($B204,'[5]E.U.'!$R$9:$BZ$225,11,FALSE)</f>
        <v>12734.561309292669</v>
      </c>
      <c r="AQ204" s="45">
        <f>VLOOKUP($B204,'[6]E.U.'!$R$9:$CA$225,11,FALSE)</f>
        <v>13889.966740266043</v>
      </c>
      <c r="AR204" s="45">
        <f>VLOOKUP(B204,'[7]E.U.'!$R$9:$AZ$225,11,FALSE)</f>
        <v>12215.37381743868</v>
      </c>
      <c r="AS204" s="45">
        <f>VLOOKUP($B204,'[8]E.U.'!$R$9:$AZ$225,11,FALSE)</f>
        <v>12169.411426183142</v>
      </c>
      <c r="AT204" s="45">
        <f>VLOOKUP($B204,'[9]E.U.'!$R$9:$AZ$221,11,FALSE)</f>
        <v>11281.766512453205</v>
      </c>
      <c r="AU204" s="45"/>
      <c r="AV204" s="45">
        <f>VLOOKUP($B204,'[10]E.U.'!$R$9:$AZ$221,11,FALSE)</f>
        <v>10688.10788738187</v>
      </c>
      <c r="AW204" s="45">
        <f>VLOOKUP($B204,'[11]E.U.'!$R$9:$AZ$220,11,FALSE)</f>
        <v>9910.704017555232</v>
      </c>
      <c r="AX204" s="252"/>
      <c r="AY204" s="45">
        <f>VLOOKUP($B204,'[12]E.U.'!$R$9:$AZ$220,11,FALSE)</f>
        <v>9260.7722408908012</v>
      </c>
      <c r="AZ204" s="45"/>
      <c r="BA204" s="45">
        <f>VLOOKUP($B204,'[13]E.U.'!$R$9:$AZ$221,11,FALSE)</f>
        <v>8564.3293863193576</v>
      </c>
      <c r="BB204" s="46">
        <f t="shared" si="26"/>
        <v>141846.82202284335</v>
      </c>
      <c r="BC204" s="47" t="e">
        <f>SUM(#REF!)</f>
        <v>#REF!</v>
      </c>
      <c r="BD204" s="43"/>
      <c r="BE204" s="43"/>
      <c r="BF204" s="48">
        <f t="shared" si="38"/>
        <v>141846.82202284335</v>
      </c>
      <c r="BG204" s="49"/>
      <c r="BH204" s="43" t="e">
        <f t="shared" si="35"/>
        <v>#REF!</v>
      </c>
      <c r="BI204" s="50" t="e">
        <f t="shared" si="39"/>
        <v>#REF!</v>
      </c>
      <c r="BJ204" s="51">
        <f t="shared" si="37"/>
        <v>0.41223039855800292</v>
      </c>
      <c r="BK204" s="52"/>
      <c r="BL204" s="52"/>
      <c r="BM204" s="52"/>
      <c r="BN204" s="52"/>
      <c r="BO204" s="72"/>
      <c r="BP204" s="72"/>
      <c r="BQ204" s="52"/>
      <c r="BR204" s="50"/>
      <c r="BS204" s="53"/>
      <c r="BT204" s="53"/>
      <c r="BU204" s="65"/>
      <c r="BV204" s="55"/>
      <c r="BW204" s="55"/>
      <c r="BX204" s="56"/>
      <c r="BY204" s="57"/>
      <c r="BZ204" s="58"/>
    </row>
    <row r="205" spans="1:78" ht="15.6" x14ac:dyDescent="0.3">
      <c r="A205" s="76" t="s">
        <v>694</v>
      </c>
      <c r="B205" s="62">
        <v>3301</v>
      </c>
      <c r="C205" s="207" t="s">
        <v>563</v>
      </c>
      <c r="D205"/>
      <c r="E205" s="40" t="s">
        <v>564</v>
      </c>
      <c r="F205" s="41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3"/>
      <c r="X205" s="43"/>
      <c r="Y205" s="43"/>
      <c r="Z205" s="43"/>
      <c r="AA205" s="43"/>
      <c r="AB205" s="43"/>
      <c r="AC205" s="43"/>
      <c r="AD205" s="190"/>
      <c r="AE205" s="43"/>
      <c r="AF205" s="43"/>
      <c r="AG205" s="43"/>
      <c r="AH205" s="43"/>
      <c r="AI205" s="43"/>
      <c r="AJ205" s="43"/>
      <c r="AK205" s="43">
        <v>4394.72</v>
      </c>
      <c r="AL205" s="44"/>
      <c r="AM205" s="45">
        <f>VLOOKUP($B205,'[2]E.U.'!$R$9:$AZ$205,11,FALSE)</f>
        <v>392.74091999999996</v>
      </c>
      <c r="AN205" s="45">
        <f>VLOOKUP($B205,'[3]E.U.'!$R$9:$AZ$225,11,FALSE)</f>
        <v>1606.5755999999999</v>
      </c>
      <c r="AO205" s="45">
        <f>VLOOKUP($B205,'[4]E.U.'!$R$9:$BZ$225,11,FALSE)</f>
        <v>532.38202752210486</v>
      </c>
      <c r="AP205" s="45">
        <f>VLOOKUP($B205,'[5]E.U.'!$R$9:$BZ$225,11,FALSE)</f>
        <v>605.75861435825891</v>
      </c>
      <c r="AQ205" s="45">
        <f>VLOOKUP($B205,'[6]E.U.'!$R$9:$CA$225,11,FALSE)</f>
        <v>578.74573803462249</v>
      </c>
      <c r="AR205" s="45">
        <f>VLOOKUP(B205,'[7]E.U.'!$R$9:$AZ$225,11,FALSE)</f>
        <v>460.40064158815647</v>
      </c>
      <c r="AS205" s="45">
        <f>VLOOKUP($B205,'[8]E.U.'!$R$9:$AZ$225,11,FALSE)</f>
        <v>380.29166673565089</v>
      </c>
      <c r="AT205" s="45">
        <f>VLOOKUP($B205,'[9]E.U.'!$R$9:$AZ$221,11,FALSE)</f>
        <v>329.52180980221783</v>
      </c>
      <c r="AU205" s="45"/>
      <c r="AV205" s="45">
        <f>VLOOKUP($B205,'[10]E.U.'!$R$9:$AZ$221,11,FALSE)</f>
        <v>317.58946910725763</v>
      </c>
      <c r="AW205" s="45">
        <f>VLOOKUP($B205,'[11]E.U.'!$R$9:$AZ$220,11,FALSE)</f>
        <v>349.32085099682632</v>
      </c>
      <c r="AX205" s="252"/>
      <c r="AY205" s="45">
        <f>VLOOKUP($B205,'[12]E.U.'!$R$9:$AZ$220,11,FALSE)</f>
        <v>342.37679777925513</v>
      </c>
      <c r="AZ205" s="45"/>
      <c r="BA205" s="45">
        <f>VLOOKUP($B205,'[13]E.U.'!$R$9:$AZ$221,11,FALSE)</f>
        <v>273.78944960296656</v>
      </c>
      <c r="BB205" s="46">
        <f t="shared" si="26"/>
        <v>6169.4935855273179</v>
      </c>
      <c r="BC205" s="47" t="e">
        <f>SUM(#REF!)</f>
        <v>#REF!</v>
      </c>
      <c r="BD205" s="43"/>
      <c r="BE205" s="43"/>
      <c r="BF205" s="48">
        <f t="shared" si="38"/>
        <v>6169.4935855273179</v>
      </c>
      <c r="BG205" s="49"/>
      <c r="BH205" s="43" t="e">
        <f t="shared" si="35"/>
        <v>#REF!</v>
      </c>
      <c r="BI205" s="50" t="e">
        <f t="shared" si="39"/>
        <v>#REF!</v>
      </c>
      <c r="BJ205" s="51">
        <f t="shared" si="37"/>
        <v>0.40384224376691069</v>
      </c>
      <c r="BK205" s="52"/>
      <c r="BL205" s="52"/>
      <c r="BM205" s="52"/>
      <c r="BN205" s="52"/>
      <c r="BO205" s="72"/>
      <c r="BP205" s="72"/>
      <c r="BQ205" s="52"/>
      <c r="BR205" s="50"/>
      <c r="BS205" s="53"/>
      <c r="BT205" s="53"/>
      <c r="BU205" s="65"/>
      <c r="BV205" s="55"/>
      <c r="BW205" s="55"/>
      <c r="BX205" s="56"/>
      <c r="BY205" s="57"/>
      <c r="BZ205" s="58"/>
    </row>
    <row r="206" spans="1:78" ht="15.6" x14ac:dyDescent="0.3">
      <c r="A206" s="76" t="s">
        <v>694</v>
      </c>
      <c r="B206" s="62">
        <v>3302</v>
      </c>
      <c r="C206" s="207" t="s">
        <v>565</v>
      </c>
      <c r="D206"/>
      <c r="E206" s="40" t="s">
        <v>566</v>
      </c>
      <c r="F206" s="41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3"/>
      <c r="X206" s="43"/>
      <c r="Y206" s="43"/>
      <c r="Z206" s="43"/>
      <c r="AA206" s="43"/>
      <c r="AB206" s="43"/>
      <c r="AC206" s="43"/>
      <c r="AD206" s="190"/>
      <c r="AE206" s="43"/>
      <c r="AF206" s="43"/>
      <c r="AG206" s="43"/>
      <c r="AH206" s="43"/>
      <c r="AI206" s="43"/>
      <c r="AJ206" s="43"/>
      <c r="AK206" s="43">
        <v>6936.34</v>
      </c>
      <c r="AL206" s="44"/>
      <c r="AM206" s="45">
        <f>VLOOKUP($B206,'[2]E.U.'!$R$9:$AZ$205,11,FALSE)</f>
        <v>1483.6879199999998</v>
      </c>
      <c r="AN206" s="45">
        <f>VLOOKUP($B206,'[3]E.U.'!$R$9:$AZ$225,11,FALSE)</f>
        <v>357.01679999999999</v>
      </c>
      <c r="AO206" s="45">
        <f>VLOOKUP($B206,'[4]E.U.'!$R$9:$BZ$225,11,FALSE)</f>
        <v>2038.3853925474643</v>
      </c>
      <c r="AP206" s="45">
        <f>VLOOKUP($B206,'[5]E.U.'!$R$9:$BZ$225,11,FALSE)</f>
        <v>2009.8584038229494</v>
      </c>
      <c r="AQ206" s="45">
        <f>VLOOKUP($B206,'[6]E.U.'!$R$9:$CA$225,11,FALSE)</f>
        <v>2130.1866473034443</v>
      </c>
      <c r="AR206" s="45">
        <f>VLOOKUP(B206,'[7]E.U.'!$R$9:$AZ$225,11,FALSE)</f>
        <v>1976.02355714856</v>
      </c>
      <c r="AS206" s="45">
        <f>VLOOKUP($B206,'[8]E.U.'!$R$9:$AZ$225,11,FALSE)</f>
        <v>1826.1691931579107</v>
      </c>
      <c r="AT206" s="45">
        <f>VLOOKUP($B206,'[9]E.U.'!$R$9:$AZ$221,11,FALSE)</f>
        <v>1714.5971742467202</v>
      </c>
      <c r="AU206" s="45"/>
      <c r="AV206" s="45">
        <f>VLOOKUP($B206,'[10]E.U.'!$R$9:$AZ$221,11,FALSE)</f>
        <v>1751.6134450101783</v>
      </c>
      <c r="AW206" s="45">
        <f>VLOOKUP($B206,'[11]E.U.'!$R$9:$AZ$220,11,FALSE)</f>
        <v>1661.6751632435132</v>
      </c>
      <c r="AX206" s="252"/>
      <c r="AY206" s="45">
        <f>VLOOKUP($B206,'[12]E.U.'!$R$9:$AZ$220,11,FALSE)</f>
        <v>1593.2067586662213</v>
      </c>
      <c r="AZ206" s="45"/>
      <c r="BA206" s="45">
        <f>VLOOKUP($B206,'[13]E.U.'!$R$9:$AZ$221,11,FALSE)</f>
        <v>1464.7848361564609</v>
      </c>
      <c r="BB206" s="46">
        <f t="shared" si="26"/>
        <v>20007.20529130342</v>
      </c>
      <c r="BC206" s="47" t="e">
        <f>SUM(#REF!)</f>
        <v>#REF!</v>
      </c>
      <c r="BD206" s="43"/>
      <c r="BE206" s="43"/>
      <c r="BF206" s="48">
        <f t="shared" si="38"/>
        <v>20007.20529130342</v>
      </c>
      <c r="BG206" s="49"/>
      <c r="BH206" s="43">
        <f>BF206</f>
        <v>20007.20529130342</v>
      </c>
      <c r="BI206" s="50" t="e">
        <f t="shared" si="39"/>
        <v>#REF!</v>
      </c>
      <c r="BJ206" s="51">
        <f t="shared" si="37"/>
        <v>1.8844037765310553</v>
      </c>
      <c r="BK206" s="52"/>
      <c r="BL206" s="52"/>
      <c r="BM206" s="52"/>
      <c r="BN206" s="52"/>
      <c r="BO206" s="72"/>
      <c r="BP206" s="72"/>
      <c r="BQ206" s="52"/>
      <c r="BR206" s="50"/>
      <c r="BS206" s="53"/>
      <c r="BT206" s="53"/>
      <c r="BU206" s="65"/>
      <c r="BV206" s="55"/>
      <c r="BW206" s="55"/>
      <c r="BX206" s="56"/>
      <c r="BY206" s="57"/>
      <c r="BZ206" s="58"/>
    </row>
    <row r="207" spans="1:78" ht="15.6" x14ac:dyDescent="0.3">
      <c r="A207" s="76" t="s">
        <v>694</v>
      </c>
      <c r="B207" s="62">
        <v>3310</v>
      </c>
      <c r="C207" s="207" t="s">
        <v>567</v>
      </c>
      <c r="D207" t="s">
        <v>3362</v>
      </c>
      <c r="E207" s="40" t="s">
        <v>568</v>
      </c>
      <c r="F207" s="41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 t="str">
        <f>VLOOKUP(D207,[1]ALL!$A$15:$Z$983,3,FALSE)</f>
        <v>VPD-NELC</v>
      </c>
      <c r="W207" s="43"/>
      <c r="X207" s="43"/>
      <c r="Y207" s="43"/>
      <c r="Z207" s="43"/>
      <c r="AA207" s="43"/>
      <c r="AB207" s="43"/>
      <c r="AC207" s="43"/>
      <c r="AD207" s="190"/>
      <c r="AE207" s="43"/>
      <c r="AF207" s="43"/>
      <c r="AG207" s="43"/>
      <c r="AH207" s="43"/>
      <c r="AI207" s="43"/>
      <c r="AJ207" s="43">
        <v>41706.99</v>
      </c>
      <c r="AK207" s="43">
        <v>70571.25</v>
      </c>
      <c r="AL207" s="44"/>
      <c r="AM207" s="45">
        <f>VLOOKUP($B207,'[2]E.U.'!$R$9:$AZ$205,11,FALSE)</f>
        <v>12707.51</v>
      </c>
      <c r="AN207" s="45">
        <f>VLOOKUP($B207,'[3]E.U.'!$R$9:$AZ$225,11,FALSE)</f>
        <v>15062.48</v>
      </c>
      <c r="AO207" s="45">
        <f>VLOOKUP($B207,'[4]E.U.'!$R$9:$BZ$225,11,FALSE)</f>
        <v>12667.309098206095</v>
      </c>
      <c r="AP207" s="45">
        <f>VLOOKUP($B207,'[5]E.U.'!$R$9:$BZ$225,11,FALSE)</f>
        <v>13133.376274092087</v>
      </c>
      <c r="AQ207" s="45">
        <f>VLOOKUP($B207,'[6]E.U.'!$R$9:$CA$225,11,FALSE)</f>
        <v>15283.522232230176</v>
      </c>
      <c r="AR207" s="45">
        <f>VLOOKUP(B207,'[7]E.U.'!$R$9:$AZ$225,11,FALSE)</f>
        <v>12727.377718792983</v>
      </c>
      <c r="AS207" s="45">
        <f>VLOOKUP($B207,'[8]E.U.'!$R$9:$AZ$225,11,FALSE)</f>
        <v>13739.582667779712</v>
      </c>
      <c r="AT207" s="45">
        <f>VLOOKUP($B207,'[9]E.U.'!$R$9:$AZ$221,11,FALSE)</f>
        <v>11680.623725577292</v>
      </c>
      <c r="AU207" s="45"/>
      <c r="AV207" s="45">
        <f>VLOOKUP($B207,'[10]E.U.'!$R$9:$AZ$221,11,FALSE)</f>
        <v>12351.646031990122</v>
      </c>
      <c r="AW207" s="45">
        <f>VLOOKUP($B207,'[11]E.U.'!$R$9:$AZ$220,11,FALSE)</f>
        <v>12709.879300722057</v>
      </c>
      <c r="AX207" s="252"/>
      <c r="AY207" s="45">
        <f>VLOOKUP($B207,'[12]E.U.'!$R$9:$AZ$220,11,FALSE)</f>
        <v>12429.565599429252</v>
      </c>
      <c r="AZ207" s="45"/>
      <c r="BA207" s="45">
        <f>VLOOKUP($B207,'[13]E.U.'!$R$9:$AZ$221,11,FALSE)</f>
        <v>12206.971244755865</v>
      </c>
      <c r="BB207" s="46">
        <f>SUM(AM207:BA207)</f>
        <v>156699.84389357563</v>
      </c>
      <c r="BC207" s="47" t="e">
        <f>SUM(#REF!)</f>
        <v>#REF!</v>
      </c>
      <c r="BD207" s="43"/>
      <c r="BE207" s="43"/>
      <c r="BF207" s="48">
        <f t="shared" si="38"/>
        <v>156699.84389357563</v>
      </c>
      <c r="BG207" s="49"/>
      <c r="BH207" s="43" t="e">
        <f>IF(BC207=0,0,(BB207*(AK207/BC207)))</f>
        <v>#REF!</v>
      </c>
      <c r="BI207" s="50" t="e">
        <f t="shared" si="39"/>
        <v>#REF!</v>
      </c>
      <c r="BJ207" s="51">
        <f t="shared" si="37"/>
        <v>1.2204487506396107</v>
      </c>
      <c r="BK207" s="52"/>
      <c r="BL207" s="52"/>
      <c r="BM207" s="52"/>
      <c r="BN207" s="52"/>
      <c r="BO207" s="72"/>
      <c r="BP207" s="72"/>
      <c r="BQ207" s="52"/>
      <c r="BR207" s="50"/>
      <c r="BS207" s="53"/>
      <c r="BT207" s="53"/>
      <c r="BU207" s="65"/>
      <c r="BV207" s="55"/>
      <c r="BW207" s="55"/>
      <c r="BX207" s="56"/>
      <c r="BY207" s="57"/>
      <c r="BZ207" s="58"/>
    </row>
    <row r="208" spans="1:78" ht="15.6" x14ac:dyDescent="0.3">
      <c r="A208" s="76" t="s">
        <v>694</v>
      </c>
      <c r="B208" s="62">
        <v>3320</v>
      </c>
      <c r="C208" s="207" t="s">
        <v>569</v>
      </c>
      <c r="D208" t="s">
        <v>3363</v>
      </c>
      <c r="E208" s="40" t="s">
        <v>570</v>
      </c>
      <c r="F208" s="41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 t="str">
        <f>VLOOKUP(D208,[1]ALL!$A$15:$Z$983,3,FALSE)</f>
        <v>UAC-NELC</v>
      </c>
      <c r="W208" s="43"/>
      <c r="X208" s="43"/>
      <c r="Y208" s="43"/>
      <c r="Z208" s="43"/>
      <c r="AA208" s="43"/>
      <c r="AB208" s="43"/>
      <c r="AC208" s="43"/>
      <c r="AD208" s="190"/>
      <c r="AE208" s="43"/>
      <c r="AF208" s="43"/>
      <c r="AG208" s="43"/>
      <c r="AH208" s="43"/>
      <c r="AI208" s="43"/>
      <c r="AJ208" s="43">
        <v>9715.68</v>
      </c>
      <c r="AK208" s="43">
        <v>43018.39</v>
      </c>
      <c r="AL208" s="44"/>
      <c r="AM208" s="45">
        <f>VLOOKUP($B208,'[2]E.U.'!$R$9:$AZ$205,11,FALSE)+VLOOKUP($B106,'[2]E.U.'!$R$9:$AZ$205,11,FALSE)</f>
        <v>23272.46</v>
      </c>
      <c r="AN208" s="45">
        <f>VLOOKUP($B208,'[3]E.U.'!$R$9:$AZ$225,11,FALSE)+VLOOKUP($B106,'[3]E.U.'!$R9:$AZ$225,11,FALSE)</f>
        <v>27632.62</v>
      </c>
      <c r="AO208" s="45">
        <f>VLOOKUP($B208,'[4]E.U.'!$R$9:$BZ$225,11,FALSE)+VLOOKUP($B106,'[4]E.U.'!$R$9:$BZ$225,11,FALSE)</f>
        <v>15839.420591055794</v>
      </c>
      <c r="AP208" s="45">
        <f>VLOOKUP($B208,'[5]E.U.'!$R$9:$BZ$225,11,FALSE)+VLOOKUP($B106,'[5]E.U.'!$R$9:$BZ$225,11,FALSE)</f>
        <v>16413.669214648929</v>
      </c>
      <c r="AQ208" s="45">
        <f>VLOOKUP($B208,'[6]E.U.'!$R$9:$CA$225,11,FALSE)+VLOOKUP($B106,'[6]E.U.'!$R$9:$CA$225,11,FALSE)</f>
        <v>18355.833272396303</v>
      </c>
      <c r="AR208" s="45">
        <f>VLOOKUP(B208,'[7]E.U.'!$R$9:$AZ$225,11,FALSE)+VLOOKUP($B106,'[7]E.U.'!$R$9:$AZ$225,11,FALSE)</f>
        <v>19044.424292112584</v>
      </c>
      <c r="AS208" s="45">
        <f>VLOOKUP($B208,'[8]E.U.'!$R$9:$AZ$225,11,FALSE)+VLOOKUP($B106,'[8]E.U.'!$R$9:$AZ$225,11,FALSE)</f>
        <v>19652.172250914868</v>
      </c>
      <c r="AT208" s="45">
        <f>VLOOKUP($B208,'[9]E.U.'!$R$9:$AZ$221,11,FALSE)+VLOOKUP($B106,'[9]E.U.'!$R$9:$AZ$221,11,FALSE)</f>
        <v>5109.9252698154896</v>
      </c>
      <c r="AU208" s="45"/>
      <c r="AV208" s="45">
        <f>VLOOKUP($B208,'[10]E.U.'!$R$9:$AZ$221,11,FALSE)+VLOOKUP($B106,'[10]E.U.'!$R$9:$AZ$221,11,FALSE)</f>
        <v>17208.194467485402</v>
      </c>
      <c r="AW208" s="45">
        <f>VLOOKUP($B208,'[11]E.U.'!$R$9:$AZ$220,11,FALSE)+VLOOKUP($B106,'[11]E.U.'!$R$9:$AZ$220,11,FALSE)</f>
        <v>15277.576215200821</v>
      </c>
      <c r="AX208" s="252"/>
      <c r="AY208" s="45">
        <f>VLOOKUP($B208,'[12]E.U.'!$R$9:$AZ$220,11,FALSE)+VLOOKUP($B106,'[12]E.U.'!$R$9:$AZ$220,11,FALSE)</f>
        <v>14517.170308448838</v>
      </c>
      <c r="AZ208" s="45"/>
      <c r="BA208" s="45">
        <f>VLOOKUP($B208,'[13]E.U.'!$R$9:$AZ$221,11,FALSE)+VLOOKUP($B106,'[13]E.U.'!$R$9:$AZ$221,11,FALSE)</f>
        <v>13627.037548370809</v>
      </c>
      <c r="BB208" s="46">
        <f>SUM(AM208:BA208)</f>
        <v>205950.50343044984</v>
      </c>
      <c r="BC208" s="47" t="e">
        <f>SUM(#REF!)</f>
        <v>#REF!</v>
      </c>
      <c r="BD208" s="43"/>
      <c r="BE208" s="43"/>
      <c r="BF208" s="48">
        <f t="shared" si="38"/>
        <v>205950.50343044984</v>
      </c>
      <c r="BG208" s="49"/>
      <c r="BH208" s="43" t="e">
        <f>IF(BC208=0,0,(BB208*(AK208/BC208)))</f>
        <v>#REF!</v>
      </c>
      <c r="BI208" s="50" t="e">
        <f t="shared" si="39"/>
        <v>#REF!</v>
      </c>
      <c r="BJ208" s="51">
        <f t="shared" si="37"/>
        <v>3.7874991005114289</v>
      </c>
      <c r="BK208" s="52"/>
      <c r="BL208" s="52"/>
      <c r="BM208" s="52"/>
      <c r="BN208" s="52"/>
      <c r="BO208" s="72"/>
      <c r="BP208" s="72"/>
      <c r="BQ208" s="52"/>
      <c r="BR208" s="50"/>
      <c r="BS208" s="53"/>
      <c r="BT208" s="53"/>
      <c r="BU208" s="65"/>
      <c r="BV208" s="55"/>
      <c r="BW208" s="55"/>
      <c r="BX208" s="56"/>
      <c r="BY208" s="57"/>
      <c r="BZ208" s="58"/>
    </row>
    <row r="209" spans="1:79" ht="15.6" x14ac:dyDescent="0.3">
      <c r="A209" s="76" t="s">
        <v>694</v>
      </c>
      <c r="B209" s="62">
        <v>3340</v>
      </c>
      <c r="C209" s="33" t="s">
        <v>571</v>
      </c>
      <c r="D209" s="207" t="s">
        <v>3364</v>
      </c>
      <c r="E209" s="40" t="s">
        <v>572</v>
      </c>
      <c r="F209" s="41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 t="str">
        <f>VLOOKUP(D209,[1]ALL!$A$15:$Z$983,3,FALSE)</f>
        <v>MNS-NELC</v>
      </c>
      <c r="W209" s="43"/>
      <c r="X209" s="43"/>
      <c r="Y209" s="43"/>
      <c r="Z209" s="43"/>
      <c r="AA209" s="43"/>
      <c r="AB209" s="43"/>
      <c r="AC209" s="43"/>
      <c r="AD209" s="190"/>
      <c r="AE209" s="43"/>
      <c r="AF209" s="43"/>
      <c r="AG209" s="43"/>
      <c r="AH209" s="43"/>
      <c r="AI209" s="43"/>
      <c r="AJ209" s="43"/>
      <c r="AK209" s="43"/>
      <c r="AL209" s="44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252"/>
      <c r="AY209" s="45"/>
      <c r="AZ209" s="45"/>
      <c r="BA209" s="45"/>
      <c r="BB209" s="46"/>
      <c r="BC209" s="47"/>
      <c r="BD209" s="43"/>
      <c r="BE209" s="43"/>
      <c r="BF209" s="48">
        <f t="shared" si="38"/>
        <v>0</v>
      </c>
      <c r="BG209" s="49"/>
      <c r="BH209" s="43"/>
      <c r="BI209" s="50">
        <f>IF(OR(BB209=0,BC209=0),0,ABS(BB209/BC209)-1)</f>
        <v>0</v>
      </c>
      <c r="BJ209" s="51">
        <f t="shared" si="37"/>
        <v>0</v>
      </c>
      <c r="BK209" s="52"/>
      <c r="BL209" s="52"/>
      <c r="BM209" s="52"/>
      <c r="BN209" s="52"/>
      <c r="BO209" s="72"/>
      <c r="BP209" s="72"/>
      <c r="BQ209" s="52"/>
      <c r="BR209" s="50"/>
      <c r="BS209" s="53"/>
      <c r="BT209" s="53"/>
      <c r="BU209" s="65"/>
      <c r="BV209" s="55"/>
      <c r="BW209" s="55"/>
      <c r="BX209" s="56"/>
      <c r="BY209" s="57"/>
      <c r="BZ209" s="58"/>
    </row>
    <row r="210" spans="1:79" ht="15.6" x14ac:dyDescent="0.3">
      <c r="A210" s="81" t="s">
        <v>694</v>
      </c>
      <c r="B210" s="38" t="s">
        <v>583</v>
      </c>
      <c r="C210" s="1" t="s">
        <v>584</v>
      </c>
      <c r="D210" s="39" t="s">
        <v>3365</v>
      </c>
      <c r="E210" s="40" t="s">
        <v>585</v>
      </c>
      <c r="F210" s="41">
        <v>0</v>
      </c>
      <c r="G210" s="42" t="s">
        <v>3366</v>
      </c>
      <c r="H210" s="42" t="s">
        <v>3366</v>
      </c>
      <c r="I210" s="42" t="s">
        <v>3366</v>
      </c>
      <c r="J210" s="42" t="s">
        <v>3367</v>
      </c>
      <c r="K210" s="42" t="s">
        <v>3368</v>
      </c>
      <c r="L210" s="42" t="s">
        <v>3369</v>
      </c>
      <c r="M210" s="42" t="s">
        <v>3370</v>
      </c>
      <c r="N210" s="42" t="s">
        <v>3371</v>
      </c>
      <c r="O210" s="42" t="s">
        <v>3372</v>
      </c>
      <c r="P210" s="42" t="s">
        <v>3373</v>
      </c>
      <c r="Q210" s="42" t="s">
        <v>3374</v>
      </c>
      <c r="R210" s="42" t="s">
        <v>3375</v>
      </c>
      <c r="S210" s="42" t="s">
        <v>3376</v>
      </c>
      <c r="T210" s="42" t="s">
        <v>3377</v>
      </c>
      <c r="U210" s="42" t="s">
        <v>3378</v>
      </c>
      <c r="V210" s="42" t="str">
        <f>VLOOKUP(D210,[1]ALL!$A$15:$Z$983,3,FALSE)</f>
        <v>UPV-EGW</v>
      </c>
      <c r="W210" s="43">
        <v>43859.234576908886</v>
      </c>
      <c r="X210" s="43">
        <v>40020.125271404904</v>
      </c>
      <c r="Y210" s="43">
        <v>41226.938866058219</v>
      </c>
      <c r="Z210" s="43">
        <v>40900.939963696408</v>
      </c>
      <c r="AA210" s="43">
        <v>40284.18</v>
      </c>
      <c r="AB210" s="43">
        <v>42554.99</v>
      </c>
      <c r="AC210" s="43">
        <v>43862.83</v>
      </c>
      <c r="AD210" s="43">
        <v>46817.06</v>
      </c>
      <c r="AE210" s="43">
        <v>50824.7</v>
      </c>
      <c r="AF210" s="43">
        <v>55494.45</v>
      </c>
      <c r="AG210" s="43">
        <v>60917.95</v>
      </c>
      <c r="AH210" s="43">
        <v>62241.36</v>
      </c>
      <c r="AI210" s="43">
        <v>60908.03</v>
      </c>
      <c r="AJ210" s="43">
        <v>65535.07</v>
      </c>
      <c r="AK210" s="43">
        <v>60681.04</v>
      </c>
      <c r="AL210" s="44"/>
      <c r="AM210" s="45">
        <f>VLOOKUP($B210,'[2]E.U.'!$R$9:$AZ$205,11,FALSE)</f>
        <v>5641.03</v>
      </c>
      <c r="AN210" s="45">
        <f>VLOOKUP($B210,'[3]E.U.'!$R9:$AZ$225,11,FALSE)</f>
        <v>7041.5</v>
      </c>
      <c r="AO210" s="45">
        <f>VLOOKUP($B210,'[4]E.U.'!$R$9:$BZ$225,11,FALSE)</f>
        <v>7587.8773916069722</v>
      </c>
      <c r="AP210" s="45">
        <f>VLOOKUP($B210,'[5]E.U.'!$R$9:$BZ$225,11,FALSE)</f>
        <v>7192.8329002165619</v>
      </c>
      <c r="AQ210" s="45">
        <f>VLOOKUP($B210,'[6]E.U.'!$R$9:$CA$225,11,FALSE)</f>
        <v>7633.0380977200948</v>
      </c>
      <c r="AR210" s="45">
        <f>VLOOKUP($B210,'[7]E.U.'!$R$9:$AZ$225,11,FALSE)</f>
        <v>6704.4693342346582</v>
      </c>
      <c r="AS210" s="45">
        <f>VLOOKUP($B210,'[8]E.U.'!$R$9:$AZ$225,11,FALSE)</f>
        <v>7116.6328016292546</v>
      </c>
      <c r="AT210" s="45">
        <f>VLOOKUP($B210,'[9]E.U.'!$R$9:$AZ$221,11,FALSE)</f>
        <v>6187.1113246389741</v>
      </c>
      <c r="AU210" s="45"/>
      <c r="AV210" s="45">
        <f>VLOOKUP($B210,'[10]E.U.'!$R$9:$AZ$221,11,FALSE)</f>
        <v>6347.3343132957079</v>
      </c>
      <c r="AW210" s="45">
        <f>VLOOKUP($B210,'[11]E.U.'!$R$9:$AZ$220,11,FALSE)</f>
        <v>7195.5803080864416</v>
      </c>
      <c r="AX210" s="252"/>
      <c r="AY210" s="45">
        <f>VLOOKUP($B210,'[12]E.U.'!$R$9:$AZ$220,11,FALSE)</f>
        <v>6072.3662045337396</v>
      </c>
      <c r="AZ210" s="45"/>
      <c r="BA210" s="45">
        <f>VLOOKUP($B210,'[13]E.U.'!$R$9:$AZ$221,11,FALSE)</f>
        <v>5848.3094016076184</v>
      </c>
      <c r="BB210" s="46">
        <f t="shared" si="26"/>
        <v>80568.082077570027</v>
      </c>
      <c r="BC210" s="47" t="e">
        <f>SUM(#REF!)</f>
        <v>#REF!</v>
      </c>
      <c r="BD210" s="43" t="e">
        <f>VLOOKUP(V210,[14]ELECTRIC!$C$1:$H$4000,6,FALSE)</f>
        <v>#N/A</v>
      </c>
      <c r="BE210" s="43" t="e">
        <f t="shared" si="31"/>
        <v>#N/A</v>
      </c>
      <c r="BF210" s="48">
        <f t="shared" si="38"/>
        <v>80568.082077570027</v>
      </c>
      <c r="BG210" s="49">
        <f t="shared" ref="BG210:BG216" si="40">(BB210*9/7)+((BB210*3/7)*1.065)</f>
        <v>140361.10870513806</v>
      </c>
      <c r="BH210" s="43" t="e">
        <f t="shared" ref="BH210:BH216" si="41">IF(BC210=0,0,(BB210*(AK210/BC210)))</f>
        <v>#REF!</v>
      </c>
      <c r="BI210" s="50" t="e">
        <f t="shared" ref="BI210:BI218" si="42">IF(OR(BB210=0,BC210=0),0,ABS(BB210/BC210)-1)</f>
        <v>#REF!</v>
      </c>
      <c r="BJ210" s="51">
        <f t="shared" si="37"/>
        <v>0.32773073891894455</v>
      </c>
      <c r="BK210" s="52"/>
      <c r="BL210" s="52"/>
      <c r="BM210" s="52"/>
      <c r="BN210" s="52"/>
      <c r="BO210" s="72"/>
      <c r="BP210" s="52"/>
      <c r="BQ210" s="52"/>
      <c r="BR210" s="50"/>
      <c r="BS210" s="53"/>
      <c r="BT210" s="53"/>
      <c r="BU210" s="65"/>
      <c r="BV210" s="55"/>
      <c r="BW210" s="55"/>
      <c r="BX210" s="56"/>
      <c r="BY210" s="57" t="s">
        <v>1296</v>
      </c>
      <c r="BZ210" s="58"/>
    </row>
    <row r="211" spans="1:79" ht="15.6" x14ac:dyDescent="0.3">
      <c r="A211" s="81" t="s">
        <v>694</v>
      </c>
      <c r="B211" s="130" t="s">
        <v>586</v>
      </c>
      <c r="C211" s="124" t="s">
        <v>3379</v>
      </c>
      <c r="D211" t="s">
        <v>3380</v>
      </c>
      <c r="E211" s="103" t="s">
        <v>588</v>
      </c>
      <c r="F211" s="41">
        <v>0</v>
      </c>
      <c r="K211" s="3" t="s">
        <v>3381</v>
      </c>
      <c r="L211" s="117" t="s">
        <v>3382</v>
      </c>
      <c r="M211" s="42" t="s">
        <v>3383</v>
      </c>
      <c r="N211" s="42" t="s">
        <v>3384</v>
      </c>
      <c r="O211" s="42" t="s">
        <v>3385</v>
      </c>
      <c r="P211" s="42" t="s">
        <v>3386</v>
      </c>
      <c r="Q211" s="42" t="s">
        <v>3387</v>
      </c>
      <c r="R211" s="42" t="s">
        <v>3388</v>
      </c>
      <c r="S211" s="42" t="s">
        <v>3389</v>
      </c>
      <c r="T211" s="42" t="s">
        <v>3390</v>
      </c>
      <c r="U211" s="42" t="s">
        <v>3391</v>
      </c>
      <c r="V211" s="42" t="str">
        <f>VLOOKUP(D211,[1]ALL!$A$15:$Z$983,3,FALSE)</f>
        <v>TES-ELC</v>
      </c>
      <c r="X211" s="6"/>
      <c r="Y211" s="6"/>
      <c r="Z211" s="141"/>
      <c r="AA211" s="43">
        <v>11317.41</v>
      </c>
      <c r="AB211" s="43">
        <v>62043.19</v>
      </c>
      <c r="AC211" s="43">
        <v>68009.97</v>
      </c>
      <c r="AD211" s="43">
        <v>66724.740000000005</v>
      </c>
      <c r="AE211" s="43">
        <v>73916.34</v>
      </c>
      <c r="AF211" s="43">
        <v>98955.74</v>
      </c>
      <c r="AG211" s="43">
        <v>89572.68</v>
      </c>
      <c r="AH211" s="43">
        <v>116053.53</v>
      </c>
      <c r="AI211" s="43">
        <v>112871.5</v>
      </c>
      <c r="AJ211" s="43">
        <v>110764.69</v>
      </c>
      <c r="AK211" s="43">
        <v>175512.02</v>
      </c>
      <c r="AL211" s="43"/>
      <c r="AM211" s="45">
        <f>VLOOKUP($B211,'[2]E.U.'!$R$9:$AZ$205,11,FALSE)</f>
        <v>14472.36</v>
      </c>
      <c r="AN211" s="45">
        <f>VLOOKUP($B211,'[3]E.U.'!$R9:$AZ$225,11,FALSE)</f>
        <v>14737.09</v>
      </c>
      <c r="AO211" s="45">
        <f>VLOOKUP($B211,'[4]E.U.'!$R$9:$BZ$225,11,FALSE)</f>
        <v>14306.582149593167</v>
      </c>
      <c r="AP211" s="45">
        <f>VLOOKUP($B211,'[5]E.U.'!$R$9:$BZ$225,11,FALSE)</f>
        <v>13161.87197695366</v>
      </c>
      <c r="AQ211" s="45">
        <f>VLOOKUP($B211,'[6]E.U.'!$R$9:$CA$225,11,FALSE)</f>
        <v>14040.089594924213</v>
      </c>
      <c r="AR211" s="45">
        <f>VLOOKUP($B211,'[7]E.U.'!$R$9:$AZ$225,11,FALSE)</f>
        <v>12866.727536603004</v>
      </c>
      <c r="AS211" s="45">
        <f>VLOOKUP($B211,'[8]E.U.'!$R$9:$AZ$225,11,FALSE)</f>
        <v>10860.539253660752</v>
      </c>
      <c r="AT211" s="45">
        <f>VLOOKUP($B211,'[9]E.U.'!$R$9:$AZ$221,11,FALSE)</f>
        <v>7329.4890288036577</v>
      </c>
      <c r="AU211" s="45"/>
      <c r="AV211" s="45">
        <f>VLOOKUP($B211,'[10]E.U.'!$R$9:$AZ$221,11,FALSE)</f>
        <v>7054.5819220696949</v>
      </c>
      <c r="AW211" s="45">
        <f>VLOOKUP($B211,'[11]E.U.'!$R$9:$AZ$220,11,FALSE)</f>
        <v>9472.0550096310672</v>
      </c>
      <c r="AX211" s="252"/>
      <c r="AY211" s="45">
        <f>VLOOKUP($B211,'[12]E.U.'!$R$9:$AZ$220,11,FALSE)</f>
        <v>9647.7700409213139</v>
      </c>
      <c r="AZ211" s="45"/>
      <c r="BA211" s="45">
        <f>VLOOKUP($B211,'[13]E.U.'!$R$9:$AZ$221,11,FALSE)</f>
        <v>9814.7774290423804</v>
      </c>
      <c r="BB211" s="46">
        <f t="shared" si="26"/>
        <v>137763.93394220292</v>
      </c>
      <c r="BC211" s="47" t="e">
        <f>SUM(#REF!)</f>
        <v>#REF!</v>
      </c>
      <c r="BD211" s="43" t="e">
        <f>VLOOKUP(V211,[14]ELECTRIC!$C$1:$H$4000,6,FALSE)</f>
        <v>#N/A</v>
      </c>
      <c r="BE211" s="43" t="e">
        <f t="shared" si="31"/>
        <v>#N/A</v>
      </c>
      <c r="BF211" s="48">
        <f t="shared" si="38"/>
        <v>137763.93394220292</v>
      </c>
      <c r="BG211" s="49">
        <f t="shared" si="40"/>
        <v>240004.45348930924</v>
      </c>
      <c r="BH211" s="43" t="e">
        <f t="shared" si="41"/>
        <v>#REF!</v>
      </c>
      <c r="BI211" s="50" t="e">
        <f t="shared" si="42"/>
        <v>#REF!</v>
      </c>
      <c r="BJ211" s="51">
        <f t="shared" si="37"/>
        <v>-0.2150740790163379</v>
      </c>
      <c r="BK211" s="52"/>
      <c r="BL211" s="52"/>
      <c r="BM211" s="52"/>
      <c r="BN211" s="52"/>
      <c r="BO211" s="72"/>
      <c r="BP211" s="52"/>
      <c r="BQ211" s="52"/>
      <c r="BR211" s="50"/>
      <c r="BS211" s="136" t="s">
        <v>3213</v>
      </c>
      <c r="BT211" s="136" t="s">
        <v>3213</v>
      </c>
    </row>
    <row r="212" spans="1:79" ht="15.6" x14ac:dyDescent="0.3">
      <c r="A212" s="81" t="s">
        <v>694</v>
      </c>
      <c r="B212" s="62" t="s">
        <v>589</v>
      </c>
      <c r="C212" s="134" t="s">
        <v>590</v>
      </c>
      <c r="D212" t="s">
        <v>3392</v>
      </c>
      <c r="E212" s="132" t="s">
        <v>591</v>
      </c>
      <c r="F212" s="41">
        <v>0</v>
      </c>
      <c r="G212" s="42"/>
      <c r="H212" s="42"/>
      <c r="I212" s="42" t="s">
        <v>3393</v>
      </c>
      <c r="J212" s="42" t="s">
        <v>3394</v>
      </c>
      <c r="K212" s="42" t="s">
        <v>3395</v>
      </c>
      <c r="L212" s="42" t="s">
        <v>3396</v>
      </c>
      <c r="M212" s="42" t="s">
        <v>3397</v>
      </c>
      <c r="N212" s="42" t="s">
        <v>3398</v>
      </c>
      <c r="O212" s="42" t="s">
        <v>3399</v>
      </c>
      <c r="P212" s="42" t="s">
        <v>3400</v>
      </c>
      <c r="Q212" s="42" t="s">
        <v>3401</v>
      </c>
      <c r="R212" s="42" t="s">
        <v>3402</v>
      </c>
      <c r="S212" s="42" t="s">
        <v>3403</v>
      </c>
      <c r="T212" s="42" t="s">
        <v>3404</v>
      </c>
      <c r="U212" s="42" t="s">
        <v>3405</v>
      </c>
      <c r="V212" s="42" t="str">
        <f>VLOOKUP(D212,[1]ALL!$A$15:$Z$983,3,FALSE)</f>
        <v>BKF-EXW</v>
      </c>
      <c r="W212" s="43"/>
      <c r="X212" s="43"/>
      <c r="Y212" s="43">
        <v>0</v>
      </c>
      <c r="Z212" s="43">
        <v>0</v>
      </c>
      <c r="AA212" s="43">
        <v>0</v>
      </c>
      <c r="AB212" s="43">
        <v>0</v>
      </c>
      <c r="AC212" s="43">
        <v>0</v>
      </c>
      <c r="AD212" s="43">
        <v>0</v>
      </c>
      <c r="AE212" s="43">
        <v>0</v>
      </c>
      <c r="AF212" s="43">
        <v>0</v>
      </c>
      <c r="AG212" s="43">
        <v>0</v>
      </c>
      <c r="AH212" s="43">
        <v>0</v>
      </c>
      <c r="AI212" s="43">
        <v>0</v>
      </c>
      <c r="AJ212" s="43">
        <v>0</v>
      </c>
      <c r="AK212" s="43">
        <v>0</v>
      </c>
      <c r="AL212" s="43"/>
      <c r="AM212" s="45">
        <f>VLOOKUP($B212,'[2]E.U.'!$R$9:$AZ$205,11,FALSE)</f>
        <v>0</v>
      </c>
      <c r="AN212" s="45">
        <f>VLOOKUP($B212,'[3]E.U.'!$R9:$AZ$225,11,FALSE)</f>
        <v>0</v>
      </c>
      <c r="AO212" s="45">
        <f>VLOOKUP($B212,'[4]E.U.'!$R$9:$BZ$225,11,FALSE)</f>
        <v>0</v>
      </c>
      <c r="AP212" s="45">
        <f>VLOOKUP($B212,'[5]E.U.'!$R$9:$BZ$225,11,FALSE)</f>
        <v>0</v>
      </c>
      <c r="AQ212" s="45">
        <f>VLOOKUP($B212,'[6]E.U.'!$R$9:$CA$225,11,FALSE)</f>
        <v>0</v>
      </c>
      <c r="AR212" s="45">
        <f>VLOOKUP($B212,'[7]E.U.'!$R$9:$AZ$225,11,FALSE)</f>
        <v>0</v>
      </c>
      <c r="AS212" s="45">
        <f>VLOOKUP($B212,'[8]E.U.'!$R$9:$AZ$225,11,FALSE)</f>
        <v>0</v>
      </c>
      <c r="AT212" s="45">
        <f>VLOOKUP($B212,'[9]E.U.'!$R$9:$AZ$221,11,FALSE)</f>
        <v>0</v>
      </c>
      <c r="AU212" s="45"/>
      <c r="AV212" s="45">
        <f>VLOOKUP($B212,'[10]E.U.'!$R$9:$AZ$221,11,FALSE)</f>
        <v>0</v>
      </c>
      <c r="AW212" s="45" t="e">
        <f>VLOOKUP($B212,'[11]E.U.'!$R$9:$AZ$220,11,FALSE)</f>
        <v>#REF!</v>
      </c>
      <c r="AX212" s="45"/>
      <c r="AY212" s="45" t="e">
        <f>VLOOKUP($B212,'[12]E.U.'!$R$9:$AZ$220,11,FALSE)</f>
        <v>#REF!</v>
      </c>
      <c r="AZ212" s="45"/>
      <c r="BA212" s="45">
        <f>VLOOKUP($B212,'[13]E.U.'!$R$9:$AZ$221,11,FALSE)</f>
        <v>0</v>
      </c>
      <c r="BB212" s="46" t="e">
        <f t="shared" si="26"/>
        <v>#REF!</v>
      </c>
      <c r="BC212" s="47" t="e">
        <f>SUM(#REF!)</f>
        <v>#REF!</v>
      </c>
      <c r="BD212" s="43" t="e">
        <f>VLOOKUP(V212,[14]ELECTRIC!$C$1:$H$4000,6,FALSE)</f>
        <v>#N/A</v>
      </c>
      <c r="BE212" s="43" t="e">
        <f t="shared" si="31"/>
        <v>#REF!</v>
      </c>
      <c r="BF212" s="48" t="e">
        <f t="shared" si="38"/>
        <v>#REF!</v>
      </c>
      <c r="BG212" s="49" t="e">
        <f t="shared" si="40"/>
        <v>#REF!</v>
      </c>
      <c r="BH212" s="43" t="e">
        <f t="shared" si="41"/>
        <v>#REF!</v>
      </c>
      <c r="BI212" s="50" t="e">
        <f t="shared" si="42"/>
        <v>#REF!</v>
      </c>
      <c r="BJ212" s="51" t="e">
        <f t="shared" si="37"/>
        <v>#REF!</v>
      </c>
      <c r="BK212" s="52"/>
      <c r="BL212" s="52"/>
      <c r="BM212" s="52"/>
      <c r="BN212" s="52"/>
      <c r="BO212" s="72"/>
      <c r="BP212" s="52"/>
      <c r="BQ212" s="52"/>
      <c r="BR212" s="50"/>
      <c r="BS212" s="53"/>
      <c r="BT212" s="53"/>
      <c r="BU212" s="65"/>
      <c r="BV212" s="55"/>
      <c r="BW212" s="55"/>
      <c r="BX212" s="56"/>
      <c r="BY212" s="57"/>
      <c r="BZ212" s="58"/>
    </row>
    <row r="213" spans="1:79" ht="15.6" x14ac:dyDescent="0.3">
      <c r="A213" s="81" t="s">
        <v>694</v>
      </c>
      <c r="B213" s="38" t="s">
        <v>592</v>
      </c>
      <c r="C213" s="1" t="s">
        <v>593</v>
      </c>
      <c r="D213" t="s">
        <v>3406</v>
      </c>
      <c r="E213" s="40" t="s">
        <v>594</v>
      </c>
      <c r="F213" s="41">
        <v>0</v>
      </c>
      <c r="G213" s="42" t="s">
        <v>3407</v>
      </c>
      <c r="H213" s="42" t="s">
        <v>3407</v>
      </c>
      <c r="I213" s="42" t="s">
        <v>3366</v>
      </c>
      <c r="J213" s="42" t="s">
        <v>3408</v>
      </c>
      <c r="K213" s="42" t="s">
        <v>3409</v>
      </c>
      <c r="L213" s="42" t="s">
        <v>3410</v>
      </c>
      <c r="M213" s="42" t="s">
        <v>3411</v>
      </c>
      <c r="N213" s="42" t="s">
        <v>3412</v>
      </c>
      <c r="O213" s="42" t="s">
        <v>3413</v>
      </c>
      <c r="P213" s="42" t="s">
        <v>3414</v>
      </c>
      <c r="Q213" s="42" t="s">
        <v>3415</v>
      </c>
      <c r="R213" s="42" t="s">
        <v>3416</v>
      </c>
      <c r="S213" s="42" t="s">
        <v>3417</v>
      </c>
      <c r="T213" s="42" t="s">
        <v>3418</v>
      </c>
      <c r="U213" s="42" t="s">
        <v>3419</v>
      </c>
      <c r="V213" s="42" t="str">
        <f>VLOOKUP(D213,[1]ALL!$A$15:$Z$983,3,FALSE)</f>
        <v>BDX-EXW</v>
      </c>
      <c r="W213" s="43">
        <v>1614.9987249206217</v>
      </c>
      <c r="X213" s="43">
        <v>674.19989987371821</v>
      </c>
      <c r="Y213" s="43">
        <v>676.129416852399</v>
      </c>
      <c r="Z213" s="43">
        <v>928.39704162903968</v>
      </c>
      <c r="AA213" s="43">
        <v>889.69</v>
      </c>
      <c r="AB213" s="43">
        <v>756.53</v>
      </c>
      <c r="AC213" s="43">
        <v>765.62</v>
      </c>
      <c r="AD213" s="43">
        <v>849.91</v>
      </c>
      <c r="AE213" s="43">
        <v>626.01</v>
      </c>
      <c r="AF213" s="43">
        <v>951.44</v>
      </c>
      <c r="AG213" s="43">
        <v>1168.2</v>
      </c>
      <c r="AH213" s="43">
        <v>1244.82</v>
      </c>
      <c r="AI213" s="43">
        <v>1440.37</v>
      </c>
      <c r="AJ213" s="43">
        <v>1948.87</v>
      </c>
      <c r="AK213" s="43">
        <v>1834.7</v>
      </c>
      <c r="AL213" s="43"/>
      <c r="AM213" s="45">
        <f>VLOOKUP($B213,'[2]E.U.'!$R$9:$AZ$205,11,FALSE)</f>
        <v>129.06</v>
      </c>
      <c r="AN213" s="45">
        <f>VLOOKUP($B213,'[3]E.U.'!$R9:$AZ$225,11,FALSE)</f>
        <v>341.12</v>
      </c>
      <c r="AO213" s="45">
        <f>VLOOKUP($B213,'[4]E.U.'!$R$9:$BZ$225,11,FALSE)</f>
        <v>100.79879140277599</v>
      </c>
      <c r="AP213" s="45">
        <f>VLOOKUP($B213,'[5]E.U.'!$R$9:$BZ$225,11,FALSE)</f>
        <v>102.25273315657383</v>
      </c>
      <c r="AQ213" s="45">
        <f>VLOOKUP($B213,'[6]E.U.'!$R$9:$CA$225,11,FALSE)</f>
        <v>303.77988082969125</v>
      </c>
      <c r="AR213" s="45">
        <f>VLOOKUP($B213,'[7]E.U.'!$R$9:$AZ$225,11,FALSE)</f>
        <v>94.23966227166045</v>
      </c>
      <c r="AS213" s="45">
        <f>VLOOKUP($B213,'[8]E.U.'!$R$9:$AZ$225,11,FALSE)</f>
        <v>192.77651188075592</v>
      </c>
      <c r="AT213" s="45">
        <f>VLOOKUP($B213,'[9]E.U.'!$R$9:$AZ$221,11,FALSE)</f>
        <v>102.21043167922846</v>
      </c>
      <c r="AU213" s="45"/>
      <c r="AV213" s="45">
        <f>VLOOKUP($B213,'[10]E.U.'!$R$9:$AZ$221,11,FALSE)</f>
        <v>101.77918175451403</v>
      </c>
      <c r="AW213" s="45">
        <f>VLOOKUP($B213,'[11]E.U.'!$R$9:$AZ$220,11,FALSE)</f>
        <v>260.81244843595232</v>
      </c>
      <c r="AX213" s="252"/>
      <c r="AY213" s="45">
        <f>VLOOKUP($B213,'[12]E.U.'!$R$9:$AZ$220,11,FALSE)</f>
        <v>152.88905223553385</v>
      </c>
      <c r="AZ213" s="45"/>
      <c r="BA213" s="45">
        <f>VLOOKUP($B213,'[13]E.U.'!$R$9:$AZ$221,11,FALSE)</f>
        <v>114.10264332276545</v>
      </c>
      <c r="BB213" s="46">
        <f>SUM(AM213:BA213)</f>
        <v>1995.8213369694517</v>
      </c>
      <c r="BC213" s="47" t="e">
        <f>SUM(#REF!)</f>
        <v>#REF!</v>
      </c>
      <c r="BD213" s="43" t="e">
        <f>VLOOKUP(V213,[14]ELECTRIC!$C$1:$H$4000,6,FALSE)</f>
        <v>#N/A</v>
      </c>
      <c r="BE213" s="43" t="e">
        <f t="shared" si="31"/>
        <v>#N/A</v>
      </c>
      <c r="BF213" s="48">
        <f t="shared" si="38"/>
        <v>1995.8213369694517</v>
      </c>
      <c r="BG213" s="49">
        <f t="shared" si="40"/>
        <v>3477.005886334638</v>
      </c>
      <c r="BH213" s="43" t="e">
        <f t="shared" si="41"/>
        <v>#REF!</v>
      </c>
      <c r="BI213" s="50" t="e">
        <f t="shared" si="42"/>
        <v>#REF!</v>
      </c>
      <c r="BJ213" s="51">
        <f t="shared" si="37"/>
        <v>8.7818900621056128E-2</v>
      </c>
      <c r="BK213" s="52"/>
      <c r="BL213" s="52"/>
      <c r="BM213" s="52"/>
      <c r="BN213" s="52"/>
      <c r="BO213" s="72"/>
      <c r="BP213" s="52"/>
      <c r="BQ213" s="52"/>
      <c r="BR213" s="50"/>
      <c r="BS213" s="53"/>
      <c r="BT213" s="53"/>
      <c r="BU213" s="65"/>
      <c r="BV213" s="55"/>
      <c r="BW213" s="55"/>
      <c r="BX213" s="56"/>
      <c r="BY213" s="57"/>
      <c r="BZ213" s="58"/>
    </row>
    <row r="214" spans="1:79" ht="15.6" x14ac:dyDescent="0.3">
      <c r="A214" s="81" t="s">
        <v>694</v>
      </c>
      <c r="B214" s="38" t="s">
        <v>595</v>
      </c>
      <c r="C214" s="1" t="s">
        <v>596</v>
      </c>
      <c r="D214" s="243" t="s">
        <v>3420</v>
      </c>
      <c r="E214" s="40" t="s">
        <v>597</v>
      </c>
      <c r="F214" s="41">
        <v>0</v>
      </c>
      <c r="G214" s="42"/>
      <c r="H214" s="42" t="s">
        <v>2396</v>
      </c>
      <c r="I214" s="42" t="s">
        <v>3421</v>
      </c>
      <c r="J214" s="42" t="s">
        <v>3422</v>
      </c>
      <c r="K214" s="42" t="s">
        <v>3423</v>
      </c>
      <c r="L214" s="42" t="s">
        <v>3424</v>
      </c>
      <c r="M214" s="42" t="s">
        <v>3425</v>
      </c>
      <c r="N214" s="42" t="s">
        <v>3426</v>
      </c>
      <c r="O214" s="42" t="s">
        <v>3427</v>
      </c>
      <c r="P214" s="42" t="s">
        <v>3428</v>
      </c>
      <c r="Q214" s="42" t="s">
        <v>3429</v>
      </c>
      <c r="R214" s="42" t="s">
        <v>3430</v>
      </c>
      <c r="S214" s="42" t="s">
        <v>3431</v>
      </c>
      <c r="T214" s="42" t="s">
        <v>3432</v>
      </c>
      <c r="U214" s="42" t="s">
        <v>3433</v>
      </c>
      <c r="V214" s="42" t="str">
        <f>VLOOKUP(D214,[1]ALL!$A$15:$Z$983,3,FALSE)</f>
        <v>IMF-EXW</v>
      </c>
      <c r="W214" s="43">
        <v>561.70577454899467</v>
      </c>
      <c r="X214" s="43">
        <v>442.40071044928055</v>
      </c>
      <c r="Y214" s="43">
        <v>368.77181284709263</v>
      </c>
      <c r="Z214" s="43">
        <v>349.76796227542184</v>
      </c>
      <c r="AA214" s="43">
        <v>360.33</v>
      </c>
      <c r="AB214" s="43">
        <v>483.71</v>
      </c>
      <c r="AC214" s="43">
        <v>464.11</v>
      </c>
      <c r="AD214" s="43">
        <v>460.24</v>
      </c>
      <c r="AE214" s="43">
        <v>719.71</v>
      </c>
      <c r="AF214" s="43">
        <v>709.89</v>
      </c>
      <c r="AG214" s="43">
        <v>426.2</v>
      </c>
      <c r="AH214" s="43">
        <v>0</v>
      </c>
      <c r="AI214" s="43">
        <v>0</v>
      </c>
      <c r="AJ214" s="43">
        <v>0</v>
      </c>
      <c r="AK214" s="43">
        <v>0</v>
      </c>
      <c r="AL214" s="43"/>
      <c r="AM214" s="45">
        <f>VLOOKUP($B214,'[2]E.U.'!$R$9:$AZ$205,11,FALSE)</f>
        <v>0</v>
      </c>
      <c r="AN214" s="45">
        <f>VLOOKUP($B214,'[3]E.U.'!$R9:$AZ$225,11,FALSE)</f>
        <v>0</v>
      </c>
      <c r="AO214" s="45">
        <f>VLOOKUP($B214,'[4]E.U.'!$R$9:$BZ$225,11,FALSE)</f>
        <v>0</v>
      </c>
      <c r="AP214" s="45">
        <f>VLOOKUP($B214,'[5]E.U.'!$R$9:$BZ$225,11,FALSE)</f>
        <v>0</v>
      </c>
      <c r="AQ214" s="45">
        <f>VLOOKUP($B214,'[6]E.U.'!$R$9:$CA$225,11,FALSE)</f>
        <v>0</v>
      </c>
      <c r="AR214" s="45">
        <f>VLOOKUP($B214,'[7]E.U.'!$R$9:$AZ$225,11,FALSE)</f>
        <v>0</v>
      </c>
      <c r="AS214" s="45">
        <f>VLOOKUP($B214,'[8]E.U.'!$R$9:$AZ$225,11,FALSE)</f>
        <v>0</v>
      </c>
      <c r="AT214" s="45">
        <f>VLOOKUP($B214,'[9]E.U.'!$R$9:$AZ$221,11,FALSE)</f>
        <v>0</v>
      </c>
      <c r="AU214" s="45"/>
      <c r="AV214" s="45">
        <f>VLOOKUP($B214,'[10]E.U.'!$R$9:$AZ$221,11,FALSE)</f>
        <v>0</v>
      </c>
      <c r="AW214" s="45" t="e">
        <f>VLOOKUP($B214,'[11]E.U.'!$R$9:$AZ$220,11,FALSE)</f>
        <v>#REF!</v>
      </c>
      <c r="AX214" s="45"/>
      <c r="AY214" s="45" t="e">
        <f>VLOOKUP($B214,'[12]E.U.'!$R$9:$AZ$220,11,FALSE)</f>
        <v>#REF!</v>
      </c>
      <c r="AZ214" s="45"/>
      <c r="BA214" s="45">
        <f>VLOOKUP($B214,'[13]E.U.'!$R$9:$AZ$221,11,FALSE)</f>
        <v>0</v>
      </c>
      <c r="BB214" s="46" t="e">
        <f>SUM(AM214:BA214)</f>
        <v>#REF!</v>
      </c>
      <c r="BC214" s="47" t="e">
        <f>SUM(#REF!)</f>
        <v>#REF!</v>
      </c>
      <c r="BD214" s="43" t="e">
        <f>VLOOKUP(V214,[14]ELECTRIC!$C$1:$H$4000,6,FALSE)</f>
        <v>#N/A</v>
      </c>
      <c r="BE214" s="43" t="e">
        <f>BB214-BD214</f>
        <v>#REF!</v>
      </c>
      <c r="BF214" s="48" t="e">
        <f t="shared" si="38"/>
        <v>#REF!</v>
      </c>
      <c r="BG214" s="49" t="e">
        <f t="shared" si="40"/>
        <v>#REF!</v>
      </c>
      <c r="BH214" s="43" t="e">
        <f t="shared" si="41"/>
        <v>#REF!</v>
      </c>
      <c r="BI214" s="50" t="e">
        <f t="shared" si="42"/>
        <v>#REF!</v>
      </c>
      <c r="BJ214" s="51" t="e">
        <f t="shared" si="37"/>
        <v>#REF!</v>
      </c>
      <c r="BK214" s="52"/>
      <c r="BL214" s="52"/>
      <c r="BM214" s="52"/>
      <c r="BN214" s="52"/>
      <c r="BO214" s="72"/>
      <c r="BP214" s="52"/>
      <c r="BQ214" s="52"/>
      <c r="BR214" s="50"/>
      <c r="BS214" s="53"/>
      <c r="BT214" s="53"/>
      <c r="BU214" s="65"/>
      <c r="BV214" s="55"/>
      <c r="BW214" s="55"/>
      <c r="BX214" s="56"/>
      <c r="BY214" s="129"/>
      <c r="BZ214" s="58"/>
    </row>
    <row r="215" spans="1:79" ht="15.6" x14ac:dyDescent="0.3">
      <c r="A215" s="81" t="s">
        <v>694</v>
      </c>
      <c r="B215" s="62" t="s">
        <v>598</v>
      </c>
      <c r="C215" s="142" t="s">
        <v>599</v>
      </c>
      <c r="D215" t="s">
        <v>3434</v>
      </c>
      <c r="E215" s="132" t="s">
        <v>600</v>
      </c>
      <c r="F215" s="41">
        <v>0</v>
      </c>
      <c r="G215" s="42"/>
      <c r="H215" s="42"/>
      <c r="I215" s="42" t="s">
        <v>3435</v>
      </c>
      <c r="J215" s="42" t="s">
        <v>3436</v>
      </c>
      <c r="K215" s="42" t="s">
        <v>3437</v>
      </c>
      <c r="L215" s="42" t="s">
        <v>3438</v>
      </c>
      <c r="M215" s="42" t="s">
        <v>3439</v>
      </c>
      <c r="N215" s="42" t="s">
        <v>3440</v>
      </c>
      <c r="O215" s="42" t="s">
        <v>3441</v>
      </c>
      <c r="P215" s="42" t="s">
        <v>3442</v>
      </c>
      <c r="Q215" s="42" t="s">
        <v>3443</v>
      </c>
      <c r="R215" s="42" t="s">
        <v>3444</v>
      </c>
      <c r="S215" s="42" t="s">
        <v>3445</v>
      </c>
      <c r="T215" s="42" t="s">
        <v>3446</v>
      </c>
      <c r="U215" s="42" t="s">
        <v>3447</v>
      </c>
      <c r="V215" s="42" t="str">
        <f>VLOOKUP(D215,[1]ALL!$A$15:$Z$983,3,FALSE)</f>
        <v>CFX-EXW</v>
      </c>
      <c r="W215" s="43"/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C215" s="43">
        <v>0</v>
      </c>
      <c r="AD215" s="43">
        <v>0</v>
      </c>
      <c r="AE215" s="43">
        <v>0</v>
      </c>
      <c r="AF215" s="43">
        <v>0</v>
      </c>
      <c r="AG215" s="43">
        <v>0</v>
      </c>
      <c r="AH215" s="43">
        <v>0</v>
      </c>
      <c r="AI215" s="43">
        <v>0</v>
      </c>
      <c r="AJ215" s="43">
        <v>0</v>
      </c>
      <c r="AK215" s="43">
        <v>0</v>
      </c>
      <c r="AL215" s="43"/>
      <c r="AM215" s="45">
        <f>VLOOKUP($B215,'[2]E.U.'!$R$9:$AZ$205,11,FALSE)</f>
        <v>0</v>
      </c>
      <c r="AN215" s="45">
        <f>VLOOKUP($B215,'[3]E.U.'!$R9:$AZ$225,11,FALSE)</f>
        <v>0</v>
      </c>
      <c r="AO215" s="45">
        <f>VLOOKUP($B215,'[4]E.U.'!$R$9:$BZ$225,11,FALSE)</f>
        <v>0</v>
      </c>
      <c r="AP215" s="45">
        <f>VLOOKUP($B215,'[5]E.U.'!$R$9:$BZ$225,11,FALSE)</f>
        <v>0</v>
      </c>
      <c r="AQ215" s="45">
        <f>VLOOKUP($B215,'[6]E.U.'!$R$9:$CA$225,11,FALSE)</f>
        <v>0</v>
      </c>
      <c r="AR215" s="45">
        <f>VLOOKUP($B215,'[7]E.U.'!$R$9:$AZ$225,11,FALSE)</f>
        <v>0</v>
      </c>
      <c r="AS215" s="45">
        <f>VLOOKUP($B215,'[8]E.U.'!$R$9:$AZ$225,11,FALSE)</f>
        <v>0</v>
      </c>
      <c r="AT215" s="45">
        <f>VLOOKUP($B215,'[9]E.U.'!$R$9:$AZ$221,11,FALSE)</f>
        <v>0</v>
      </c>
      <c r="AU215" s="45"/>
      <c r="AV215" s="45">
        <f>VLOOKUP($B215,'[10]E.U.'!$R$9:$AZ$221,11,FALSE)</f>
        <v>0</v>
      </c>
      <c r="AW215" s="45">
        <f>VLOOKUP($B215,'[11]E.U.'!$R$9:$AZ$220,11,FALSE)</f>
        <v>0</v>
      </c>
      <c r="AX215" s="45"/>
      <c r="AY215" s="45">
        <f>VLOOKUP($B215,'[12]E.U.'!$R$9:$AZ$220,11,FALSE)</f>
        <v>0</v>
      </c>
      <c r="AZ215" s="45"/>
      <c r="BA215" s="45">
        <f>VLOOKUP($B215,'[13]E.U.'!$R$9:$AZ$221,11,FALSE)</f>
        <v>0</v>
      </c>
      <c r="BB215" s="46">
        <f>SUM(AM215:BA215)</f>
        <v>0</v>
      </c>
      <c r="BC215" s="47" t="e">
        <f>SUM(#REF!)</f>
        <v>#REF!</v>
      </c>
      <c r="BD215" s="43" t="e">
        <f>VLOOKUP(V215,[14]ELECTRIC!$C$1:$H$4000,6,FALSE)</f>
        <v>#N/A</v>
      </c>
      <c r="BE215" s="43" t="e">
        <f>BB215-BD215</f>
        <v>#N/A</v>
      </c>
      <c r="BF215" s="48">
        <f t="shared" si="38"/>
        <v>0</v>
      </c>
      <c r="BG215" s="49">
        <f t="shared" si="40"/>
        <v>0</v>
      </c>
      <c r="BH215" s="43" t="e">
        <f t="shared" si="41"/>
        <v>#REF!</v>
      </c>
      <c r="BI215" s="50" t="e">
        <f t="shared" si="42"/>
        <v>#REF!</v>
      </c>
      <c r="BJ215" s="51">
        <f t="shared" si="37"/>
        <v>0</v>
      </c>
      <c r="BK215" s="52"/>
      <c r="BL215" s="52"/>
      <c r="BM215" s="52"/>
      <c r="BN215" s="52"/>
      <c r="BO215" s="72"/>
      <c r="BP215" s="52"/>
      <c r="BQ215" s="52"/>
      <c r="BR215" s="50"/>
      <c r="BS215" s="53"/>
      <c r="BT215" s="53"/>
      <c r="BU215" s="65"/>
      <c r="BV215" s="55"/>
      <c r="BW215" s="55"/>
      <c r="BX215" s="56"/>
      <c r="BY215" s="129"/>
      <c r="BZ215" s="58"/>
    </row>
    <row r="216" spans="1:79" ht="15.6" x14ac:dyDescent="0.3">
      <c r="A216" s="81" t="s">
        <v>1222</v>
      </c>
      <c r="B216" s="62" t="s">
        <v>601</v>
      </c>
      <c r="C216" s="102" t="s">
        <v>602</v>
      </c>
      <c r="D216" t="s">
        <v>3448</v>
      </c>
      <c r="E216" s="40" t="s">
        <v>603</v>
      </c>
      <c r="F216" s="41">
        <v>0</v>
      </c>
      <c r="G216" s="42"/>
      <c r="H216" s="42" t="s">
        <v>3449</v>
      </c>
      <c r="I216" s="42" t="s">
        <v>3393</v>
      </c>
      <c r="J216" s="42" t="s">
        <v>3450</v>
      </c>
      <c r="K216" s="42" t="s">
        <v>3451</v>
      </c>
      <c r="L216" s="42" t="s">
        <v>3452</v>
      </c>
      <c r="M216" s="42" t="s">
        <v>3453</v>
      </c>
      <c r="N216" s="42" t="s">
        <v>3454</v>
      </c>
      <c r="O216" s="42" t="s">
        <v>3455</v>
      </c>
      <c r="P216" s="42" t="s">
        <v>3456</v>
      </c>
      <c r="Q216" s="42" t="s">
        <v>3457</v>
      </c>
      <c r="R216" s="42" t="s">
        <v>3458</v>
      </c>
      <c r="S216" s="42" t="s">
        <v>3459</v>
      </c>
      <c r="T216" s="42" t="s">
        <v>3460</v>
      </c>
      <c r="U216" s="42" t="s">
        <v>3461</v>
      </c>
      <c r="V216" s="42" t="str">
        <f>VLOOKUP(D216,[1]ALL!$A$15:$Z$983,3,FALSE)</f>
        <v>SMF-ELC</v>
      </c>
      <c r="W216" s="43">
        <v>0</v>
      </c>
      <c r="X216" s="43">
        <v>2155.48</v>
      </c>
      <c r="Y216" s="43">
        <v>1616.16</v>
      </c>
      <c r="Z216" s="43">
        <v>1818.62</v>
      </c>
      <c r="AA216" s="43">
        <v>2935.6</v>
      </c>
      <c r="AB216" s="43">
        <v>2125.6</v>
      </c>
      <c r="AC216" s="43">
        <v>1522.74</v>
      </c>
      <c r="AD216" s="43">
        <v>1382.48</v>
      </c>
      <c r="AE216" s="43">
        <v>1606.39</v>
      </c>
      <c r="AF216" s="43">
        <v>1970.72</v>
      </c>
      <c r="AG216" s="43">
        <v>2609.2600000000002</v>
      </c>
      <c r="AH216" s="43">
        <v>3099.57</v>
      </c>
      <c r="AI216" s="43">
        <v>1854.31</v>
      </c>
      <c r="AJ216" s="43">
        <v>3886.25</v>
      </c>
      <c r="AK216" s="43">
        <v>7055.27</v>
      </c>
      <c r="AL216" s="43"/>
      <c r="AM216" s="45">
        <f>VLOOKUP($B216,'[2]E.U.'!$R$9:$AZ$205,11,FALSE)</f>
        <v>0</v>
      </c>
      <c r="AN216" s="45">
        <f>VLOOKUP($B216,'[3]E.U.'!$R9:$AZ$225,11,FALSE)</f>
        <v>0</v>
      </c>
      <c r="AO216" s="45">
        <f>VLOOKUP($B216,'[4]E.U.'!$R$9:$BZ$225,11,FALSE)</f>
        <v>0</v>
      </c>
      <c r="AP216" s="45">
        <f>VLOOKUP($B216,'[5]E.U.'!$R$9:$BZ$225,11,FALSE)</f>
        <v>0</v>
      </c>
      <c r="AQ216" s="45">
        <f>VLOOKUP($B216,'[6]E.U.'!$R$9:$CA$225,11,FALSE)</f>
        <v>0</v>
      </c>
      <c r="AR216" s="45">
        <f>VLOOKUP($B216,'[7]E.U.'!$R$9:$AZ$225,11,FALSE)</f>
        <v>0</v>
      </c>
      <c r="AS216" s="45">
        <f>VLOOKUP($B216,'[8]E.U.'!$R$9:$AZ$225,11,FALSE)</f>
        <v>0</v>
      </c>
      <c r="AT216" s="45">
        <f>VLOOKUP($B216,'[9]E.U.'!$R$9:$AZ$221,11,FALSE)</f>
        <v>0</v>
      </c>
      <c r="AU216" s="45"/>
      <c r="AV216" s="45">
        <f>VLOOKUP($B216,'[10]E.U.'!$R$9:$AZ$221,11,FALSE)</f>
        <v>0</v>
      </c>
      <c r="AW216" s="45">
        <f>VLOOKUP($B216,'[11]E.U.'!$R$9:$AZ$220,11,FALSE)</f>
        <v>0</v>
      </c>
      <c r="AX216" s="45"/>
      <c r="AY216" s="45">
        <f>VLOOKUP($B216,'[12]E.U.'!$R$9:$AZ$220,11,FALSE)</f>
        <v>0</v>
      </c>
      <c r="AZ216" s="45"/>
      <c r="BA216" s="45">
        <f>VLOOKUP($B216,'[13]E.U.'!$R$9:$AZ$221,11,FALSE)</f>
        <v>0</v>
      </c>
      <c r="BB216" s="46">
        <f>SUM(AM216:BA216)</f>
        <v>0</v>
      </c>
      <c r="BC216" s="47" t="e">
        <f>SUM(#REF!)</f>
        <v>#REF!</v>
      </c>
      <c r="BD216" s="43" t="e">
        <f>VLOOKUP(V216,[14]ELECTRIC!$C$1:$H$4000,6,FALSE)</f>
        <v>#N/A</v>
      </c>
      <c r="BE216" s="43" t="e">
        <f>BB216-BD216</f>
        <v>#N/A</v>
      </c>
      <c r="BF216" s="48">
        <f t="shared" si="38"/>
        <v>0</v>
      </c>
      <c r="BG216" s="49">
        <f t="shared" si="40"/>
        <v>0</v>
      </c>
      <c r="BH216" s="43" t="e">
        <f t="shared" si="41"/>
        <v>#REF!</v>
      </c>
      <c r="BI216" s="50" t="e">
        <f t="shared" si="42"/>
        <v>#REF!</v>
      </c>
      <c r="BJ216" s="51">
        <f t="shared" si="37"/>
        <v>0</v>
      </c>
      <c r="BK216" s="52"/>
      <c r="BL216" s="52"/>
      <c r="BM216" s="52"/>
      <c r="BN216" s="52"/>
      <c r="BO216" s="72"/>
      <c r="BP216" s="52"/>
      <c r="BQ216" s="52"/>
      <c r="BR216" s="50"/>
      <c r="BS216" s="53"/>
      <c r="BT216" s="53"/>
      <c r="BU216" s="65"/>
      <c r="BV216" s="55"/>
      <c r="BW216" s="55"/>
      <c r="BX216" s="56"/>
      <c r="BY216" s="129"/>
      <c r="BZ216" s="58"/>
    </row>
    <row r="217" spans="1:79" ht="15.6" x14ac:dyDescent="0.3">
      <c r="A217" s="81" t="s">
        <v>694</v>
      </c>
      <c r="B217" s="40">
        <v>5110</v>
      </c>
      <c r="C217" s="143" t="s">
        <v>604</v>
      </c>
      <c r="D217" t="s">
        <v>3462</v>
      </c>
      <c r="E217" s="132" t="s">
        <v>605</v>
      </c>
      <c r="F217" s="41">
        <v>0</v>
      </c>
      <c r="G217" s="42"/>
      <c r="H217" s="42"/>
      <c r="I217" s="42" t="s">
        <v>3463</v>
      </c>
      <c r="J217" s="42" t="s">
        <v>3464</v>
      </c>
      <c r="K217" s="42" t="s">
        <v>3465</v>
      </c>
      <c r="L217" s="42" t="s">
        <v>3466</v>
      </c>
      <c r="M217" s="42" t="s">
        <v>3467</v>
      </c>
      <c r="N217" s="42" t="s">
        <v>3468</v>
      </c>
      <c r="O217" s="42" t="s">
        <v>3469</v>
      </c>
      <c r="P217" s="42" t="s">
        <v>3470</v>
      </c>
      <c r="Q217" s="42" t="s">
        <v>3471</v>
      </c>
      <c r="R217" s="42" t="s">
        <v>3472</v>
      </c>
      <c r="S217" s="42" t="s">
        <v>3473</v>
      </c>
      <c r="T217" s="42" t="s">
        <v>3474</v>
      </c>
      <c r="U217" s="42" t="s">
        <v>3475</v>
      </c>
      <c r="V217" s="42" t="str">
        <f>VLOOKUP(D217,[1]ALL!$A$15:$Z$983,3,FALSE)</f>
        <v>GPC-EXW</v>
      </c>
      <c r="W217" s="43"/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C217" s="43">
        <v>0</v>
      </c>
      <c r="AD217" s="43">
        <v>0</v>
      </c>
      <c r="AE217" s="43">
        <v>0</v>
      </c>
      <c r="AF217" s="43">
        <v>0</v>
      </c>
      <c r="AG217" s="43">
        <v>0</v>
      </c>
      <c r="AH217" s="43">
        <v>0</v>
      </c>
      <c r="AI217" s="43">
        <v>0</v>
      </c>
      <c r="AJ217" s="43">
        <v>0</v>
      </c>
      <c r="AK217" s="43">
        <v>0</v>
      </c>
      <c r="AL217" s="43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6"/>
      <c r="BC217" s="47"/>
      <c r="BD217" s="43" t="e">
        <f>VLOOKUP(V217,[14]ELECTRIC!$C$1:$H$4000,6,FALSE)</f>
        <v>#N/A</v>
      </c>
      <c r="BE217" s="43" t="e">
        <f>BB217-BD217</f>
        <v>#N/A</v>
      </c>
      <c r="BF217" s="48">
        <f t="shared" si="38"/>
        <v>0</v>
      </c>
      <c r="BG217" s="49"/>
      <c r="BH217" s="43"/>
      <c r="BI217" s="50">
        <f t="shared" si="42"/>
        <v>0</v>
      </c>
      <c r="BJ217" s="51">
        <f t="shared" si="37"/>
        <v>0</v>
      </c>
      <c r="BK217" s="52"/>
      <c r="BL217" s="52"/>
      <c r="BM217" s="52"/>
      <c r="BN217" s="52"/>
      <c r="BO217" s="72"/>
      <c r="BP217" s="52"/>
      <c r="BQ217" s="52"/>
      <c r="BR217" s="50"/>
      <c r="BS217" s="53"/>
      <c r="BT217" s="53"/>
      <c r="BU217" s="65"/>
      <c r="BV217" s="55"/>
      <c r="BW217" s="55"/>
      <c r="BX217" s="56"/>
      <c r="BY217" s="129"/>
      <c r="BZ217" s="58"/>
    </row>
    <row r="218" spans="1:79" ht="15.75" customHeight="1" x14ac:dyDescent="0.3">
      <c r="A218" s="40" t="s">
        <v>739</v>
      </c>
      <c r="B218" s="337">
        <v>8010</v>
      </c>
      <c r="C218" s="100" t="s">
        <v>3476</v>
      </c>
      <c r="D218" t="s">
        <v>3477</v>
      </c>
      <c r="E218" s="132" t="s">
        <v>609</v>
      </c>
      <c r="F218"/>
      <c r="G218"/>
      <c r="H218"/>
      <c r="I218"/>
      <c r="J218"/>
      <c r="K218"/>
      <c r="L218"/>
      <c r="M218"/>
      <c r="N218" s="42" t="s">
        <v>3478</v>
      </c>
      <c r="O218" s="42" t="s">
        <v>3479</v>
      </c>
      <c r="P218" s="42" t="s">
        <v>3480</v>
      </c>
      <c r="Q218" s="42" t="s">
        <v>3481</v>
      </c>
      <c r="R218" s="42" t="s">
        <v>3482</v>
      </c>
      <c r="S218" s="42" t="s">
        <v>3483</v>
      </c>
      <c r="T218" s="42" t="s">
        <v>3484</v>
      </c>
      <c r="U218" s="42" t="s">
        <v>3485</v>
      </c>
      <c r="V218" s="42" t="str">
        <f>VLOOKUP(D218,[1]ALL!$A$15:$Z$983,3,FALSE)</f>
        <v>TDF-EGW</v>
      </c>
      <c r="AC218" s="32"/>
      <c r="AD218" s="43">
        <v>173.96</v>
      </c>
      <c r="AE218" s="43">
        <v>89387.98</v>
      </c>
      <c r="AF218" s="43">
        <v>120195.1</v>
      </c>
      <c r="AG218" s="43">
        <v>44797.73</v>
      </c>
      <c r="AH218" s="43">
        <v>41282.01</v>
      </c>
      <c r="AI218" s="43">
        <v>20619.560000000001</v>
      </c>
      <c r="AJ218" s="43">
        <v>0</v>
      </c>
      <c r="AK218" s="43"/>
      <c r="AL218" s="260" t="s">
        <v>1898</v>
      </c>
      <c r="AM218" s="45"/>
      <c r="AN218" s="45"/>
      <c r="AO218" s="45"/>
      <c r="AP218" s="45"/>
      <c r="AQ218" s="45"/>
      <c r="AR218" s="45"/>
      <c r="AS218" s="45">
        <f>VLOOKUP($B218,'[8]E.U.'!$R$9:$AZ$225,11,FALSE)</f>
        <v>0</v>
      </c>
      <c r="AT218" s="45">
        <f>VLOOKUP($B218,'[9]E.U.'!$R$9:$AZ$221,11,FALSE)</f>
        <v>0</v>
      </c>
      <c r="AU218" s="45"/>
      <c r="AV218" s="45">
        <f>VLOOKUP($B218,'[10]E.U.'!$R$9:$AZ$221,11,FALSE)</f>
        <v>0</v>
      </c>
      <c r="AW218" s="45" t="e">
        <f>VLOOKUP($B218,'[11]E.U.'!$R$9:$AZ$220,11,FALSE)</f>
        <v>#REF!</v>
      </c>
      <c r="AX218" s="45"/>
      <c r="AY218" s="45" t="e">
        <f>VLOOKUP($B218,'[12]E.U.'!$R$9:$AZ$220,11,FALSE)</f>
        <v>#REF!</v>
      </c>
      <c r="AZ218" s="45"/>
      <c r="BA218" s="45">
        <f>VLOOKUP($B218,'[13]E.U.'!$R$9:$AZ$221,11,FALSE)</f>
        <v>0</v>
      </c>
      <c r="BB218" s="46"/>
      <c r="BC218" s="47" t="e">
        <f>SUM(#REF!)</f>
        <v>#REF!</v>
      </c>
      <c r="BD218" s="43" t="e">
        <f>VLOOKUP(V218,[14]ELECTRIC!$C$1:$H$4000,6,FALSE)</f>
        <v>#N/A</v>
      </c>
      <c r="BE218" s="43" t="e">
        <f>BB218-BD218</f>
        <v>#N/A</v>
      </c>
      <c r="BF218" s="48">
        <f t="shared" si="38"/>
        <v>0</v>
      </c>
      <c r="BG218" s="49">
        <f>BF218</f>
        <v>0</v>
      </c>
      <c r="BH218" s="43" t="e">
        <f>IF(BC218=0,0,(BB218*(AK218/BC218)))</f>
        <v>#REF!</v>
      </c>
      <c r="BI218" s="50" t="e">
        <f t="shared" si="42"/>
        <v>#REF!</v>
      </c>
      <c r="BJ218" s="51">
        <f t="shared" si="37"/>
        <v>0</v>
      </c>
      <c r="BK218" s="52"/>
      <c r="BL218" s="52"/>
      <c r="BM218" s="72"/>
      <c r="BN218" s="72" t="s">
        <v>3486</v>
      </c>
      <c r="BP218" s="52"/>
    </row>
    <row r="219" spans="1:79" ht="15.75" customHeight="1" x14ac:dyDescent="0.25">
      <c r="AZ219" s="45"/>
      <c r="BB219" s="34"/>
      <c r="BC219" s="35"/>
      <c r="BF219" s="36"/>
      <c r="BG219" s="37"/>
      <c r="BJ219" s="36"/>
      <c r="BO219" s="225"/>
    </row>
    <row r="220" spans="1:79" ht="15.75" customHeight="1" x14ac:dyDescent="0.25">
      <c r="AZ220" s="45"/>
      <c r="BB220" s="34"/>
      <c r="BC220" s="35"/>
      <c r="BF220" s="36"/>
      <c r="BG220" s="37"/>
      <c r="BJ220" s="36"/>
      <c r="BO220" s="225"/>
    </row>
    <row r="221" spans="1:79" ht="15.75" customHeight="1" x14ac:dyDescent="0.25">
      <c r="AZ221" s="45"/>
      <c r="BB221" s="34"/>
      <c r="BC221" s="35"/>
      <c r="BF221" s="36"/>
      <c r="BG221" s="37"/>
      <c r="BJ221" s="36"/>
      <c r="BO221" s="225"/>
    </row>
    <row r="222" spans="1:79" ht="15.75" customHeight="1" x14ac:dyDescent="0.25">
      <c r="AZ222" s="45"/>
      <c r="BB222" s="34"/>
      <c r="BC222" s="35"/>
      <c r="BF222" s="36"/>
      <c r="BG222" s="37"/>
      <c r="BJ222" s="36"/>
      <c r="BO222" s="225"/>
    </row>
    <row r="223" spans="1:79" ht="15.75" customHeight="1" x14ac:dyDescent="0.55000000000000004">
      <c r="B223" s="126"/>
      <c r="C223" s="124"/>
      <c r="D223" s="124"/>
      <c r="E223" s="144"/>
      <c r="F223" s="144"/>
      <c r="W223" s="145">
        <v>0</v>
      </c>
      <c r="X223" s="145">
        <v>0</v>
      </c>
      <c r="Y223" s="145">
        <v>0</v>
      </c>
      <c r="Z223" s="145">
        <v>0</v>
      </c>
      <c r="AA223" s="145">
        <v>0</v>
      </c>
      <c r="AB223" s="145">
        <v>0</v>
      </c>
      <c r="AC223" s="145">
        <v>0</v>
      </c>
      <c r="AD223" s="145">
        <v>0</v>
      </c>
      <c r="AE223" s="145">
        <v>0</v>
      </c>
      <c r="AF223" s="145">
        <v>0</v>
      </c>
      <c r="AG223" s="145">
        <v>0</v>
      </c>
      <c r="AH223" s="145">
        <v>0</v>
      </c>
      <c r="AI223" s="145">
        <v>0</v>
      </c>
      <c r="AJ223" s="145">
        <v>0</v>
      </c>
      <c r="AK223" s="145">
        <v>1</v>
      </c>
      <c r="AL223" s="145"/>
      <c r="AM223" s="146">
        <v>0</v>
      </c>
      <c r="AN223" s="146">
        <v>0</v>
      </c>
      <c r="AO223" s="146">
        <v>0</v>
      </c>
      <c r="AP223" s="146">
        <v>0</v>
      </c>
      <c r="AQ223" s="146">
        <v>0</v>
      </c>
      <c r="AR223" s="146">
        <v>0</v>
      </c>
      <c r="AS223" s="146">
        <v>0</v>
      </c>
      <c r="AT223" s="146">
        <v>0</v>
      </c>
      <c r="AU223" s="146">
        <v>0</v>
      </c>
      <c r="AV223" s="146">
        <v>0</v>
      </c>
      <c r="AW223" s="146">
        <v>0</v>
      </c>
      <c r="AX223" s="146">
        <v>0</v>
      </c>
      <c r="AY223" s="146">
        <v>0</v>
      </c>
      <c r="AZ223" s="146">
        <v>0</v>
      </c>
      <c r="BA223" s="146">
        <v>0</v>
      </c>
      <c r="BB223" s="147">
        <v>0</v>
      </c>
      <c r="BC223" s="148">
        <v>0</v>
      </c>
      <c r="BD223" s="146">
        <v>0</v>
      </c>
      <c r="BE223" s="146">
        <f>BD223-BB223</f>
        <v>0</v>
      </c>
      <c r="BF223" s="149">
        <v>0</v>
      </c>
      <c r="BG223" s="150">
        <v>0</v>
      </c>
      <c r="BH223" s="146">
        <v>0</v>
      </c>
      <c r="BI223" s="146">
        <v>0</v>
      </c>
      <c r="BJ223" s="149">
        <v>0</v>
      </c>
      <c r="BK223" s="146"/>
      <c r="BL223" s="146"/>
      <c r="BM223" s="146"/>
      <c r="BN223" s="146"/>
      <c r="BO223" s="226"/>
      <c r="BP223" s="146"/>
      <c r="BQ223" s="146"/>
      <c r="BR223" s="146">
        <v>0</v>
      </c>
    </row>
    <row r="224" spans="1:79" s="151" customFormat="1" ht="18" thickBot="1" x14ac:dyDescent="0.5">
      <c r="B224" s="151" t="s">
        <v>612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152">
        <f>SUM(W8:W220)</f>
        <v>10588207.549591148</v>
      </c>
      <c r="X224" s="153">
        <f t="shared" ref="X224:AH224" si="43">SUM(X8:X223)</f>
        <v>10006581.951371437</v>
      </c>
      <c r="Y224" s="153">
        <f t="shared" si="43"/>
        <v>10096813.219574679</v>
      </c>
      <c r="Z224" s="153">
        <f t="shared" si="43"/>
        <v>10809565.543682585</v>
      </c>
      <c r="AA224" s="153">
        <f t="shared" si="43"/>
        <v>11121308.099999998</v>
      </c>
      <c r="AB224" s="153">
        <f t="shared" si="43"/>
        <v>11472268.899999995</v>
      </c>
      <c r="AC224" s="153">
        <f t="shared" si="43"/>
        <v>13037649.730729384</v>
      </c>
      <c r="AD224" s="153">
        <f t="shared" si="43"/>
        <v>13477045.618625302</v>
      </c>
      <c r="AE224" s="153">
        <f t="shared" si="43"/>
        <v>15404136.422514994</v>
      </c>
      <c r="AF224" s="153">
        <f t="shared" si="43"/>
        <v>16388826.228511985</v>
      </c>
      <c r="AG224" s="153">
        <f t="shared" si="43"/>
        <v>17278194.546331804</v>
      </c>
      <c r="AH224" s="153">
        <f t="shared" si="43"/>
        <v>17529779.230000004</v>
      </c>
      <c r="AI224" s="153">
        <f>SUM(AI8:AI223)</f>
        <v>18337066.020000003</v>
      </c>
      <c r="AJ224" s="153">
        <f>SUM(AJ8:AJ223)</f>
        <v>19963628.019999996</v>
      </c>
      <c r="AK224" s="153">
        <f>SUM(AK8:AK223)</f>
        <v>21797202.584995691</v>
      </c>
      <c r="AL224" s="153"/>
      <c r="AM224" s="154">
        <f>SUM(AM8:AM223)</f>
        <v>1735528.8000000003</v>
      </c>
      <c r="AN224" s="154">
        <f t="shared" ref="AN224:AW224" si="44">SUM(AN8:AN223)</f>
        <v>1899817.61</v>
      </c>
      <c r="AO224" s="154">
        <f t="shared" si="44"/>
        <v>1936317.3699999999</v>
      </c>
      <c r="AP224" s="154">
        <f t="shared" si="44"/>
        <v>2036636.1300000006</v>
      </c>
      <c r="AQ224" s="154">
        <f t="shared" si="44"/>
        <v>2233181.0299999993</v>
      </c>
      <c r="AR224" s="154">
        <f t="shared" si="44"/>
        <v>1997535.1661351516</v>
      </c>
      <c r="AS224" s="154">
        <f t="shared" si="44"/>
        <v>1896961.2799999993</v>
      </c>
      <c r="AT224" s="154">
        <f t="shared" si="44"/>
        <v>1580551.5260108334</v>
      </c>
      <c r="AU224" s="154">
        <f t="shared" si="44"/>
        <v>0</v>
      </c>
      <c r="AV224" s="154">
        <f t="shared" si="44"/>
        <v>1581370.87</v>
      </c>
      <c r="AW224" s="154" t="e">
        <f t="shared" si="44"/>
        <v>#REF!</v>
      </c>
      <c r="AX224" s="253">
        <f>SUM(AX8:AX223)</f>
        <v>0</v>
      </c>
      <c r="AY224" s="154" t="e">
        <f t="shared" ref="AY224:BH224" si="45">SUM(AY8:AY223)</f>
        <v>#REF!</v>
      </c>
      <c r="AZ224" s="154">
        <f t="shared" si="45"/>
        <v>0</v>
      </c>
      <c r="BA224" s="154">
        <f t="shared" si="45"/>
        <v>1558016.1700000004</v>
      </c>
      <c r="BB224" s="155" t="e">
        <f>SUM(BB8:BB223)</f>
        <v>#REF!</v>
      </c>
      <c r="BC224" s="156" t="e">
        <f>SUM(BC8:BC223)</f>
        <v>#REF!</v>
      </c>
      <c r="BD224" s="153" t="e">
        <f t="shared" si="45"/>
        <v>#N/A</v>
      </c>
      <c r="BE224" s="153" t="e">
        <f t="shared" si="45"/>
        <v>#N/A</v>
      </c>
      <c r="BF224" s="157" t="e">
        <f t="shared" si="45"/>
        <v>#REF!</v>
      </c>
      <c r="BG224" s="157" t="e">
        <f>SUM(BG8:BG223)</f>
        <v>#REF!</v>
      </c>
      <c r="BH224" s="153" t="e">
        <f t="shared" si="45"/>
        <v>#REF!</v>
      </c>
      <c r="BI224" s="158" t="e">
        <f>IF(BC224=0,0,(BB224/BC224-1))</f>
        <v>#REF!</v>
      </c>
      <c r="BJ224" s="159" t="e">
        <f>IF(OR(AK224=0,BF224=0),0,ABS(BF224/AK224)-1)</f>
        <v>#REF!</v>
      </c>
      <c r="BK224" s="160"/>
      <c r="BL224" s="160"/>
      <c r="BM224" s="160"/>
      <c r="BN224" s="160"/>
      <c r="BO224" s="210"/>
      <c r="BP224" s="160"/>
      <c r="BQ224" s="160"/>
      <c r="BR224" s="161" t="s">
        <v>3487</v>
      </c>
      <c r="BS224" s="85"/>
      <c r="BT224" s="85"/>
      <c r="BU224" s="162"/>
      <c r="BV224" s="163"/>
      <c r="BW224" s="163"/>
      <c r="BX224" s="9"/>
      <c r="BY224" s="9"/>
      <c r="BZ224" s="58"/>
      <c r="CA224" s="9"/>
    </row>
    <row r="225" spans="3:79" s="151" customFormat="1" ht="18" thickTop="1" x14ac:dyDescent="0.4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4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4"/>
      <c r="AN225" s="164"/>
      <c r="AO225" s="232"/>
      <c r="AP225" s="154"/>
      <c r="AQ225" s="154"/>
      <c r="AR225" s="165"/>
      <c r="AS225" s="154"/>
      <c r="AT225" s="154"/>
      <c r="AU225" s="154"/>
      <c r="AV225" s="154"/>
      <c r="AW225" s="154"/>
      <c r="AX225" s="154"/>
      <c r="AY225" s="154"/>
      <c r="AZ225" s="154"/>
      <c r="BA225" s="154"/>
      <c r="BB225" s="154" t="e">
        <f>SUM(AM224:BA224)</f>
        <v>#REF!</v>
      </c>
      <c r="BC225" s="153" t="e">
        <f>SUM(#REF!)</f>
        <v>#REF!</v>
      </c>
      <c r="BD225" s="153"/>
      <c r="BE225" s="153"/>
      <c r="BF225" s="153" t="e">
        <f>BB224-BF224</f>
        <v>#REF!</v>
      </c>
      <c r="BG225" s="153"/>
      <c r="BH225" s="153"/>
      <c r="BI225" s="158"/>
      <c r="BJ225" s="161"/>
      <c r="BK225" s="160"/>
      <c r="BL225" s="160"/>
      <c r="BM225" s="160"/>
      <c r="BN225" s="160"/>
      <c r="BO225" s="227"/>
      <c r="BP225" s="161"/>
      <c r="BQ225" s="160"/>
      <c r="BR225" s="161"/>
      <c r="BS225" s="85"/>
      <c r="BT225" s="85"/>
      <c r="BU225" s="162"/>
      <c r="BV225" s="163"/>
      <c r="BW225" s="163"/>
      <c r="BX225" s="9"/>
      <c r="BY225" s="9"/>
      <c r="BZ225" s="58"/>
      <c r="CA225" s="9"/>
    </row>
    <row r="226" spans="3:79" s="151" customFormat="1" ht="17.399999999999999" x14ac:dyDescent="0.4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4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  <c r="AK226" s="153"/>
      <c r="AL226" s="153"/>
      <c r="AM226" s="154"/>
      <c r="AN226" s="164"/>
      <c r="AO226" s="232"/>
      <c r="AP226" s="154"/>
      <c r="AQ226" s="154"/>
      <c r="AR226" s="165"/>
      <c r="AS226" s="154"/>
      <c r="AT226" s="154"/>
      <c r="AU226" s="154"/>
      <c r="AV226" s="154"/>
      <c r="AW226" s="154"/>
      <c r="AX226" s="154"/>
      <c r="AY226" s="154"/>
      <c r="AZ226" s="154"/>
      <c r="BA226" s="154"/>
      <c r="BB226" s="154"/>
      <c r="BC226" s="153"/>
      <c r="BD226" s="153"/>
      <c r="BE226" s="153"/>
      <c r="BF226" s="153"/>
      <c r="BG226" s="153"/>
      <c r="BH226" s="153"/>
      <c r="BI226" s="158"/>
      <c r="BJ226" s="161"/>
      <c r="BK226" s="160"/>
      <c r="BL226" s="160"/>
      <c r="BM226" s="160"/>
      <c r="BN226" s="160"/>
      <c r="BO226" s="227"/>
      <c r="BP226" s="161"/>
      <c r="BQ226" s="160"/>
      <c r="BR226" s="161"/>
      <c r="BS226" s="85"/>
      <c r="BT226" s="85"/>
      <c r="BU226" s="162"/>
      <c r="BV226" s="163"/>
      <c r="BW226" s="163"/>
      <c r="BX226" s="9"/>
      <c r="BY226" s="9"/>
      <c r="BZ226" s="58"/>
      <c r="CA226" s="9"/>
    </row>
    <row r="227" spans="3:79" s="151" customFormat="1" ht="17.399999999999999" x14ac:dyDescent="0.4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4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4"/>
      <c r="AN227" s="164"/>
      <c r="AO227" s="232"/>
      <c r="AP227" s="154"/>
      <c r="AQ227" s="154"/>
      <c r="AR227" s="165"/>
      <c r="AS227" s="154"/>
      <c r="AT227" s="154"/>
      <c r="AU227" s="154"/>
      <c r="AV227" s="154"/>
      <c r="AW227" s="154"/>
      <c r="AX227" s="154"/>
      <c r="AY227" s="154"/>
      <c r="AZ227" s="154"/>
      <c r="BA227" s="154"/>
      <c r="BB227" s="154"/>
      <c r="BC227" s="153"/>
      <c r="BD227" s="153"/>
      <c r="BE227" s="153"/>
      <c r="BF227" s="153"/>
      <c r="BG227" s="153"/>
      <c r="BH227" s="153"/>
      <c r="BI227" s="158"/>
      <c r="BJ227" s="161"/>
      <c r="BK227" s="160"/>
      <c r="BL227" s="160"/>
      <c r="BM227" s="160"/>
      <c r="BN227" s="160"/>
      <c r="BO227" s="227"/>
      <c r="BP227" s="161"/>
      <c r="BQ227" s="160"/>
      <c r="BR227" s="161"/>
      <c r="BS227" s="85"/>
      <c r="BT227" s="85"/>
      <c r="BU227" s="162"/>
      <c r="BV227" s="163"/>
      <c r="BW227" s="163"/>
      <c r="BX227" s="9"/>
      <c r="BY227" s="9"/>
      <c r="BZ227" s="58"/>
      <c r="CA227" s="9"/>
    </row>
    <row r="228" spans="3:79" s="151" customFormat="1" ht="17.399999999999999" x14ac:dyDescent="0.4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4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69" t="s">
        <v>3488</v>
      </c>
      <c r="AM228" s="120">
        <f>1431325+468570</f>
        <v>1899895</v>
      </c>
      <c r="AN228" s="120">
        <f>1490647+445780</f>
        <v>1936427</v>
      </c>
      <c r="AO228" s="120">
        <f>1527206+509540</f>
        <v>2036746</v>
      </c>
      <c r="AP228" s="120">
        <f>1779995+453266</f>
        <v>2233261</v>
      </c>
      <c r="AQ228" s="120">
        <f>1562274+435371</f>
        <v>1997645</v>
      </c>
      <c r="AR228" s="120">
        <f>1483082.5+410447.5</f>
        <v>1893530</v>
      </c>
      <c r="AS228" s="120">
        <f>1200796+386361</f>
        <v>1587157</v>
      </c>
      <c r="AT228" s="120">
        <f>1227829+353652</f>
        <v>1581481</v>
      </c>
      <c r="AU228" s="120"/>
      <c r="AV228" s="120">
        <f>1265237+360002</f>
        <v>1625239</v>
      </c>
      <c r="AW228" s="120">
        <f>1220753+317518</f>
        <v>1538271</v>
      </c>
      <c r="AX228" s="120"/>
      <c r="AY228" s="120">
        <f>1212253+345863</f>
        <v>1558116</v>
      </c>
      <c r="AZ228" s="120"/>
      <c r="BA228" s="120">
        <f>1119638+386219</f>
        <v>1505857</v>
      </c>
      <c r="BB228" s="43">
        <f t="shared" ref="BB228:BB233" si="46">SUM(AM228:BA228)</f>
        <v>21393625</v>
      </c>
      <c r="BC228" s="153"/>
      <c r="BD228" s="153"/>
      <c r="BE228" s="153"/>
      <c r="BF228" s="153"/>
      <c r="BG228" s="153"/>
      <c r="BH228" s="153"/>
      <c r="BI228" s="158"/>
      <c r="BJ228" s="161"/>
      <c r="BK228" s="160"/>
      <c r="BL228" s="160"/>
      <c r="BM228" s="160"/>
      <c r="BN228" s="160"/>
      <c r="BO228" s="227"/>
      <c r="BP228" s="161"/>
      <c r="BQ228" s="160"/>
      <c r="BR228" s="161"/>
      <c r="BS228" s="85"/>
      <c r="BT228" s="85"/>
      <c r="BU228" s="162"/>
      <c r="BV228" s="163"/>
      <c r="BW228" s="163"/>
      <c r="BX228" s="9"/>
      <c r="BY228" s="9"/>
      <c r="BZ228" s="58"/>
      <c r="CA228" s="9"/>
    </row>
    <row r="229" spans="3:79" s="151" customFormat="1" ht="17.399999999999999" x14ac:dyDescent="0.4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4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69" t="s">
        <v>3489</v>
      </c>
      <c r="AM229" s="120">
        <v>1735528.8000000003</v>
      </c>
      <c r="AN229" s="120">
        <v>1899817.61</v>
      </c>
      <c r="AO229" s="120">
        <v>1936317.3699999999</v>
      </c>
      <c r="AP229" s="120">
        <v>2036636.1300000006</v>
      </c>
      <c r="AQ229" s="120">
        <v>2233181.0299999993</v>
      </c>
      <c r="AR229" s="120">
        <v>1997535.1661351516</v>
      </c>
      <c r="AS229" s="120">
        <v>1896961.2799999993</v>
      </c>
      <c r="AT229" s="120">
        <v>1580551.5260108334</v>
      </c>
      <c r="AU229" s="120">
        <v>0</v>
      </c>
      <c r="AV229" s="120">
        <v>1581370.87</v>
      </c>
      <c r="AW229" s="120">
        <v>1625128.5100000002</v>
      </c>
      <c r="AX229" s="120">
        <v>0</v>
      </c>
      <c r="AY229" s="120">
        <v>1538161.0599999998</v>
      </c>
      <c r="AZ229" s="120">
        <v>0</v>
      </c>
      <c r="BA229" s="120">
        <v>1558016.1700000004</v>
      </c>
      <c r="BB229" s="43">
        <f t="shared" si="46"/>
        <v>21619205.522145987</v>
      </c>
      <c r="BC229" s="153"/>
      <c r="BD229" s="153"/>
      <c r="BE229" s="153"/>
      <c r="BF229" s="153"/>
      <c r="BG229" s="153"/>
      <c r="BH229" s="153"/>
      <c r="BI229" s="158"/>
      <c r="BJ229" s="161"/>
      <c r="BK229" s="160"/>
      <c r="BL229" s="160"/>
      <c r="BM229" s="160"/>
      <c r="BN229" s="160"/>
      <c r="BO229" s="227"/>
      <c r="BP229" s="161"/>
      <c r="BQ229" s="160"/>
      <c r="BR229" s="161"/>
      <c r="BS229" s="85"/>
      <c r="BT229" s="85"/>
      <c r="BU229" s="162"/>
      <c r="BV229" s="163"/>
      <c r="BW229" s="163"/>
      <c r="BX229" s="9"/>
      <c r="BY229" s="9"/>
      <c r="BZ229" s="58"/>
      <c r="CA229" s="9"/>
    </row>
    <row r="230" spans="3:79" s="151" customFormat="1" ht="17.399999999999999" x14ac:dyDescent="0.4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4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69" t="s">
        <v>3490</v>
      </c>
      <c r="AM230" s="120">
        <f>1308554+422278</f>
        <v>1730832</v>
      </c>
      <c r="AN230" s="120">
        <f>1543949+467443</f>
        <v>2011392</v>
      </c>
      <c r="AO230" s="237">
        <f>1481161+457686</f>
        <v>1938847</v>
      </c>
      <c r="AP230" s="120">
        <f>1689130.54+484577.6</f>
        <v>2173708.14</v>
      </c>
      <c r="AQ230" s="120">
        <f>1027239.4+423851.38</f>
        <v>1451090.78</v>
      </c>
      <c r="AR230" s="237">
        <f>982938+453076</f>
        <v>1436014</v>
      </c>
      <c r="AS230" s="120">
        <f>2376100+405244</f>
        <v>2781344</v>
      </c>
      <c r="AT230" s="120">
        <f>1224209+293477</f>
        <v>1517686</v>
      </c>
      <c r="AU230" s="120"/>
      <c r="AV230" s="120">
        <f>1374640+456831</f>
        <v>1831471</v>
      </c>
      <c r="AW230" s="120">
        <f>1314794+367469</f>
        <v>1682263</v>
      </c>
      <c r="AX230" s="120"/>
      <c r="AY230" s="120">
        <f>1319287+259342</f>
        <v>1578629</v>
      </c>
      <c r="AZ230" s="120"/>
      <c r="BA230" s="120">
        <f>1276226+459413</f>
        <v>1735639</v>
      </c>
      <c r="BB230" s="43">
        <f t="shared" si="46"/>
        <v>21868915.920000002</v>
      </c>
      <c r="BC230" s="153"/>
      <c r="BD230" s="153"/>
      <c r="BE230" s="153"/>
      <c r="BF230" s="153"/>
      <c r="BG230" s="153"/>
      <c r="BH230" s="153"/>
      <c r="BI230" s="158"/>
      <c r="BJ230" s="161"/>
      <c r="BK230" s="160"/>
      <c r="BL230" s="160"/>
      <c r="BM230" s="160"/>
      <c r="BN230" s="160"/>
      <c r="BO230" s="227"/>
      <c r="BP230" s="161"/>
      <c r="BQ230" s="160"/>
      <c r="BR230" s="161"/>
      <c r="BS230" s="85"/>
      <c r="BT230" s="85"/>
      <c r="BU230" s="162"/>
      <c r="BV230" s="163"/>
      <c r="BW230" s="163"/>
      <c r="BX230" s="9"/>
      <c r="BY230" s="9"/>
      <c r="BZ230" s="58"/>
      <c r="CA230" s="9"/>
    </row>
    <row r="231" spans="3:79" s="151" customFormat="1" ht="17.399999999999999" x14ac:dyDescent="0.4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4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69" t="s">
        <v>3491</v>
      </c>
      <c r="AM231" s="120">
        <f>+(406698.43+516600.46+353310.17)+385992.17</f>
        <v>1662601.23</v>
      </c>
      <c r="AN231" s="120">
        <f>+(492604.6+476096.6+339302.64)+422828.33</f>
        <v>1730832.17</v>
      </c>
      <c r="AO231" s="237">
        <f>+(614600.22+548642.93+380705.95)+467443.26</f>
        <v>2011392.3599999999</v>
      </c>
      <c r="AP231" s="120">
        <f>+(615695.61+516704.43+374813.42)+457685.62</f>
        <v>1964899.08</v>
      </c>
      <c r="AQ231" s="120">
        <f>+(671574.97+595670.22+422579.39)+484577.6</f>
        <v>2174402.1800000002</v>
      </c>
      <c r="AR231" s="256">
        <f>+(628134.04+570586.41+400988.16)+423851.38</f>
        <v>2023559.9900000002</v>
      </c>
      <c r="AS231" s="120">
        <f>651358.7+473697.91+361522.89+410381.78</f>
        <v>1896961.28</v>
      </c>
      <c r="AT231" s="120">
        <f>515327.09+387937.84+291079.62+386206.98</f>
        <v>1580551.53</v>
      </c>
      <c r="AU231" s="120" t="e">
        <f>#REF!</f>
        <v>#REF!</v>
      </c>
      <c r="AV231" s="120" t="e">
        <f>#REF!</f>
        <v>#REF!</v>
      </c>
      <c r="AW231" s="120" t="e">
        <f>#REF!</f>
        <v>#REF!</v>
      </c>
      <c r="AX231" s="120" t="e">
        <f>#REF!</f>
        <v>#REF!</v>
      </c>
      <c r="AY231" s="120" t="e">
        <f>#REF!</f>
        <v>#REF!</v>
      </c>
      <c r="AZ231" s="120" t="e">
        <f>#REF!</f>
        <v>#REF!</v>
      </c>
      <c r="BA231" s="120" t="e">
        <f>#REF!</f>
        <v>#REF!</v>
      </c>
      <c r="BB231" s="43" t="e">
        <f t="shared" si="46"/>
        <v>#REF!</v>
      </c>
      <c r="BC231" s="153"/>
      <c r="BD231" s="153"/>
      <c r="BE231" s="153"/>
      <c r="BF231" s="153"/>
      <c r="BG231" s="153"/>
      <c r="BH231" s="153"/>
      <c r="BI231" s="158"/>
      <c r="BJ231" s="161"/>
      <c r="BK231" s="160"/>
      <c r="BL231" s="160"/>
      <c r="BM231" s="160"/>
      <c r="BN231" s="160"/>
      <c r="BO231" s="227"/>
      <c r="BP231" s="161"/>
      <c r="BQ231" s="160"/>
      <c r="BR231" s="161"/>
      <c r="BS231" s="85"/>
      <c r="BT231" s="85"/>
      <c r="BU231" s="162"/>
      <c r="BV231" s="163"/>
      <c r="BW231" s="163"/>
      <c r="BX231" s="9"/>
      <c r="BY231" s="9"/>
      <c r="BZ231" s="58"/>
      <c r="CA231" s="9"/>
    </row>
    <row r="232" spans="3:79" s="151" customFormat="1" ht="17.399999999999999" x14ac:dyDescent="0.4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4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69" t="s">
        <v>3492</v>
      </c>
      <c r="AM232" s="120">
        <f>20.75+1341078.87-3100+253107.81-16200</f>
        <v>1574907.4300000002</v>
      </c>
      <c r="AN232" s="250">
        <f>20.75+1697447.57+229365.37</f>
        <v>1926833.69</v>
      </c>
      <c r="AO232" s="250">
        <f>47320.42+20.75+1012.48</f>
        <v>48353.65</v>
      </c>
      <c r="AP232" s="250">
        <f>1894233.6+255018.49</f>
        <v>2149252.09</v>
      </c>
      <c r="AQ232" s="250">
        <f>827074.7+269190.49</f>
        <v>1096265.19</v>
      </c>
      <c r="AR232" s="250">
        <f>2041822.29+215175.03</f>
        <v>2256997.3199999998</v>
      </c>
      <c r="AS232" s="250">
        <f>1412112.67+40+965384.06+240767.42+227944.98</f>
        <v>2846249.13</v>
      </c>
      <c r="AT232" s="250">
        <v>575.66999999999996</v>
      </c>
      <c r="AU232" s="250"/>
      <c r="AV232" s="250">
        <f>1662169.48+219956.49</f>
        <v>1882125.97</v>
      </c>
      <c r="AW232" s="250">
        <f>1292883.42+1382460.25+207025.2+214420.79</f>
        <v>3096789.66</v>
      </c>
      <c r="AX232" s="250"/>
      <c r="AY232" s="250"/>
      <c r="AZ232" s="250"/>
      <c r="BA232" s="250">
        <f>8503.62+1299312.35+1424103.9+98732.92+106664.45+238497.33</f>
        <v>3175814.5700000003</v>
      </c>
      <c r="BB232" s="43">
        <f t="shared" si="46"/>
        <v>20054164.370000001</v>
      </c>
      <c r="BC232" s="153">
        <f>17293485.12+2760679.25</f>
        <v>20054164.370000001</v>
      </c>
      <c r="BD232" s="153">
        <f>BB232-BC232</f>
        <v>0</v>
      </c>
      <c r="BE232" s="153"/>
      <c r="BF232" s="153"/>
      <c r="BG232" s="153"/>
      <c r="BH232" s="153"/>
      <c r="BI232" s="158"/>
      <c r="BJ232" s="161"/>
      <c r="BK232" s="160"/>
      <c r="BL232" s="160"/>
      <c r="BM232" s="160"/>
      <c r="BN232" s="160"/>
      <c r="BO232" s="227"/>
      <c r="BP232" s="161"/>
      <c r="BQ232" s="160"/>
      <c r="BR232" s="161"/>
      <c r="BS232" s="85"/>
      <c r="BT232" s="85"/>
      <c r="BU232" s="162"/>
      <c r="BV232" s="163"/>
      <c r="BW232" s="163"/>
      <c r="BX232" s="9"/>
      <c r="BY232" s="9"/>
      <c r="BZ232" s="58"/>
      <c r="CA232" s="9"/>
    </row>
    <row r="233" spans="3:79" s="151" customFormat="1" ht="17.399999999999999" x14ac:dyDescent="0.4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4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69" t="s">
        <v>3493</v>
      </c>
      <c r="AM233" s="120">
        <v>1467073.36</v>
      </c>
      <c r="AN233" s="120">
        <v>1594076.6999999995</v>
      </c>
      <c r="AO233" s="120">
        <v>1926702.9099999995</v>
      </c>
      <c r="AP233" s="120">
        <v>1779568.5299999996</v>
      </c>
      <c r="AQ233" s="120">
        <v>2048917.7300000002</v>
      </c>
      <c r="AR233" s="120">
        <v>1722251.2899999998</v>
      </c>
      <c r="AS233" s="120">
        <v>1652880.0200000005</v>
      </c>
      <c r="AT233" s="120">
        <v>1575552.0999999994</v>
      </c>
      <c r="AU233" s="120"/>
      <c r="AV233" s="120">
        <v>1499902.95</v>
      </c>
      <c r="AW233" s="120">
        <v>1499908.6700000002</v>
      </c>
      <c r="AX233" s="120">
        <v>4.0000000201928287E-2</v>
      </c>
      <c r="AY233" s="120">
        <v>1596881.05</v>
      </c>
      <c r="AZ233" s="120"/>
      <c r="BA233" s="120">
        <v>1642061.4999999993</v>
      </c>
      <c r="BB233" s="43">
        <f t="shared" si="46"/>
        <v>20005776.849999998</v>
      </c>
      <c r="BC233" s="153"/>
      <c r="BD233" s="153"/>
      <c r="BE233" s="153"/>
      <c r="BF233" s="153"/>
      <c r="BG233" s="153"/>
      <c r="BH233" s="153"/>
      <c r="BI233" s="158"/>
      <c r="BJ233" s="161"/>
      <c r="BK233" s="160"/>
      <c r="BL233" s="160"/>
      <c r="BM233" s="160"/>
      <c r="BN233" s="160"/>
      <c r="BO233" s="227"/>
      <c r="BP233" s="161"/>
      <c r="BQ233" s="160"/>
      <c r="BR233" s="161"/>
      <c r="BS233" s="85"/>
      <c r="BT233" s="85"/>
      <c r="BU233" s="162"/>
      <c r="BV233" s="163"/>
      <c r="BW233" s="163"/>
      <c r="BX233" s="9"/>
      <c r="BY233" s="9"/>
      <c r="BZ233" s="58"/>
      <c r="CA233" s="9"/>
    </row>
    <row r="234" spans="3:79" s="151" customFormat="1" ht="17.399999999999999" x14ac:dyDescent="0.4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4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69" t="s">
        <v>3494</v>
      </c>
      <c r="AM234" s="120">
        <f>-995148.54+2176407.99+20.75+113387.27</f>
        <v>1294667.4700000002</v>
      </c>
      <c r="AN234" s="120">
        <f>20.75+20.75+1293966.6+189932.28</f>
        <v>1483940.3800000001</v>
      </c>
      <c r="AO234" s="120">
        <f>20.75+1493870.75+337200.97</f>
        <v>1831092.47</v>
      </c>
      <c r="AP234" s="120">
        <f>20.75+1555952.86+139251.18</f>
        <v>1695224.79</v>
      </c>
      <c r="AQ234" s="120">
        <f>20.75+91111.26+185342.66</f>
        <v>276474.67</v>
      </c>
      <c r="AR234" s="120">
        <f>20.75+2725425.7+195886.51</f>
        <v>2921332.96</v>
      </c>
      <c r="AS234" s="120">
        <f>20.75+96289.19+185145.7</f>
        <v>281455.64</v>
      </c>
      <c r="AT234" s="120">
        <f>20.75+2315059.16+353056.41</f>
        <v>2668136.3200000003</v>
      </c>
      <c r="AU234" s="120"/>
      <c r="AV234" s="120">
        <f>424066.99+358341.16+273764.85+514782.87</f>
        <v>1570955.87</v>
      </c>
      <c r="AW234" s="120">
        <f>423503.18+371712.22+282069.63+311557.47</f>
        <v>1388842.4999999998</v>
      </c>
      <c r="AX234" s="120"/>
      <c r="AY234" s="120">
        <f>1326087.21+230271.58</f>
        <v>1556358.79</v>
      </c>
      <c r="AZ234" s="120"/>
      <c r="BA234" s="120">
        <f>1274397.52+192806.55</f>
        <v>1467204.07</v>
      </c>
      <c r="BB234" s="43">
        <f t="shared" ref="BB234:BB263" si="47">SUM(AM234:AW234)</f>
        <v>15412123.07</v>
      </c>
      <c r="BC234" s="153"/>
      <c r="BD234" s="153"/>
      <c r="BE234" s="153"/>
      <c r="BF234" s="153"/>
      <c r="BG234" s="153"/>
      <c r="BH234" s="153"/>
      <c r="BI234" s="158"/>
      <c r="BJ234" s="161"/>
      <c r="BK234" s="160"/>
      <c r="BL234" s="160"/>
      <c r="BM234" s="160"/>
      <c r="BN234" s="160"/>
      <c r="BO234" s="227"/>
      <c r="BP234" s="161"/>
      <c r="BQ234" s="160"/>
      <c r="BR234" s="161"/>
      <c r="BS234" s="85"/>
      <c r="BT234" s="85"/>
      <c r="BU234" s="162"/>
      <c r="BV234" s="163"/>
      <c r="BW234" s="163"/>
      <c r="BX234" s="9"/>
      <c r="BY234" s="9"/>
      <c r="BZ234" s="58"/>
      <c r="CA234" s="9"/>
    </row>
    <row r="235" spans="3:79" s="151" customFormat="1" ht="17.399999999999999" x14ac:dyDescent="0.4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4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69" t="s">
        <v>3495</v>
      </c>
      <c r="AM235" s="120">
        <v>1269269.5099999995</v>
      </c>
      <c r="AN235" s="120">
        <v>1476222.4</v>
      </c>
      <c r="AO235" s="120">
        <v>1483788.93</v>
      </c>
      <c r="AP235" s="120">
        <v>1830961.7799999993</v>
      </c>
      <c r="AQ235" s="120">
        <v>1695093.9999999995</v>
      </c>
      <c r="AR235" s="120">
        <v>1526268.0799999998</v>
      </c>
      <c r="AS235" s="120">
        <v>1676289.1975600005</v>
      </c>
      <c r="AT235" s="237">
        <v>1378440.6130000006</v>
      </c>
      <c r="AU235" s="237"/>
      <c r="AV235" s="120">
        <v>1570823.5600000005</v>
      </c>
      <c r="AW235" s="120">
        <v>1388776.5500000005</v>
      </c>
      <c r="AX235" s="120"/>
      <c r="AY235" s="120">
        <v>1484460</v>
      </c>
      <c r="AZ235" s="120"/>
      <c r="BA235" s="120">
        <v>1556248.9473441448</v>
      </c>
      <c r="BB235" s="43">
        <f t="shared" si="47"/>
        <v>15295934.62056</v>
      </c>
      <c r="BC235" s="153"/>
      <c r="BD235" s="153"/>
      <c r="BE235" s="153"/>
      <c r="BF235" s="153"/>
      <c r="BG235" s="153"/>
      <c r="BH235" s="153"/>
      <c r="BI235" s="158"/>
      <c r="BJ235" s="161"/>
      <c r="BK235" s="160"/>
      <c r="BL235" s="160"/>
      <c r="BM235" s="160"/>
      <c r="BN235" s="160"/>
      <c r="BO235" s="227"/>
      <c r="BP235" s="161"/>
      <c r="BQ235" s="160"/>
      <c r="BR235" s="161"/>
      <c r="BS235" s="85"/>
      <c r="BT235" s="85"/>
      <c r="BU235" s="162"/>
      <c r="BV235" s="163"/>
      <c r="BW235" s="163"/>
      <c r="BX235" s="9"/>
      <c r="BY235" s="9"/>
      <c r="BZ235" s="58"/>
      <c r="CA235" s="9"/>
    </row>
    <row r="236" spans="3:79" s="151" customFormat="1" ht="17.399999999999999" x14ac:dyDescent="0.4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4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69" t="s">
        <v>3496</v>
      </c>
      <c r="AM236" s="120">
        <v>0</v>
      </c>
      <c r="AN236" s="120">
        <v>3112114.67</v>
      </c>
      <c r="AO236" s="120">
        <v>1564210.04</v>
      </c>
      <c r="AP236" s="120">
        <v>1759599.09</v>
      </c>
      <c r="AQ236" s="120">
        <v>1465994.33</v>
      </c>
      <c r="AR236" s="120">
        <v>1546877.29</v>
      </c>
      <c r="AS236" s="120">
        <v>1182030.9099999999</v>
      </c>
      <c r="AT236" s="120">
        <v>1324159</v>
      </c>
      <c r="AU236" s="120"/>
      <c r="AV236" s="120">
        <v>1367873</v>
      </c>
      <c r="AW236" s="120">
        <v>1375576</v>
      </c>
      <c r="AX236" s="120"/>
      <c r="AY236" s="120">
        <v>1235326</v>
      </c>
      <c r="AZ236" s="120"/>
      <c r="BA236" s="120">
        <v>498108</v>
      </c>
      <c r="BB236" s="43">
        <f t="shared" si="47"/>
        <v>14698434.33</v>
      </c>
      <c r="BC236" s="153"/>
      <c r="BD236" s="153"/>
      <c r="BE236" s="153"/>
      <c r="BF236" s="153"/>
      <c r="BG236" s="153"/>
      <c r="BH236" s="153"/>
      <c r="BI236" s="158"/>
      <c r="BJ236" s="161"/>
      <c r="BK236" s="160"/>
      <c r="BL236" s="160"/>
      <c r="BM236" s="160"/>
      <c r="BN236" s="160"/>
      <c r="BO236" s="227"/>
      <c r="BP236" s="161"/>
      <c r="BQ236" s="160"/>
      <c r="BR236" s="161"/>
      <c r="BS236" s="85"/>
      <c r="BT236" s="85"/>
      <c r="BU236" s="162"/>
      <c r="BV236" s="163"/>
      <c r="BW236" s="163"/>
      <c r="BX236" s="9"/>
      <c r="BY236" s="9"/>
      <c r="BZ236" s="58"/>
      <c r="CA236" s="9"/>
    </row>
    <row r="237" spans="3:79" s="151" customFormat="1" x14ac:dyDescent="0.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166"/>
      <c r="X237" s="166"/>
      <c r="Y237" s="166"/>
      <c r="Z237" s="166"/>
      <c r="AA237" s="166"/>
      <c r="AB237" s="167" t="s">
        <v>3497</v>
      </c>
      <c r="AC237" s="166"/>
      <c r="AD237" s="166"/>
      <c r="AE237" s="166"/>
      <c r="AF237" s="166"/>
      <c r="AG237" s="166"/>
      <c r="AH237" s="166"/>
      <c r="AI237" s="166"/>
      <c r="AJ237" s="166"/>
      <c r="AK237" s="166"/>
      <c r="AL237" s="169" t="s">
        <v>3498</v>
      </c>
      <c r="AM237" s="166">
        <v>1450884.75</v>
      </c>
      <c r="AN237" s="166">
        <v>1511325.75</v>
      </c>
      <c r="AO237" s="166">
        <v>1600569.02</v>
      </c>
      <c r="AP237" s="166">
        <v>1564100.05</v>
      </c>
      <c r="AQ237" s="166">
        <v>1759489.13</v>
      </c>
      <c r="AR237" s="166">
        <v>1465884.34</v>
      </c>
      <c r="AS237" s="166">
        <v>1546766.92</v>
      </c>
      <c r="AT237" s="166">
        <v>1181905.82</v>
      </c>
      <c r="AU237" s="166"/>
      <c r="AV237" s="166">
        <v>1322396.29</v>
      </c>
      <c r="AW237" s="166">
        <v>1375897.69</v>
      </c>
      <c r="AX237" s="166"/>
      <c r="AY237" s="166">
        <v>1367329.51</v>
      </c>
      <c r="AZ237" s="166"/>
      <c r="BA237" s="166">
        <v>1235216.8400000001</v>
      </c>
      <c r="BB237" s="43">
        <f t="shared" si="47"/>
        <v>14779219.76</v>
      </c>
      <c r="BC237" s="43"/>
      <c r="BD237" s="163"/>
      <c r="BE237" s="163"/>
      <c r="BF237" s="163"/>
      <c r="BG237" s="43"/>
      <c r="BH237" s="43"/>
      <c r="BI237" s="163"/>
      <c r="BJ237" s="163"/>
      <c r="BK237" s="83"/>
      <c r="BL237" s="83"/>
      <c r="BM237" s="83"/>
      <c r="BN237" s="83"/>
      <c r="BO237" s="228"/>
      <c r="BP237" s="163"/>
      <c r="BQ237" s="83"/>
      <c r="BR237" s="163"/>
      <c r="BS237" s="163"/>
      <c r="BT237" s="163"/>
      <c r="BU237" s="162"/>
      <c r="BV237" s="163"/>
      <c r="BW237" s="163"/>
      <c r="BX237" s="9"/>
      <c r="BY237" s="9"/>
      <c r="BZ237" s="58"/>
      <c r="CA237" s="9"/>
    </row>
    <row r="238" spans="3:79" s="151" customFormat="1" x14ac:dyDescent="0.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166"/>
      <c r="X238" s="166"/>
      <c r="Y238" s="166"/>
      <c r="Z238" s="166"/>
      <c r="AA238" s="166"/>
      <c r="AB238" s="167"/>
      <c r="AC238" s="166"/>
      <c r="AD238" s="166"/>
      <c r="AE238" s="166"/>
      <c r="AF238" s="166"/>
      <c r="AG238" s="166"/>
      <c r="AH238" s="166"/>
      <c r="AI238" s="166"/>
      <c r="AJ238" s="166"/>
      <c r="AK238" s="166"/>
      <c r="AL238" s="169" t="s">
        <v>3499</v>
      </c>
      <c r="AM238" s="166">
        <f>1180755.81+193808.5</f>
        <v>1374564.31</v>
      </c>
      <c r="AN238" s="166">
        <f>1287984.79+178918.61</f>
        <v>1466903.4</v>
      </c>
      <c r="AO238" s="43">
        <f>1360952.86+230913.16</f>
        <v>1591866.02</v>
      </c>
      <c r="AP238" s="166">
        <f>1484055.6+203763.71</f>
        <v>1687819.31</v>
      </c>
      <c r="AQ238" s="166">
        <f>1341074.56+197398.72</f>
        <v>1538473.28</v>
      </c>
      <c r="AR238" s="43">
        <f>1331705.3+199072.94</f>
        <v>1530778.24</v>
      </c>
      <c r="AS238" s="166">
        <f>1026897.66+194416.86</f>
        <v>1221314.52</v>
      </c>
      <c r="AT238" s="166">
        <f>0</f>
        <v>0</v>
      </c>
      <c r="AU238" s="166"/>
      <c r="AV238" s="166">
        <f>2340741.29+368078.29</f>
        <v>2708819.58</v>
      </c>
      <c r="AW238" s="166">
        <f>1110386.13+158975.61</f>
        <v>1269361.7399999998</v>
      </c>
      <c r="AX238" s="166"/>
      <c r="AY238" s="166">
        <f>1163148.11+204648.99</f>
        <v>1367797.1</v>
      </c>
      <c r="AZ238" s="166"/>
      <c r="BA238" s="166">
        <f>1255428.31+195566.43</f>
        <v>1450994.74</v>
      </c>
      <c r="BB238" s="43">
        <f t="shared" si="47"/>
        <v>14389900.4</v>
      </c>
      <c r="BC238" s="43">
        <f>14883130.42+2325561.82</f>
        <v>17208692.239999998</v>
      </c>
      <c r="BD238" s="163"/>
      <c r="BE238" s="163"/>
      <c r="BF238" s="168"/>
      <c r="BG238" s="43"/>
      <c r="BH238" s="43"/>
      <c r="BI238" s="163"/>
      <c r="BJ238" s="163"/>
      <c r="BK238" s="83"/>
      <c r="BL238" s="83"/>
      <c r="BM238" s="83"/>
      <c r="BN238" s="83"/>
      <c r="BO238" s="228"/>
      <c r="BP238" s="163"/>
      <c r="BQ238" s="83"/>
      <c r="BR238" s="163"/>
      <c r="BS238" s="163"/>
      <c r="BT238" s="163"/>
      <c r="BU238" s="162"/>
      <c r="BV238" s="163"/>
      <c r="BW238" s="163"/>
      <c r="BX238" s="9"/>
      <c r="BY238" s="9"/>
      <c r="BZ238" s="58"/>
      <c r="CA238" s="9"/>
    </row>
    <row r="239" spans="3:79" s="151" customFormat="1" hidden="1" x14ac:dyDescent="0.25">
      <c r="E239" s="167" t="str">
        <f>AC5</f>
        <v>FY 07</v>
      </c>
      <c r="G239" s="3"/>
      <c r="H239" s="3"/>
      <c r="I239" s="3"/>
      <c r="J239" s="3"/>
      <c r="K239" s="3"/>
      <c r="L239" s="3"/>
      <c r="M239" s="3"/>
      <c r="N239" s="3"/>
      <c r="O239" s="3"/>
      <c r="P239" s="167" t="str">
        <f>AD5</f>
        <v>FY 08</v>
      </c>
      <c r="Q239" s="167"/>
      <c r="R239" s="167"/>
      <c r="S239" s="167"/>
      <c r="T239" s="167"/>
      <c r="U239" s="167"/>
      <c r="V239" s="167"/>
      <c r="W239" s="167" t="str">
        <f t="shared" ref="W239:AB239" si="48">W5</f>
        <v>FY 00/01</v>
      </c>
      <c r="X239" s="167" t="str">
        <f t="shared" si="48"/>
        <v>FY 01/02</v>
      </c>
      <c r="Y239" s="167" t="str">
        <f t="shared" si="48"/>
        <v>FY 02/03</v>
      </c>
      <c r="Z239" s="167" t="str">
        <f t="shared" si="48"/>
        <v>FY 04</v>
      </c>
      <c r="AA239" s="167" t="str">
        <f t="shared" si="48"/>
        <v>FY 05</v>
      </c>
      <c r="AB239" s="167" t="str">
        <f t="shared" si="48"/>
        <v>FY 06</v>
      </c>
      <c r="AE239" s="167"/>
      <c r="AF239" s="167"/>
      <c r="AG239" s="167"/>
      <c r="AH239" s="167"/>
      <c r="AI239" s="167"/>
      <c r="AJ239" s="167"/>
      <c r="AK239" s="167"/>
      <c r="AL239" s="169" t="s">
        <v>3499</v>
      </c>
      <c r="AM239" s="43">
        <f>1394.69+20657.44+11815.06+13979.45</f>
        <v>47846.64</v>
      </c>
      <c r="AN239" s="43">
        <f>4850.82+22873.54+10439.74+12704.54</f>
        <v>50868.639999999999</v>
      </c>
      <c r="AO239" s="43">
        <f>3406.49+30912.58+11885.81+12709.91</f>
        <v>58914.789999999994</v>
      </c>
      <c r="AP239" s="43">
        <f>2597.75+24425.49</f>
        <v>27023.24</v>
      </c>
      <c r="AQ239" s="43">
        <f>3942.09+29669.71+32631.91+33964.79</f>
        <v>100208.5</v>
      </c>
      <c r="AR239" s="43">
        <f>519.74+21814.11+12987.04+13946.66</f>
        <v>49267.55</v>
      </c>
      <c r="AS239" s="43">
        <f>5114.58+22494.86+13746.41+14663.48</f>
        <v>56019.33</v>
      </c>
      <c r="AT239" s="43">
        <v>1411.23</v>
      </c>
      <c r="AU239" s="43"/>
      <c r="AV239" s="43"/>
      <c r="AW239" s="43" t="e">
        <f>AW224-AW238</f>
        <v>#REF!</v>
      </c>
      <c r="AX239" s="43"/>
      <c r="AY239" s="166" t="e">
        <f>AY224-AY238</f>
        <v>#REF!</v>
      </c>
      <c r="AZ239" s="166"/>
      <c r="BA239" s="166">
        <v>0</v>
      </c>
      <c r="BB239" s="43" t="e">
        <f t="shared" si="47"/>
        <v>#REF!</v>
      </c>
      <c r="BC239" s="43"/>
      <c r="BD239" s="43"/>
      <c r="BE239" s="43"/>
      <c r="BF239" s="43"/>
      <c r="BG239" s="43"/>
      <c r="BH239" s="43"/>
      <c r="BI239" s="163"/>
      <c r="BJ239" s="163"/>
      <c r="BK239" s="83"/>
      <c r="BL239" s="83"/>
      <c r="BM239" s="83"/>
      <c r="BN239" s="83"/>
      <c r="BO239" s="228"/>
      <c r="BP239" s="163"/>
      <c r="BQ239" s="83"/>
      <c r="BR239" s="163"/>
      <c r="BS239" s="163"/>
      <c r="BT239" s="163"/>
      <c r="BU239" s="162"/>
      <c r="BV239" s="163"/>
      <c r="BW239" s="163"/>
      <c r="BX239" s="9"/>
      <c r="BY239" s="9"/>
      <c r="BZ239" s="58"/>
      <c r="CA239" s="9"/>
    </row>
    <row r="240" spans="3:79" s="151" customFormat="1" hidden="1" x14ac:dyDescent="0.25">
      <c r="C240" s="170" t="s">
        <v>694</v>
      </c>
      <c r="E240" s="43">
        <f>SUMIF(A8:A218,"U",AC8:AC223)</f>
        <v>9587459.3322279993</v>
      </c>
      <c r="G240" s="3"/>
      <c r="H240" s="3"/>
      <c r="I240" s="3"/>
      <c r="J240" s="3"/>
      <c r="K240" s="3"/>
      <c r="L240" s="3"/>
      <c r="M240" s="3"/>
      <c r="N240" s="3"/>
      <c r="O240" s="3"/>
      <c r="P240" s="43">
        <f>SUMIF(A8:A218,"U",AD8:AD223)</f>
        <v>9116153.8966030031</v>
      </c>
      <c r="Q240" s="43"/>
      <c r="R240" s="43"/>
      <c r="S240" s="43"/>
      <c r="T240" s="43"/>
      <c r="U240" s="43"/>
      <c r="V240" s="43"/>
      <c r="W240" s="43">
        <f>SUMIF(A8:A218,"U",W8:W223)</f>
        <v>8501973.5358725041</v>
      </c>
      <c r="X240" s="43">
        <f>SUMIF(A8:A218,"U",X8:X223)</f>
        <v>7827778.0250876248</v>
      </c>
      <c r="Y240" s="43">
        <f>SUMIF(A8:A218,"U",Y8:Y223)</f>
        <v>7910017.4151572846</v>
      </c>
      <c r="Z240" s="43">
        <f>SUMIF(A8:A218,"U",Z8:Z223)</f>
        <v>8379853.1082515977</v>
      </c>
      <c r="AA240" s="43">
        <f>SUMIF(A8:A218,"U",AA8:AA223)</f>
        <v>8726461.9599999972</v>
      </c>
      <c r="AB240" s="43">
        <f>SUMIF(A8:A218,"U",AB8:AB223)</f>
        <v>9132890.9399999976</v>
      </c>
      <c r="AE240" s="43"/>
      <c r="AF240" s="43"/>
      <c r="AG240" s="43"/>
      <c r="AH240" s="43"/>
      <c r="AI240" s="43"/>
      <c r="AJ240" s="43"/>
      <c r="AK240" s="43"/>
      <c r="AL240" s="169" t="s">
        <v>3499</v>
      </c>
      <c r="AM240" s="85">
        <f t="shared" ref="AM240:BA240" si="49">IF(AM241=0,0,(AM239/AM224))</f>
        <v>2.75689115617096E-2</v>
      </c>
      <c r="AN240" s="85">
        <f t="shared" si="49"/>
        <v>2.6775538731846998E-2</v>
      </c>
      <c r="AO240" s="85">
        <f t="shared" si="49"/>
        <v>3.042620539008024E-2</v>
      </c>
      <c r="AP240" s="85">
        <f t="shared" si="49"/>
        <v>1.3268565553730009E-2</v>
      </c>
      <c r="AQ240" s="85">
        <f t="shared" si="49"/>
        <v>4.4872537718090875E-2</v>
      </c>
      <c r="AR240" s="85">
        <f t="shared" si="49"/>
        <v>2.4664171542633357E-2</v>
      </c>
      <c r="AS240" s="85">
        <f t="shared" si="49"/>
        <v>2.9531087740494115E-2</v>
      </c>
      <c r="AT240" s="85">
        <f t="shared" si="49"/>
        <v>8.9287187211277734E-4</v>
      </c>
      <c r="AU240" s="85"/>
      <c r="AV240" s="85">
        <f t="shared" si="49"/>
        <v>0</v>
      </c>
      <c r="AW240" s="85" t="e">
        <f t="shared" si="49"/>
        <v>#REF!</v>
      </c>
      <c r="AX240" s="85"/>
      <c r="AY240" s="85" t="e">
        <f t="shared" si="49"/>
        <v>#REF!</v>
      </c>
      <c r="AZ240" s="85"/>
      <c r="BA240" s="85">
        <f t="shared" si="49"/>
        <v>0</v>
      </c>
      <c r="BB240" s="121" t="e">
        <f t="shared" si="47"/>
        <v>#REF!</v>
      </c>
      <c r="BC240" s="43"/>
      <c r="BD240" s="43"/>
      <c r="BE240" s="43"/>
      <c r="BF240" s="43"/>
      <c r="BG240" s="43"/>
      <c r="BH240" s="43"/>
      <c r="BI240" s="163"/>
      <c r="BJ240" s="163"/>
      <c r="BK240" s="83"/>
      <c r="BL240" s="83"/>
      <c r="BM240" s="83"/>
      <c r="BN240" s="83"/>
      <c r="BO240" s="228"/>
      <c r="BP240" s="163"/>
      <c r="BQ240" s="83"/>
      <c r="BR240" s="163"/>
      <c r="BS240" s="163"/>
      <c r="BT240" s="163"/>
      <c r="BU240" s="162"/>
      <c r="BV240" s="163"/>
      <c r="BW240" s="163"/>
      <c r="BX240" s="9"/>
      <c r="BY240" s="9"/>
      <c r="BZ240" s="58"/>
      <c r="CA240" s="9"/>
    </row>
    <row r="241" spans="2:79" s="151" customFormat="1" hidden="1" x14ac:dyDescent="0.25">
      <c r="C241" s="170"/>
      <c r="E241" s="43"/>
      <c r="G241" s="3"/>
      <c r="H241" s="3"/>
      <c r="I241" s="3"/>
      <c r="J241" s="3"/>
      <c r="K241" s="3"/>
      <c r="L241" s="3"/>
      <c r="M241" s="3"/>
      <c r="N241" s="3"/>
      <c r="O241" s="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E241" s="43"/>
      <c r="AF241" s="43"/>
      <c r="AG241" s="43"/>
      <c r="AH241" s="43"/>
      <c r="AI241" s="43"/>
      <c r="AJ241" s="43"/>
      <c r="AK241" s="43"/>
      <c r="AL241" s="169" t="s">
        <v>3499</v>
      </c>
      <c r="AM241" s="166">
        <f>3544.9+19337.43+10284.84+11335.26</f>
        <v>44502.43</v>
      </c>
      <c r="AN241" s="166">
        <f>928.23+17195.05+10811.98+13303.68</f>
        <v>42238.94</v>
      </c>
      <c r="AO241" s="166">
        <f>4625.69+20147.15+13280.45+16204.8</f>
        <v>54258.09</v>
      </c>
      <c r="AP241" s="166">
        <f>19945.41+15378.19+12248.29+2137.84</f>
        <v>49709.729999999996</v>
      </c>
      <c r="AQ241" s="166">
        <f>24216.3+13416.87+17079.16+3216.31</f>
        <v>57928.639999999999</v>
      </c>
      <c r="AR241" s="166">
        <f>3180.81+20278.59+13095.5+17119.54</f>
        <v>53674.44</v>
      </c>
      <c r="AS241" s="166">
        <f>21755.28+15390.35+17043.49+2152.91</f>
        <v>56342.03</v>
      </c>
      <c r="AT241" s="166">
        <f>3329.88+18243.15+14466.46+12825.64</f>
        <v>48865.130000000005</v>
      </c>
      <c r="AU241" s="166"/>
      <c r="AV241" s="166">
        <f>1656.66+18922.79+10532.37+12454.56</f>
        <v>43566.38</v>
      </c>
      <c r="AW241" s="166">
        <f>3357.79+20963.28+11121.97+13328.04</f>
        <v>48771.08</v>
      </c>
      <c r="AX241" s="166"/>
      <c r="AY241" s="168">
        <f>2532.42+18569.57+10710.27+12974.3</f>
        <v>44786.559999999998</v>
      </c>
      <c r="AZ241" s="168"/>
      <c r="BA241" s="168">
        <f>2180.91+19895.79+11650.7+13441.2</f>
        <v>47168.600000000006</v>
      </c>
      <c r="BB241" s="43">
        <f t="shared" si="47"/>
        <v>499856.89000000007</v>
      </c>
      <c r="BC241" s="43"/>
      <c r="BD241" s="43"/>
      <c r="BE241" s="43"/>
      <c r="BF241" s="43"/>
      <c r="BG241" s="43"/>
      <c r="BH241" s="43"/>
      <c r="BI241" s="163"/>
      <c r="BJ241" s="163"/>
      <c r="BK241" s="83"/>
      <c r="BL241" s="83"/>
      <c r="BM241" s="83"/>
      <c r="BN241" s="83"/>
      <c r="BO241" s="228"/>
      <c r="BP241" s="163"/>
      <c r="BQ241" s="83"/>
      <c r="BR241" s="163"/>
      <c r="BS241" s="163"/>
      <c r="BT241" s="163"/>
      <c r="BU241" s="162"/>
      <c r="BV241" s="163"/>
      <c r="BW241" s="163"/>
      <c r="BX241" s="9"/>
      <c r="BY241" s="9"/>
      <c r="BZ241" s="58"/>
      <c r="CA241" s="9"/>
    </row>
    <row r="242" spans="2:79" s="151" customFormat="1" hidden="1" x14ac:dyDescent="0.25">
      <c r="C242" s="170" t="s">
        <v>1359</v>
      </c>
      <c r="E242" s="120">
        <f>SUMIF(A8:A218,"A",AC8:AC223)</f>
        <v>1339062.172058501</v>
      </c>
      <c r="G242" s="3"/>
      <c r="H242" s="3"/>
      <c r="I242" s="3"/>
      <c r="J242" s="3"/>
      <c r="K242" s="3"/>
      <c r="L242" s="3"/>
      <c r="M242" s="3"/>
      <c r="N242" s="3"/>
      <c r="O242" s="3"/>
      <c r="P242" s="120">
        <f>SUMIF(A8:A218,"A",AD8:AD223)</f>
        <v>1532505.3124306803</v>
      </c>
      <c r="Q242" s="120"/>
      <c r="R242" s="120"/>
      <c r="S242" s="120"/>
      <c r="T242" s="120"/>
      <c r="U242" s="120"/>
      <c r="V242" s="120"/>
      <c r="W242" s="166">
        <f>SUMIF(A8:A218,"A",W8:W223)</f>
        <v>1092577.9879238687</v>
      </c>
      <c r="X242" s="166">
        <f>SUMIF(A8:A218,"A",X8:X223)</f>
        <v>1174458.0428995632</v>
      </c>
      <c r="Y242" s="166">
        <f>SUMIF(A8:A218,"A",Y8:Y223)</f>
        <v>1214424.4051573046</v>
      </c>
      <c r="Z242" s="166">
        <f>SUMIF(A8:A218,"A",Z8:Z223)</f>
        <v>1274524.8446416294</v>
      </c>
      <c r="AA242" s="120">
        <f>SUMIF(A8:A218,"A",AA8:AA223)</f>
        <v>1249232.33</v>
      </c>
      <c r="AB242" s="120">
        <f>SUMIF(A8:A218,"A",AB8:AB223)</f>
        <v>1193770.8</v>
      </c>
      <c r="AE242" s="120"/>
      <c r="AF242" s="120"/>
      <c r="AG242" s="120"/>
      <c r="AH242" s="120"/>
      <c r="AI242" s="120"/>
      <c r="AJ242" s="120"/>
      <c r="AK242" s="120"/>
      <c r="AL242" s="169" t="s">
        <v>3499</v>
      </c>
      <c r="AM242" s="166">
        <f>2048.1+5784.52+4674.47+8761.83+2255.88+2129.26+4774.91+3139.36+2521.14+4337.49</f>
        <v>40426.959999999992</v>
      </c>
      <c r="AN242" s="166">
        <f>-2629.71+37711.84</f>
        <v>35082.129999999997</v>
      </c>
      <c r="AO242" s="166">
        <f>1530.26+20686.37+9537.24+10960.83</f>
        <v>42714.7</v>
      </c>
      <c r="AP242" s="166">
        <f>1962.53+22313.55+10530.9+11689.41</f>
        <v>46496.39</v>
      </c>
      <c r="AQ242" s="166">
        <f>3307.35+24499.16+11157.46+12521.82</f>
        <v>51485.79</v>
      </c>
      <c r="AR242" s="166">
        <f>2192.45+24626.05+10588.85+11185.04</f>
        <v>48592.39</v>
      </c>
      <c r="AS242" s="166">
        <f>22680.68+9914.61+10191.51+943.38</f>
        <v>43730.18</v>
      </c>
      <c r="AT242" s="166">
        <f>18255.4+8604.18+8233.81+4369.07</f>
        <v>39462.46</v>
      </c>
      <c r="AU242" s="166"/>
      <c r="AV242" s="166">
        <f>20560.21+9517.47+8877.01+2484.96</f>
        <v>41439.65</v>
      </c>
      <c r="AW242" s="166">
        <f>20397.05+9905.89+9434.98+1868.51</f>
        <v>41606.43</v>
      </c>
      <c r="AX242" s="166"/>
      <c r="AY242" s="166">
        <f>20832.76+9552.84+9100.97+2074.03</f>
        <v>41560.6</v>
      </c>
      <c r="AZ242" s="166"/>
      <c r="BA242" s="166">
        <f>1983.43+20128.06+10786.58+11057.3</f>
        <v>43955.369999999995</v>
      </c>
      <c r="BB242" s="43">
        <f t="shared" si="47"/>
        <v>431037.08</v>
      </c>
      <c r="BD242" s="43"/>
      <c r="BE242" s="43"/>
      <c r="BF242" s="43"/>
      <c r="BG242" s="43"/>
      <c r="BH242" s="43"/>
      <c r="BI242" s="163"/>
      <c r="BJ242" s="163"/>
      <c r="BK242" s="83"/>
      <c r="BL242" s="83"/>
      <c r="BM242" s="83"/>
      <c r="BN242" s="83"/>
      <c r="BO242" s="228"/>
      <c r="BP242" s="163"/>
      <c r="BQ242" s="83"/>
      <c r="BR242" s="163"/>
      <c r="BS242" s="163"/>
      <c r="BT242" s="163"/>
      <c r="BU242" s="162"/>
      <c r="BV242" s="163"/>
      <c r="BW242" s="163"/>
      <c r="BX242" s="9"/>
      <c r="BY242" s="9"/>
      <c r="BZ242" s="58"/>
      <c r="CA242" s="9"/>
    </row>
    <row r="243" spans="2:79" s="151" customFormat="1" hidden="1" x14ac:dyDescent="0.25">
      <c r="C243" s="170" t="s">
        <v>1222</v>
      </c>
      <c r="E243" s="171">
        <f>SUMIF(A8:A218,"O",AC8:AC223)</f>
        <v>1588976.7564428754</v>
      </c>
      <c r="G243" s="3"/>
      <c r="H243" s="3"/>
      <c r="I243" s="3"/>
      <c r="J243" s="3"/>
      <c r="K243" s="3"/>
      <c r="L243" s="3"/>
      <c r="M243" s="3"/>
      <c r="N243" s="3"/>
      <c r="O243" s="3"/>
      <c r="P243" s="171">
        <f>SUMIF(A8:A218,"O",AD8:AD223)</f>
        <v>2286235.2695916155</v>
      </c>
      <c r="Q243" s="171"/>
      <c r="R243" s="171"/>
      <c r="S243" s="171"/>
      <c r="T243" s="171"/>
      <c r="U243" s="171"/>
      <c r="V243" s="171"/>
      <c r="W243" s="171">
        <f>SUMIF(A8:A218,"O",W8:W223)</f>
        <v>530083.56384142733</v>
      </c>
      <c r="X243" s="171">
        <f>SUMIF(A8:A218,"O",X8:X223)</f>
        <v>556028.78316599992</v>
      </c>
      <c r="Y243" s="171">
        <f>SUMIF(A8:A218,"O",Y8:Y223)</f>
        <v>535020.06977712503</v>
      </c>
      <c r="Z243" s="171">
        <f>SUMIF(A8:A218,"O",Z8:Z223)</f>
        <v>666806.07370099996</v>
      </c>
      <c r="AA243" s="171">
        <f>SUMIF(A8:A218,"O",AA8:AA223)</f>
        <v>663155.24999999988</v>
      </c>
      <c r="AB243" s="171">
        <f>SUMIF(A8:A218,"O",AB8:AB223)</f>
        <v>674611.48</v>
      </c>
      <c r="AE243" s="171"/>
      <c r="AF243" s="171"/>
      <c r="AG243" s="171"/>
      <c r="AH243" s="171"/>
      <c r="AI243" s="171"/>
      <c r="AJ243" s="171"/>
      <c r="AK243" s="171"/>
      <c r="AL243" s="169" t="s">
        <v>3499</v>
      </c>
      <c r="AM243" s="166">
        <f>3341.37+2741.67+5067.1+2201.1+1915.62+5498.86+5710.46+4704.17+9528.26+95+87.04+212.3+144.02+131.04+290.4+53.08+45.19+84.6+55.61+39.76+73.67+457.59+88.61+65.9+2.8+96.89+109.96+110.32+86.29+157.87+17.55+107.53+81.9+141.61+73.9+34.1+7.51</f>
        <v>43660.650000000016</v>
      </c>
      <c r="AN243" s="166">
        <v>44456.44</v>
      </c>
      <c r="AO243" s="166">
        <f>249.9+95.76+812.34+63.4+15.3+1116.25+62.56+414.08+38.94+791.26+22340.56+14201.11+11670.29</f>
        <v>51871.750000000007</v>
      </c>
      <c r="AP243" s="166">
        <f>81.27+384.58+61.52+16.56+1024.46+59.64+340.87+38.55+401.2+20161.35+13601.04+11012.33</f>
        <v>47183.37</v>
      </c>
      <c r="AQ243" s="166">
        <f>250.11+82.61+47.4+55.43+18.02+1032.98+68.01+358.65+33.1+401.13+22307.67+14112.18+11962.82</f>
        <v>50730.109999999993</v>
      </c>
      <c r="AR243" s="166">
        <f>74.28+19.86+38.92+16.23+19.17+119.09+105.37+236.55+170.68+148.74+349.58+0.07+66.52+3.1+115.86+81.49+140.76+25.91+119.79+86.95+140.37+6188.34+5009.26+8986.74+3331.68+2937.55+6489.82+10727.9</f>
        <v>45750.58</v>
      </c>
      <c r="AS243" s="166">
        <f>48.76+53.27+53.8+72.23+166.53+133.44+283.24+193.49+129.6+237.87+20.27+39.47+15.45+18.89+121.33+103.62+233.66+162.78+144.1+353.73+113.1+86.89+155.18+30.25+120.21+89.47+153.86+6191.65+5272.64+10176.31+3397.85+3177.37+7207+3572.07+3000.17+5127.78</f>
        <v>50457.329999999994</v>
      </c>
      <c r="AT243" s="166">
        <f>75.51+52.84+44.03+92.24+36.32+29.02+61.72+23.77+38.01+16.94+12.6+(112.45+98.99+213.01+159.81+142.18+329.46)+96.46+72.55+145.54+5299.8+4297.18+8056.56+2741.4+2222.12+5315.3+2803.8+2182.46+3929.61</f>
        <v>38701.68</v>
      </c>
      <c r="AU243" s="166"/>
      <c r="AV243" s="166">
        <f>101.68+80.86+70.75+25.36+36.21+17.67+17.77+109.23+92.08+201.37+152.74+132.75+309.63+95.74+72.01+133.64+58+206.62+148.47+291.59+5559.58+4631.41+9330.78+2603.71+2254.5+5666.85+2937.52+2368.5+4398.02</f>
        <v>42105.039999999994</v>
      </c>
      <c r="AW243" s="166">
        <f>2747.92+18405.31+9101.68+9566.58</f>
        <v>39821.490000000005</v>
      </c>
      <c r="AX243" s="166"/>
      <c r="AY243" s="166">
        <f>2383.14+38914.76</f>
        <v>41297.9</v>
      </c>
      <c r="AZ243" s="166"/>
      <c r="BA243" s="172">
        <f>2272.5+20177.51+9469.83+10396.06</f>
        <v>42315.899999999994</v>
      </c>
      <c r="BB243" s="43">
        <f t="shared" si="47"/>
        <v>454738.44</v>
      </c>
      <c r="BC243" s="43"/>
      <c r="BD243" s="43"/>
      <c r="BE243" s="43"/>
      <c r="BF243" s="43"/>
      <c r="BG243" s="43"/>
      <c r="BH243" s="43"/>
      <c r="BI243" s="163"/>
      <c r="BJ243" s="163"/>
      <c r="BK243" s="83"/>
      <c r="BL243" s="83"/>
      <c r="BM243" s="83"/>
      <c r="BN243" s="83"/>
      <c r="BO243" s="228"/>
      <c r="BP243" s="163"/>
      <c r="BQ243" s="83"/>
      <c r="BR243" s="163"/>
      <c r="BS243" s="163"/>
      <c r="BT243" s="163"/>
      <c r="BU243" s="162"/>
      <c r="BV243" s="163"/>
      <c r="BW243" s="163"/>
      <c r="BX243" s="9"/>
      <c r="BY243" s="9"/>
      <c r="BZ243" s="58"/>
      <c r="CA243" s="9"/>
    </row>
    <row r="244" spans="2:79" s="151" customFormat="1" hidden="1" x14ac:dyDescent="0.25">
      <c r="E244" s="141">
        <f>SUM(E240:E243)</f>
        <v>12515498.260729374</v>
      </c>
      <c r="G244" s="3"/>
      <c r="H244" s="3"/>
      <c r="I244" s="3"/>
      <c r="J244" s="3"/>
      <c r="K244" s="3"/>
      <c r="L244" s="3"/>
      <c r="M244" s="3"/>
      <c r="N244" s="3"/>
      <c r="O244" s="3"/>
      <c r="P244" s="141">
        <f>SUM(P240:P243)</f>
        <v>12934894.478625298</v>
      </c>
      <c r="Q244" s="141"/>
      <c r="R244" s="141"/>
      <c r="S244" s="141"/>
      <c r="T244" s="141"/>
      <c r="U244" s="141"/>
      <c r="V244" s="141"/>
      <c r="W244" s="141">
        <f t="shared" ref="W244:AB244" si="50">SUM(W240:W243)</f>
        <v>10124635.087637799</v>
      </c>
      <c r="X244" s="141">
        <f t="shared" si="50"/>
        <v>9558264.8511531893</v>
      </c>
      <c r="Y244" s="141">
        <f t="shared" si="50"/>
        <v>9659461.8900917154</v>
      </c>
      <c r="Z244" s="141">
        <f t="shared" si="50"/>
        <v>10321184.026594227</v>
      </c>
      <c r="AA244" s="141">
        <f t="shared" si="50"/>
        <v>10638849.539999997</v>
      </c>
      <c r="AB244" s="141">
        <f t="shared" si="50"/>
        <v>11001273.219999999</v>
      </c>
      <c r="AE244" s="141"/>
      <c r="AF244" s="141"/>
      <c r="AG244" s="141"/>
      <c r="AH244" s="141"/>
      <c r="AI244" s="141"/>
      <c r="AJ244" s="141"/>
      <c r="AK244" s="141"/>
      <c r="AL244" s="169" t="s">
        <v>3499</v>
      </c>
      <c r="AM244" s="173">
        <f>5807.02+4800.62+9227.64+2397.38+2130.38+5248.11+2493.92+1994.29+3238.08+51.88+40.63+83.05+50.64+34.4+64.81+56.79+1.91+56.16+65.54+117.4+84.74+132+73.82+35.93</f>
        <v>38287.140000000007</v>
      </c>
      <c r="AN244" s="173">
        <f>2645.82+2093.21+3551.14+2782.68+2221.95+4971.52+6015.62+4932.97+10608.78+54.98+42.77+81.75+56.44+37.76+63.2+50.18+2.02+53.54+64.15+220.88+170.38+301.86+25.02+126.93+90.17+141.01+72.85+30.68+32.86</f>
        <v>41543.119999999995</v>
      </c>
      <c r="AO244" s="166">
        <f>53.58+42.67+88.68+71.29+51.14+90.09+56.02+3.19+53.15+73.32+112.91+98.73+152.4+16.89+143.39+104.71+150.65+3018.83+2361.24+3702.03+2835.84+2581.25+5296.73+88.33+35.54+16.72+6887.49+5497.61+10043.16</f>
        <v>43727.58</v>
      </c>
      <c r="AP244" s="166">
        <f>54.28+42.24+80.89+70.56+47.98+82.54+32.19+24.99+53.48+3.19+51.13+66.65+11.25+3086.56+2331.26+3776.63+2662.12+2524.58+5498.47+80.09+34.37+17.6+7064.71+5515.02+9774.23+65.04+221.17+142.68+100.5+148.26</f>
        <v>43664.659999999996</v>
      </c>
      <c r="AQ244" s="166">
        <f>3224.03+2587.45+4421.32+2823.42+2767.54+6060.46+7442.47+5890.74+10621.33+56.14+44.98+83.33+65.15+45.04+75.7+54.65+3.19+51.9+59.79+118.63+88.69+160.34+141.74+102.38+155.43+82.54+32.94+19.45</f>
        <v>47280.770000000004</v>
      </c>
      <c r="AR244" s="166">
        <f>3189.52+2547.52+4120.17+3018.08+2711.89+5698.66+7280.54+5678.69+9433.88+57.43+45.12+91.04+65.18+43.67+77.18+56.99+3.19+51.45+50.59+126.75+92.98+147.39+140.8+98.87+144.03+83.34+26.71+20.61</f>
        <v>45102.27</v>
      </c>
      <c r="AS244" s="166">
        <f>2917.53+2392.15+4437.45+3161.22+2454.72+5999.2+6606.7+5437.5+9870.78+55.88+48.5+89.06+51.33+35.75+67.62+58.35+3.19+106.85+79.84+146.27+44.64+77.53+25.15+20.61</f>
        <v>44187.819999999992</v>
      </c>
      <c r="AT244" s="174">
        <f>2656.4+2130.46+3754.05+2366.18+1947.29+4935.7+5781.96+4682.54+8565.51+54.15+45.93+93.98+38.48+27.29+70.08+64.39+1.63+100.59+87.13+92.7+74.15+142.09+77.76+24.37+18.12</f>
        <v>37832.930000000008</v>
      </c>
      <c r="AU244" s="174"/>
      <c r="AV244" s="166">
        <f>2633.44+2161.46+4030.69+2341.92+2055.75+5401.94+5831.28+4773.11+9096.84+52.27+42.27+80.82+39.36+27.2+58.36+52.12+2.02+43.28+41.72+90.35+71.43+128.91+41.9+70.01+27.68+14.91</f>
        <v>39211.040000000001</v>
      </c>
      <c r="AW244" s="166">
        <f>2750+2221.62+3894.84+2458.48+2014.24+5020.34+5938.3+4837.26+8755.03+50.92+43.06+88.75+42.98+29.84+71.24+69.8+1.63+47.57+39.82+98.38+75.41+135.93+17.06+494.69+347.57+570.96+74.62+27.87+19.09+16.54+384.23</f>
        <v>40638.069999999992</v>
      </c>
      <c r="AX244" s="166"/>
      <c r="AY244" s="175">
        <f>2065.92+1775.04+4311.12+3178.51+2526.42+4342.57+5646.88+4677.66+8472.08+51.56+43.76+81.7+37.86+28.75+66.79+58.7+1.63+46.65+37.84+99.45+76.57+136.57+21.06+106.93+75.51+137.16+73.33+28.85+17.05</f>
        <v>38223.919999999998</v>
      </c>
      <c r="AZ244" s="175"/>
      <c r="BA244" s="166">
        <f>52.43+39.63+78.78+52.47+1.63+103.95+75.53+137.25+17.36+95.48+69.49+126.12+3294.16+2648.92+4600.9+2176.84+1831.59+4726.26+27.29+18.22+5758.4+4627.7+8574.56+66.85</f>
        <v>39201.810000000005</v>
      </c>
      <c r="BB244" s="43">
        <f t="shared" si="47"/>
        <v>421475.39999999997</v>
      </c>
      <c r="BC244" s="43"/>
      <c r="BD244" s="43"/>
      <c r="BE244" s="43"/>
      <c r="BF244" s="43"/>
      <c r="BG244" s="43"/>
      <c r="BH244" s="43"/>
      <c r="BI244" s="163"/>
      <c r="BJ244" s="163"/>
      <c r="BK244" s="83"/>
      <c r="BL244" s="83"/>
      <c r="BM244" s="83"/>
      <c r="BN244" s="83"/>
      <c r="BO244" s="228"/>
      <c r="BP244" s="163"/>
      <c r="BQ244" s="83"/>
      <c r="BR244" s="163"/>
      <c r="BS244" s="163"/>
      <c r="BT244" s="163"/>
      <c r="BU244" s="162"/>
      <c r="BV244" s="163"/>
      <c r="BW244" s="163"/>
      <c r="BX244" s="9"/>
      <c r="BY244" s="9"/>
      <c r="BZ244" s="58"/>
      <c r="CA244" s="9"/>
    </row>
    <row r="245" spans="2:79" s="151" customFormat="1" ht="15.6" hidden="1" x14ac:dyDescent="0.3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169" t="s">
        <v>3499</v>
      </c>
      <c r="AM245" s="166">
        <v>41243.03</v>
      </c>
      <c r="AN245" s="176">
        <f>54.84+42.68+79.79+56.33+42.11+81.12+110.67+6.16+51.19+60.7+104.75+76.19+125.12+10.97+121.04+83.38+119.27+2059.7+1632.18+2824.64+3110.56+2455.4+4565.58+67.11+31.29+14.32+6208.42+4815+8570.04</f>
        <v>37580.550000000003</v>
      </c>
      <c r="AO245" s="177">
        <f>61.5+48.8+93.09+70.39+53.29+97.99+156.85+55.72+63.41+3.08+55.27+69.18+104.06+84.72+142.86+10.97+128.32+91.07+121.29+2292.44+1829.34+2832.54+3296.06+2701.48+4631.55+73.27+42+16.85+7259.1+5767.57+9491.45</f>
        <v>41745.509999999995</v>
      </c>
      <c r="AP245" s="177">
        <f>56.35+42.51+79.97+61.67+45.56+80.14+71.32+36.48+55.82+3.08+52.01+72.54+108.18+81.66+138.19+126.44+87.8+116.14+2371.72+1820.86+2854.41+3511.08+2788.91+4672.08+72.24+30.12+15.85+6984.53+5611.26+9416.71</f>
        <v>41465.629999999997</v>
      </c>
      <c r="AQ245" s="166">
        <v>46299.71</v>
      </c>
      <c r="AR245" s="166">
        <f>53.23+43.97+84.09+63.29+49.77+83.94+150.31+47.35+52.44+58.01+113.65+87.03+146.93+14.28+115.28+81.23+113.38+2223.22+1700.72+2818.21+3200.72+2535.15+4442.81+70.89+39.66+16.76+7013.56+5612.57+10210.58</f>
        <v>41243.03</v>
      </c>
      <c r="AS245" s="166">
        <v>41897.99</v>
      </c>
      <c r="AT245" s="174">
        <v>36459.839999999997</v>
      </c>
      <c r="AU245" s="174"/>
      <c r="AV245" s="166">
        <v>39283.25</v>
      </c>
      <c r="AW245" s="166">
        <v>38531.94</v>
      </c>
      <c r="AX245" s="166"/>
      <c r="AY245" s="175">
        <f>54.86+43.28+84.41+37.86+26.19+53.94+72.43+13.56+52.32+3.08+51.92+48.33+98.74+78.09+134.63+33.25+106.1+71.18+107.72+2331.01+1864.91+3091.08+2871.02+2278.3+4656.5+65.69+28.53+17.99+6149.66+5071.5+8933.86</f>
        <v>38531.94</v>
      </c>
      <c r="AZ245" s="175"/>
      <c r="BA245" s="166">
        <f>2536.9+2357.13+5239.99+2470.96+1978.91+3256.18+6305.9+5034.58+9244.77+52.34+40.73+88.48+44+29.78+59.45+61.08+1.91+52.33+52.12+103.94+78.91+139.68+14.95+109.16+73.28+109.19+68.62+27.17+17.79</f>
        <v>39650.230000000025</v>
      </c>
      <c r="BB245" s="43">
        <f t="shared" si="47"/>
        <v>405750.48000000004</v>
      </c>
      <c r="BC245" s="43"/>
      <c r="BD245" s="43"/>
      <c r="BE245" s="43"/>
      <c r="BF245" s="43"/>
      <c r="BG245" s="43"/>
      <c r="BH245" s="43"/>
      <c r="BI245" s="163"/>
      <c r="BJ245" s="163"/>
      <c r="BK245" s="83"/>
      <c r="BL245" s="83"/>
      <c r="BM245" s="83"/>
      <c r="BN245" s="83"/>
      <c r="BO245" s="228"/>
      <c r="BP245" s="163"/>
      <c r="BQ245" s="83"/>
      <c r="BR245" s="163"/>
      <c r="BS245" s="163"/>
      <c r="BT245" s="163"/>
      <c r="BU245" s="162"/>
      <c r="BV245" s="163"/>
      <c r="BW245" s="163"/>
      <c r="BX245" s="9"/>
      <c r="BY245" s="9"/>
      <c r="BZ245" s="58"/>
      <c r="CA245" s="9"/>
    </row>
    <row r="246" spans="2:79" s="151" customFormat="1" hidden="1" x14ac:dyDescent="0.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169" t="s">
        <v>3499</v>
      </c>
      <c r="AM246" s="166">
        <f>723.98+49.3+39.35+83.94+52.49+38.09+77.49+290.83+54.18+42.64+43.27+105.72+79.72+125.7+1363.03+2122.12+3171.68+2553.12+4424.89+65.97+34.58+17.18+6372.52+5003.42+8481.2</f>
        <v>35416.410000000003</v>
      </c>
      <c r="AN246" s="166">
        <f>34.63+6412.17+5288.89+9630.79+103.55+73.09+122.78+39.77+65.16+54.98+40.9+81.59+62.31+44.53+76.82+257.94+23.6+1757.51+1422.14+2267.66+2738.29+2359.49+4301.08+66.64</f>
        <v>37326.31</v>
      </c>
      <c r="AO246" s="166">
        <f>55.66+43.41+80.5+76.06+58.46+100.78+66.53+3.47+39.39+64.14+111.66+83.72+141.15+59.09+246.12+171.32+225.09+1958.72+1536.62+2299.98+3251.44+2565.41+4627.41+74.53+43+30.77+7383.18+5763.16+9480.72</f>
        <v>40641.49</v>
      </c>
      <c r="AP246" s="166">
        <f>53.71+43.2+86.03+79.56+59.4+107.56+62.05+3.47+42.9+67.21+110.79+81.42+130.75+12.73+127.78+91.78+114.84+2049.84+1584.35+2374.92+3342.56+2627.5+4672.65+77.17+40.08+17.87+7503.58+5961.1+9747.59</f>
        <v>41274.39</v>
      </c>
      <c r="AQ246" s="166">
        <f>397.04+121.09+71.59+3.08+48.85+56.46+115.31+86.54+130.27+14.09+126.83+89.91+116.68+2167.24+1717.02+2576.28+3574.04+2863.55+4796.71+70.9+36.39+17.87+8164.61+6629.99+10367.22</f>
        <v>44359.56</v>
      </c>
      <c r="AR246" s="166">
        <f>108.75+82.97+157.01+138.77+96.38+166.69+59.33+3.08+55.47+58.79+119.48+87.61+138.74+14.48+125.42+87.1+117.62+2095.76+1645.43+2757.46+3433.68+2751.7+4985.8+72.98+34.63+20.88+7891.02+6219.43+10721.76</f>
        <v>44248.220000000008</v>
      </c>
      <c r="AS246" s="166">
        <f>44.63+31.99+81.73+56.92+48.64+95.71+75.48+3.47+50.02+40.97+98.56+75.53+125.69+16.62+112.69+79.44+119.09+1904.86+1536.22+2602.32+3057.18+2503.9+4695.48+76.54+31.52+21.08+7112.02+5821.86+10406.86+63.91+91.49+95.04</f>
        <v>41177.460000000006</v>
      </c>
      <c r="AT246" s="166">
        <v>34079.019999999997</v>
      </c>
      <c r="AU246" s="166"/>
      <c r="AV246" s="166">
        <v>36032.949999999997</v>
      </c>
      <c r="AW246" s="166">
        <f>54.16+43.05+83.45+37.62+27.13+82.2+80.95+18.96+64.39+3.47+51.84+41.41+90.34+69.12+114.68+17.98+105.93+72.58+116.7+1925.1+1529.62+2718.44+2671.24+2177.09+4420.41+70.58+29.96+19.87+5940.2+4789.61+9208.98</f>
        <v>36677.06</v>
      </c>
      <c r="AX246" s="166"/>
      <c r="AY246" s="175">
        <f>54.16+42.59+83.27+55.35+41.1+80.44+71.36+66.72+2.69+48.83+49.34+103.24+79.94+122.72+16.61+111.35+76.32+110.45+2105.36+1666.58+2599.85+3186+2482.66+4294.22+62.79+26.65+18.41+6586.36+5156.74+8843.62</f>
        <v>38245.720000000008</v>
      </c>
      <c r="AZ246" s="175"/>
      <c r="BA246" s="166">
        <f>54.86+42.81+88.6+60.64+43.4+88.73+58.35+3.47+53.73+56.92+111.54+80.25+126.3+15.83+112.52+78.43+111.73+2262.2+1768.82+2801.11+3341.54+2673.7+4460.91+69.7+31.04+19.29+6984.1+5583.62+9294.28</f>
        <v>40478.420000000006</v>
      </c>
      <c r="BB246" s="43">
        <f t="shared" si="47"/>
        <v>391232.87</v>
      </c>
      <c r="BC246" s="43"/>
      <c r="BD246" s="43"/>
      <c r="BE246" s="43"/>
      <c r="BF246" s="43"/>
      <c r="BG246" s="43"/>
      <c r="BH246" s="43"/>
      <c r="BI246" s="163"/>
      <c r="BJ246" s="163"/>
      <c r="BK246" s="83"/>
      <c r="BL246" s="83"/>
      <c r="BM246" s="83"/>
      <c r="BN246" s="83"/>
      <c r="BO246" s="228"/>
      <c r="BP246" s="163"/>
      <c r="BQ246" s="83"/>
      <c r="BR246" s="163"/>
      <c r="BS246" s="163"/>
      <c r="BT246" s="163"/>
      <c r="BU246" s="162"/>
      <c r="BV246" s="163"/>
      <c r="BW246" s="163"/>
      <c r="BX246" s="9"/>
      <c r="BY246" s="9"/>
      <c r="BZ246" s="58"/>
      <c r="CA246" s="9"/>
    </row>
    <row r="247" spans="2:79" hidden="1" x14ac:dyDescent="0.25">
      <c r="B247" s="40"/>
      <c r="W247" s="178"/>
      <c r="X247" s="178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178"/>
      <c r="AJ247" s="178"/>
      <c r="AK247" s="178"/>
      <c r="AL247" s="169" t="s">
        <v>3499</v>
      </c>
      <c r="AM247" s="166">
        <f>76.76+6.58+41.47+27.9+282.68+2605.63+2066.56+3401.36+1598.3+1312.1+2085.52+59.56+28.62+16.09+6187.5+5102.07+9050.2+191.44+136.47+190.85</f>
        <v>34467.660000000003</v>
      </c>
      <c r="AN247" s="166">
        <f>64.69+5.03+41.63+43.16+110.65+79.2+122.33+2681.35+2077.16+3285.37+1681.07+1322.86+1958.97+64.03+32.12+6302.19+4941.29+8500.48</f>
        <v>33313.58</v>
      </c>
      <c r="AO247" s="166">
        <f>440.51+81.49+70.34+5.8+39.89+60.82+111.52+83.45+134.87+122.83+86.1+109.55+111.88+78.71+98.66+3067.41+2483.74+4116.39+1993.38+1585.16+2355.84+74.46+40.69+29.07+7240.76+5878.97+10231.63+134.77+95.8+174.93+103.06+79.22+167.31+65.96</f>
        <v>41554.969999999994</v>
      </c>
      <c r="AP247" s="166">
        <f>104.39+79.45+163.11+146.16+103.56+176.18+5.41+41.56+62.43+105.19+75.33+115.39+122.64+83.15+104.98+3067.3+2293.28+3605.29+1842.27+1360.13+2017.69+68.8+33.49+15.12+6516.46+4924.27+8510.69</f>
        <v>35743.72</v>
      </c>
      <c r="AQ247" s="166">
        <f>53.71+42.27+88.73+69.65+51.41+96.37+241.12+54.62+140.87+6.58+42.81+54.67+121.9+89.83+125.61+20.89+131.46+89.5+108.86+70.68+3459.15+2786.6+4287.45+2127.62+1703.97+2473+44.97+18.33+8102.46+6575.48+11077.1</f>
        <v>44357.670000000006</v>
      </c>
      <c r="AR247" s="166">
        <f>54.42+42.6+84.35+57.22+38.44+75.3+65.08+5.41+43.82+42.45+108.46+76.59+124.18+124.4+81.85+105.04+3207.89+2421.68+4261.55+1990.72+1521.11+2531.39+61.91+31.54+18.65+7043.45+5365.05+9064.2</f>
        <v>38648.75</v>
      </c>
      <c r="AS247" s="166">
        <f>54+44.21+94.77+52.93+39.05+82.33+243.3+43.33+77.74+6.19+42.11+32.06+98.65+71.48+112.57+106.66+73.42+109.07+3160.52+2574.28+4447.5+1922.14+1558.57+2635.01+60.5+29.79+19.53+6861.37+5608.05+7195.22</f>
        <v>37456.35</v>
      </c>
      <c r="AT247" s="166">
        <f>51.32+43.23+86.12+34.14+29.48+88.04+122.1+19.13+65.75+39.61+24.59+36.08+80.44+55.73+94.43+1889.92+1454.75+2277.67+1182.02+931.15+1413.47+404.62+255.64+313.91+169.64+707.72+355.32+68.95+27.45+6333.86+5371.93+10506.54</f>
        <v>34534.75</v>
      </c>
      <c r="AU247" s="166"/>
      <c r="AV247" s="166">
        <f>50.2+41.29+88.8+47.39+34.12+88.1+117.97+19.72+42.41+34.58+242.52+139.71+191.49+14.17+97.84+66.53+105.56+4037.82+3169.22+5333.37+24.34+32.62</f>
        <v>14019.770000000002</v>
      </c>
      <c r="AW247" s="166">
        <f>48.49+38.47+76.68+35.96+25.35+73.09+95.44+17.38+128.19+21.69+44.53+41.25+38.46+35.22+91.42+67.24+119.11+13.7+4410.06+3399.41+5085.06+0.5+29.01+18.35+6531.84+5273.61+8999.66+9517.28+5427.54+6151.84</f>
        <v>55855.83</v>
      </c>
      <c r="AX247" s="166"/>
      <c r="AY247" s="166">
        <f>39.09+41.66+91.65+71.43+115.09+13.7+132.63+28.23+17.77+5036.4+9498.36</f>
        <v>15086.01</v>
      </c>
      <c r="AZ247" s="166"/>
      <c r="BA247" s="166">
        <f>94.59+77.96+154.2+87.37+64.03+141.32+39.39+38.71+96.74+69.7+117.98+1761.32+1431+2423.57+4357.18+3918.34+3357.02+2758.39+5901.44+4209.68+59.87+30.76+19.03+6746.38+5513.18+9340.92</f>
        <v>52810.069999999992</v>
      </c>
      <c r="BB247" s="43">
        <f t="shared" si="47"/>
        <v>369953.05000000005</v>
      </c>
      <c r="BC247" s="43"/>
      <c r="BD247" s="43"/>
      <c r="BE247" s="43"/>
      <c r="BF247" s="43"/>
      <c r="BG247" s="6"/>
      <c r="BH247" s="6"/>
      <c r="BO247" s="225"/>
    </row>
    <row r="248" spans="2:79" hidden="1" x14ac:dyDescent="0.25">
      <c r="B248" s="40"/>
      <c r="C248" s="170"/>
      <c r="D248" s="170"/>
      <c r="AL248" s="169" t="s">
        <v>3499</v>
      </c>
      <c r="AM248" s="179">
        <f>107.52+17.55+81.48+6.35+38.56+46.59+102.63+75.15+125.77+8.46+92.48+66.06+160.14+2086.72+1762.39+2689.79+1696.08+1517.93+2667.65+59.22+25.18+15.73+7162.3+5980.25+11343.16+356.24+265.33+378.83</f>
        <v>38935.54</v>
      </c>
      <c r="AN248" s="179">
        <f>139.09+112.29+226.95+137.3+105.7+190.9+82.84+5.96+39.53+58.27+114.19+77+125.27+17.61+111.8+78.49+108.84+60.86+26.74+15.73+2194.32+1626.89+2393.73+1772.02+1349.76+2044.29+7044.99+5520.46+9731.68</f>
        <v>35513.5</v>
      </c>
      <c r="AO248" s="179">
        <f>241.49+41.14+89.07+7.12+35.64+62.16+107+76.59+131.83+17.02+110.51+81.74+112.73+2320.54+1835.62+2640.31+1864.34+1477.4+2316.37+60.21+28.88+12.23+7780.76+6221.45+10456.14</f>
        <v>38128.289999999994</v>
      </c>
      <c r="AP248" s="179">
        <f>38.17+62.16+104.67+77.29+117.7+17.02+118.01+81.82+109.73+2295.36+1694.55+2736.55+1659.28+1293.72+2321.51+55.2+15.24+18.1+7373.85+5728.21+10768.22+82.64+5.8+25.37</f>
        <v>36800.170000000006</v>
      </c>
      <c r="AQ248" s="179">
        <f>2519.82+2151.32+2893.55+1864.34+1502.46+2359.71+8492.1+6840.14+11149.56+18.55+27.41+55.4+112.98+81.61+101.56+17.02+125.22+88.8+124.13+60.99+36.61</f>
        <v>40623.280000000006</v>
      </c>
      <c r="AR248" s="43">
        <f>57.07+44.78+101.8+48.93+37.81+87.32+164.71+12+44.4+60.99+121.34+87.22+125.29+14.97+113.11+79.12+97.94+3132.45+2168.5+3607.67+1892.18+1386.29+2123.6+49.61+22.15+18.36+7817.12+6119.67+10009.84-1249.87</f>
        <v>38396.370000000003</v>
      </c>
      <c r="AS248" s="43">
        <f>460.12+96.19+41.59+52.43+101.15+77.1+128.95+7.48+102.45+71.16+105.42+2778.4+2245.85+3979.92+1630.93+1393.08+2245.03+54.38+22.15+18.26+7101.6+6058.38+10915.7</f>
        <v>39687.72</v>
      </c>
      <c r="AT248" s="43">
        <f>104.69+88.74+194.63+86.36+61.05+142.94+180+12.39+43.15+38.8+88.82+68.66+127.64+10.27+2139.44+1674.69+3178.01+1341.14+1026.45+1867.68+59.7+13.98+6018+4671.37+9139.7</f>
        <v>32378.300000000003</v>
      </c>
      <c r="AU248" s="43"/>
      <c r="AV248" s="43">
        <f>52.42+42.27+89.89+29.1+21.72+66.82+216.17+36.71+37.89+21.28+85.97+62.57+112.09+21.7+9.24+82.48+56.58+99.75+2276.69+1733.7+3161.27+1546.67+1218.27+2004.02+56.96+24.1+26.24+15.54+5845.56+4873.85+8792.1-(-245.25)-10.21</f>
        <v>32954.660000000003</v>
      </c>
      <c r="AW248" s="43">
        <f>51.71+42.04+93.16+46.38+29.83+73.77+50.78+41.14+97.32+72.14+120.35+22.86+96.11+66.14+99.33+2526.96+1970.75+3333.48+1684.29+1328.29+2116.98+55.1+24.29+18.36+6310.5+5160.32+8987</f>
        <v>34519.380000000005</v>
      </c>
      <c r="AX248" s="43"/>
      <c r="AY248" s="43">
        <f>340.97+49.03+40.97+86.85+41.79+33.67+72.7+197.47+36.9+218.22+17.02+44.86+34.91+92.47+68.77+113.38+91.61+62.81+100.12+2484.3+1990.66+3569.69+1328.29+1616+2291.34+51.3+24.88+6198.08+5203.86+9644.26</f>
        <v>36147.18</v>
      </c>
      <c r="AZ248" s="43"/>
      <c r="BA248" s="43">
        <f>49.27+39.1+84.62+45.18+32.18+76.96+66.83+5.41+42.18+19.33+2676.72+1953.29+3382.06+1672.14+1297.98+2122.44+55.66+27.41+38.12+6103.74+4967.06+8885.14+273.16</f>
        <v>33915.980000000003</v>
      </c>
      <c r="BB248" s="43">
        <f t="shared" si="47"/>
        <v>367937.20999999996</v>
      </c>
      <c r="BC248" s="43"/>
      <c r="BD248" s="180"/>
      <c r="BE248" s="180"/>
      <c r="BF248" s="180"/>
      <c r="BG248" s="6"/>
      <c r="BH248" s="6"/>
      <c r="BO248" s="225"/>
    </row>
    <row r="249" spans="2:79" hidden="1" x14ac:dyDescent="0.25">
      <c r="B249" s="40"/>
      <c r="C249" s="170"/>
      <c r="D249" s="170"/>
      <c r="AL249" s="169" t="s">
        <v>3499</v>
      </c>
      <c r="AM249" s="181">
        <f>859295-794699.02-18166.81-14873.07</f>
        <v>31556.099999999984</v>
      </c>
      <c r="AN249" s="181">
        <f>954157-901222.48-14368.19+17376.79</f>
        <v>55943.120000000017</v>
      </c>
      <c r="AO249" s="181">
        <f>890391-827416.07-17029.11</f>
        <v>45945.820000000051</v>
      </c>
      <c r="AP249" s="181">
        <f>986196-929873.55-17945.05+6334.22</f>
        <v>44711.619999999952</v>
      </c>
      <c r="AQ249" s="181">
        <f>1068702-997781.63-22817.96</f>
        <v>48102.409999999996</v>
      </c>
      <c r="AR249" s="173">
        <f>951891-886989.61-22085.03+16.25</f>
        <v>42832.610000000015</v>
      </c>
      <c r="AS249" s="182">
        <f>912664-790719.67-78160.3-1124.45+16.25</f>
        <v>42675.829999999958</v>
      </c>
      <c r="AT249" s="182">
        <f>843851.34-786895.91-19791.57</f>
        <v>37163.859999999935</v>
      </c>
      <c r="AU249" s="182"/>
      <c r="AV249" s="182">
        <f>1821.48+1303.71+2155.85+1614.96+1242.33+2256.52+6582.46+5261.78+9570.41+73.55+60.05+119.15+43.61+30.87+83.04+501.97+101.17+70.96+37.67+21.28+75.81+54.79+100.99+63.74+23.23+14.38</f>
        <v>33285.759999999995</v>
      </c>
      <c r="AW249" s="182">
        <f>93.17+74.02+160.56+141.41+118.26+277.08+75.36+62.46+119.48+51.43+36.65+84.93+77.78+40.31+28.29+85.16+59.55+103.81+18.04+1816.72+1471.76+2222.17+1754.66+1357.32+2400.99+63.76+24.21+16.62+6948.06+5654.32+9990.18</f>
        <v>35428.520000000004</v>
      </c>
      <c r="AX249" s="182"/>
      <c r="AY249" s="182">
        <f>74.8+62.71+130.23+59.53+41.33+84.21+20.47+114.24+19.89+117.65+79.14+45.76+15.05+93.66+64.67+105.51+23.64+1914.03+1541.68+2367.46+1797.98+1464+2373.84+55.89+19.92+16.43+7068.76+5775.87+10158.41</f>
        <v>35706.759999999995</v>
      </c>
      <c r="AZ249" s="182"/>
      <c r="BA249" s="182">
        <f>74.25+61.22+121.33+61.28+43.4+78.37+111.13+19.69+77.39+25.38+6.35+40.51+33.74+96.39+70.61+107.08+15.47+2160.91+1609.91+2369.91+1930.05+1448.16+2478.21+55.73+19.73+16.7+7378.06+5860.1+10145.18</f>
        <v>36516.239999999998</v>
      </c>
      <c r="BB249" s="43">
        <f t="shared" si="47"/>
        <v>417645.64999999991</v>
      </c>
      <c r="BC249" s="43"/>
      <c r="BD249" s="180"/>
      <c r="BE249" s="180"/>
      <c r="BF249" s="180"/>
      <c r="BG249" s="6"/>
      <c r="BH249" s="6"/>
      <c r="BO249" s="225"/>
    </row>
    <row r="250" spans="2:79" hidden="1" x14ac:dyDescent="0.25">
      <c r="B250" s="40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169" t="s">
        <v>3499</v>
      </c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  <c r="AX250" s="180"/>
      <c r="AY250" s="180"/>
      <c r="AZ250" s="180"/>
      <c r="BA250" s="180"/>
      <c r="BB250" s="121">
        <f t="shared" si="47"/>
        <v>0</v>
      </c>
      <c r="BC250" s="180"/>
      <c r="BD250" s="6"/>
      <c r="BE250" s="6"/>
      <c r="BF250" s="6"/>
      <c r="BG250" s="6"/>
      <c r="BH250" s="6"/>
      <c r="BO250" s="225"/>
    </row>
    <row r="251" spans="2:79" x14ac:dyDescent="0.25">
      <c r="B251" s="40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169" t="s">
        <v>3500</v>
      </c>
      <c r="AM251" s="179">
        <v>1322840.9201294705</v>
      </c>
      <c r="AN251" s="179">
        <v>1378782.4734555655</v>
      </c>
      <c r="AO251" s="179">
        <v>1472102.0239597107</v>
      </c>
      <c r="AP251" s="179">
        <v>1597838.5481073875</v>
      </c>
      <c r="AQ251" s="179">
        <v>1693954.2212667482</v>
      </c>
      <c r="AR251" s="179">
        <v>1543957.2156238742</v>
      </c>
      <c r="AS251" s="179">
        <v>1536565.4278866213</v>
      </c>
      <c r="AT251" s="179">
        <v>1224760.2031367812</v>
      </c>
      <c r="AU251" s="179"/>
      <c r="AV251" s="179">
        <v>1362683.6330569258</v>
      </c>
      <c r="AW251" s="179">
        <v>1427194.8280040796</v>
      </c>
      <c r="AX251" s="179"/>
      <c r="AY251" s="179">
        <v>1238721.6509697342</v>
      </c>
      <c r="AZ251" s="179"/>
      <c r="BA251" s="179">
        <v>1395661.4987349093</v>
      </c>
      <c r="BB251" s="43">
        <f t="shared" si="47"/>
        <v>14560679.494627165</v>
      </c>
      <c r="BC251" s="6"/>
      <c r="BD251" s="6"/>
      <c r="BE251" s="6"/>
      <c r="BF251" s="6"/>
      <c r="BG251" s="6"/>
      <c r="BH251" s="6"/>
      <c r="BO251" s="225"/>
    </row>
    <row r="252" spans="2:79" x14ac:dyDescent="0.25">
      <c r="B252" s="40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169" t="s">
        <v>3501</v>
      </c>
      <c r="AM252" s="179">
        <f>1078130.31+205002.11</f>
        <v>1283132.42</v>
      </c>
      <c r="AN252" s="179">
        <f>1292736.37+197771.89</f>
        <v>1490508.2600000002</v>
      </c>
      <c r="AO252" s="179">
        <v>0</v>
      </c>
      <c r="AP252" s="179">
        <f>629238.53+2179629.1+176952.41+189683.83</f>
        <v>3175503.87</v>
      </c>
      <c r="AQ252" s="179">
        <f>1116747.04+143599.09</f>
        <v>1260346.1300000001</v>
      </c>
      <c r="AR252" s="43">
        <v>0</v>
      </c>
      <c r="AS252" s="43">
        <f>1124616.45+196711.96</f>
        <v>1321328.4099999999</v>
      </c>
      <c r="AT252" s="43">
        <f>962332.31+179235.53</f>
        <v>1141567.8400000001</v>
      </c>
      <c r="AU252" s="43"/>
      <c r="AV252" s="43">
        <f>1174349.9+144569.09</f>
        <v>1318918.99</v>
      </c>
      <c r="AW252" s="43">
        <f>1015724.82+206951.4-12688.63</f>
        <v>1209987.5900000001</v>
      </c>
      <c r="AX252" s="43"/>
      <c r="AY252" s="43">
        <f>1078589.23+174706.55</f>
        <v>1253295.78</v>
      </c>
      <c r="AZ252" s="43"/>
      <c r="BA252" s="43">
        <f>1106281.09+1144502.2+164077.67+176206.63</f>
        <v>2591067.59</v>
      </c>
      <c r="BB252" s="43">
        <f t="shared" si="47"/>
        <v>12201293.51</v>
      </c>
      <c r="BC252" s="6"/>
      <c r="BD252" s="6"/>
      <c r="BE252" s="6"/>
      <c r="BF252" s="43">
        <f t="shared" ref="BF252:BF262" si="51">SUM(AM252:BA252)</f>
        <v>16045656.879999999</v>
      </c>
      <c r="BG252" s="6"/>
      <c r="BH252" s="6"/>
    </row>
    <row r="253" spans="2:79" x14ac:dyDescent="0.25">
      <c r="B253" s="40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169" t="s">
        <v>3502</v>
      </c>
      <c r="AM253" s="179">
        <f>954914.28+97699.13</f>
        <v>1052613.4100000001</v>
      </c>
      <c r="AN253" s="179">
        <f>1168324.86+174654.3</f>
        <v>1342979.1600000001</v>
      </c>
      <c r="AO253" s="179">
        <f>1096789.24+120500.98</f>
        <v>1217290.22</v>
      </c>
      <c r="AP253" s="179">
        <f>1275193.99+147608.55</f>
        <v>1422802.54</v>
      </c>
      <c r="AQ253" s="179">
        <f>1162947.16+142308.25</f>
        <v>1305255.4099999999</v>
      </c>
      <c r="AR253" s="43">
        <f>1218746.74+157577.56</f>
        <v>1376324.3</v>
      </c>
      <c r="AS253" s="43">
        <f>1101628.38+150175.81</f>
        <v>1251804.19</v>
      </c>
      <c r="AT253" s="43">
        <f>985362.39+118286.65</f>
        <v>1103649.04</v>
      </c>
      <c r="AU253" s="43"/>
      <c r="AV253" s="43">
        <f>1046705.84+175535.76</f>
        <v>1222241.6000000001</v>
      </c>
      <c r="AW253" s="43">
        <f>986425.14+136238.02</f>
        <v>1122663.1599999999</v>
      </c>
      <c r="AX253" s="43"/>
      <c r="AY253" s="43">
        <f>1063486.15+115580.88</f>
        <v>1179067.0299999998</v>
      </c>
      <c r="AZ253" s="43"/>
      <c r="BA253" s="43">
        <f>935662.59+138710.42</f>
        <v>1074373.01</v>
      </c>
      <c r="BB253" s="43">
        <f t="shared" si="47"/>
        <v>12417623.029999999</v>
      </c>
      <c r="BC253" s="6"/>
      <c r="BD253" s="6"/>
      <c r="BE253" s="6"/>
      <c r="BF253" s="43">
        <f t="shared" si="51"/>
        <v>14671063.069999998</v>
      </c>
      <c r="BG253" s="6"/>
      <c r="BH253" s="6"/>
    </row>
    <row r="254" spans="2:79" x14ac:dyDescent="0.25">
      <c r="B254" s="40"/>
      <c r="C254" s="183"/>
      <c r="D254" s="184"/>
      <c r="W254" s="43"/>
      <c r="X254" s="43"/>
      <c r="Y254" s="43"/>
      <c r="Z254" s="43" t="s">
        <v>3503</v>
      </c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169" t="s">
        <v>3504</v>
      </c>
      <c r="AM254" s="179">
        <f>879941.7+125141.35</f>
        <v>1005083.0499999999</v>
      </c>
      <c r="AN254" s="185">
        <f>949093+125636.62</f>
        <v>1074729.6200000001</v>
      </c>
      <c r="AO254" s="179">
        <f>1029207.92+127581.77</f>
        <v>1156789.69</v>
      </c>
      <c r="AP254" s="179">
        <f>1122324.68+141564.69</f>
        <v>1263889.3699999999</v>
      </c>
      <c r="AQ254" s="179">
        <f>1041674.92+123481.21</f>
        <v>1165156.1300000001</v>
      </c>
      <c r="AR254" s="43">
        <f>1004329.76+117026.29</f>
        <v>1121356.05</v>
      </c>
      <c r="AS254" s="43">
        <f>792438.55+134575.72</f>
        <v>927014.27</v>
      </c>
      <c r="AT254" s="43">
        <f>949345.27+113457.47</f>
        <v>1062802.74</v>
      </c>
      <c r="AU254" s="43"/>
      <c r="AV254" s="43">
        <f>909671.51+104176.15</f>
        <v>1013847.66</v>
      </c>
      <c r="AW254" s="43">
        <f>911742.52+105601.7</f>
        <v>1017344.22</v>
      </c>
      <c r="AX254" s="43"/>
      <c r="AY254" s="43">
        <f>942386.74+117772.74</f>
        <v>1060159.48</v>
      </c>
      <c r="AZ254" s="43"/>
      <c r="BA254" s="43">
        <f>991924.72+123685</f>
        <v>1115609.72</v>
      </c>
      <c r="BB254" s="43">
        <f t="shared" si="47"/>
        <v>10808012.800000001</v>
      </c>
      <c r="BC254" s="6"/>
      <c r="BD254" s="6"/>
      <c r="BE254" s="6"/>
      <c r="BF254" s="43">
        <f t="shared" si="51"/>
        <v>12983782.000000002</v>
      </c>
      <c r="BG254" s="6"/>
      <c r="BH254" s="6"/>
      <c r="BX254" s="4" t="s">
        <v>3505</v>
      </c>
    </row>
    <row r="255" spans="2:79" x14ac:dyDescent="0.25">
      <c r="B255" s="40"/>
      <c r="C255" s="183"/>
      <c r="D255" s="184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169" t="s">
        <v>3506</v>
      </c>
      <c r="AM255" s="179">
        <f>925033+30434</f>
        <v>955467</v>
      </c>
      <c r="AN255" s="179">
        <f>1080526+0</f>
        <v>1080526</v>
      </c>
      <c r="AO255" s="179">
        <f>981964+84360</f>
        <v>1066324</v>
      </c>
      <c r="AP255" s="179">
        <f>1099060+46248</f>
        <v>1145308</v>
      </c>
      <c r="AQ255" s="179">
        <f>1015832+44191</f>
        <v>1060023</v>
      </c>
      <c r="AR255" s="43">
        <f>1104428.86+113221.05</f>
        <v>1217649.9100000001</v>
      </c>
      <c r="AS255" s="43">
        <f>834583.01+87687.75</f>
        <v>922270.76</v>
      </c>
      <c r="AT255" s="43">
        <f>899907.11+116347.65</f>
        <v>1016254.76</v>
      </c>
      <c r="AU255" s="43"/>
      <c r="AV255" s="43">
        <f>898480.93+101780.49</f>
        <v>1000261.42</v>
      </c>
      <c r="AW255" s="43">
        <f>882135.95+111830.95</f>
        <v>993966.89999999991</v>
      </c>
      <c r="AX255" s="43"/>
      <c r="AY255" s="43">
        <f>942369.99+118382.34</f>
        <v>1060752.33</v>
      </c>
      <c r="AZ255" s="43"/>
      <c r="BA255" s="43">
        <f>888740.77+99625</f>
        <v>988365.77</v>
      </c>
      <c r="BB255" s="43">
        <f t="shared" si="47"/>
        <v>10458051.75</v>
      </c>
      <c r="BC255" s="186"/>
      <c r="BD255" s="6"/>
      <c r="BE255" s="6"/>
      <c r="BF255" s="43">
        <f t="shared" si="51"/>
        <v>12507169.85</v>
      </c>
      <c r="BG255" s="6"/>
      <c r="BH255" s="6"/>
    </row>
    <row r="256" spans="2:79" x14ac:dyDescent="0.25">
      <c r="B256" s="40"/>
      <c r="C256" s="184"/>
      <c r="D256" s="184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169" t="s">
        <v>3507</v>
      </c>
      <c r="AM256" s="179">
        <v>971981.92109336669</v>
      </c>
      <c r="AN256" s="179">
        <v>999878.13</v>
      </c>
      <c r="AO256" s="179">
        <v>1173185.987667955</v>
      </c>
      <c r="AP256" s="179">
        <v>1073572.098360881</v>
      </c>
      <c r="AQ256" s="179">
        <v>1254362.29</v>
      </c>
      <c r="AR256" s="179">
        <v>1155508.7827822298</v>
      </c>
      <c r="AS256" s="179">
        <v>1159504.52</v>
      </c>
      <c r="AT256" s="179">
        <v>960933.3599999994</v>
      </c>
      <c r="AU256" s="179"/>
      <c r="AV256" s="179">
        <v>1058316.3799999999</v>
      </c>
      <c r="AW256" s="179">
        <v>1037084.3628086908</v>
      </c>
      <c r="AX256" s="179"/>
      <c r="AY256" s="179">
        <v>1035220.8</v>
      </c>
      <c r="AZ256" s="179"/>
      <c r="BA256" s="179">
        <v>1092265.3317513466</v>
      </c>
      <c r="BB256" s="43">
        <f t="shared" si="47"/>
        <v>10844327.832713122</v>
      </c>
      <c r="BC256" s="186"/>
      <c r="BD256" s="6"/>
      <c r="BE256" s="6"/>
      <c r="BF256" s="43">
        <f t="shared" si="51"/>
        <v>12971813.964464469</v>
      </c>
      <c r="BG256" s="6"/>
      <c r="BH256" s="6"/>
    </row>
    <row r="257" spans="2:60" x14ac:dyDescent="0.25">
      <c r="B257" s="40"/>
      <c r="C257" s="184"/>
      <c r="D257" s="184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169" t="s">
        <v>3508</v>
      </c>
      <c r="AM257" s="179">
        <f>882791+28444</f>
        <v>911235</v>
      </c>
      <c r="AN257" s="179">
        <f>929269+30400</f>
        <v>959669</v>
      </c>
      <c r="AO257" s="179">
        <f>935365+28497</f>
        <v>963862</v>
      </c>
      <c r="AP257" s="179">
        <f>1004851.71+29904.79</f>
        <v>1034756.5</v>
      </c>
      <c r="AQ257" s="179">
        <f>958585.22+31749.15</f>
        <v>990334.37</v>
      </c>
      <c r="AR257" s="43">
        <f>938943.15+32375.37</f>
        <v>971318.52</v>
      </c>
      <c r="AS257" s="43">
        <f>804861.77+32237.01</f>
        <v>837098.78</v>
      </c>
      <c r="AT257" s="43">
        <f>833361.42+29401.51</f>
        <v>862762.93</v>
      </c>
      <c r="AU257" s="43"/>
      <c r="AV257" s="43">
        <f>864074+30430</f>
        <v>894504</v>
      </c>
      <c r="AW257" s="43">
        <v>0</v>
      </c>
      <c r="AX257" s="43"/>
      <c r="AY257" s="43">
        <f>9803094+329916-8425541</f>
        <v>1707469</v>
      </c>
      <c r="AZ257" s="43"/>
      <c r="BA257" s="43">
        <f>898648+29573</f>
        <v>928221</v>
      </c>
      <c r="BB257" s="43">
        <f t="shared" si="47"/>
        <v>8425541.1000000015</v>
      </c>
      <c r="BC257" s="186"/>
      <c r="BD257" s="6"/>
      <c r="BE257" s="6"/>
      <c r="BF257" s="43">
        <f t="shared" si="51"/>
        <v>11061231.100000001</v>
      </c>
      <c r="BG257" s="6"/>
      <c r="BH257" s="6"/>
    </row>
    <row r="258" spans="2:60" x14ac:dyDescent="0.25">
      <c r="B258" s="40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169" t="s">
        <v>3509</v>
      </c>
      <c r="AM258" s="179">
        <v>689019.22</v>
      </c>
      <c r="AN258" s="179">
        <f>740672.14+7216.05</f>
        <v>747888.19000000006</v>
      </c>
      <c r="AO258" s="179">
        <v>759634.96</v>
      </c>
      <c r="AP258" s="179">
        <v>786404.7</v>
      </c>
      <c r="AQ258" s="179">
        <v>740672.14</v>
      </c>
      <c r="AR258" s="43">
        <v>755500.43</v>
      </c>
      <c r="AS258" s="43">
        <v>744299.67</v>
      </c>
      <c r="AT258" s="43">
        <f>671353.7+106.99+97.99</f>
        <v>671558.67999999993</v>
      </c>
      <c r="AU258" s="43"/>
      <c r="AV258" s="43">
        <v>684971.73</v>
      </c>
      <c r="AW258" s="43">
        <f>97.08+687337.44</f>
        <v>687434.5199999999</v>
      </c>
      <c r="AX258" s="43"/>
      <c r="AY258" s="6"/>
      <c r="AZ258" s="6"/>
      <c r="BA258" s="43">
        <f>8424.76+684303.34</f>
        <v>692728.1</v>
      </c>
      <c r="BB258" s="43">
        <f t="shared" si="47"/>
        <v>7267384.2400000002</v>
      </c>
      <c r="BC258" s="186"/>
      <c r="BD258" s="6"/>
      <c r="BE258" s="6"/>
      <c r="BF258" s="43">
        <f t="shared" si="51"/>
        <v>7960112.3399999999</v>
      </c>
      <c r="BG258" s="6"/>
      <c r="BH258" s="6"/>
    </row>
    <row r="259" spans="2:60" x14ac:dyDescent="0.25">
      <c r="B259" s="40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169" t="s">
        <v>3510</v>
      </c>
      <c r="AM259" s="179">
        <f>801228+24111</f>
        <v>825339</v>
      </c>
      <c r="AN259" s="179">
        <v>916222.9</v>
      </c>
      <c r="AO259" s="179">
        <v>909454.64</v>
      </c>
      <c r="AP259" s="179">
        <v>1015814.7</v>
      </c>
      <c r="AQ259" s="179">
        <v>931678.23</v>
      </c>
      <c r="AR259" s="179">
        <f>894046+28743</f>
        <v>922789</v>
      </c>
      <c r="AS259" s="179">
        <v>803638</v>
      </c>
      <c r="AT259" s="179">
        <f>836938+25983</f>
        <v>862921</v>
      </c>
      <c r="AU259" s="179"/>
      <c r="AV259" s="43">
        <f>806004+26873</f>
        <v>832877</v>
      </c>
      <c r="AW259" s="43">
        <f>819162+27062</f>
        <v>846224</v>
      </c>
      <c r="AX259" s="43"/>
      <c r="AY259" s="43">
        <v>872013</v>
      </c>
      <c r="AZ259" s="43"/>
      <c r="BA259" s="43">
        <f>814028.91+27516.25</f>
        <v>841545.16</v>
      </c>
      <c r="BB259" s="43">
        <f t="shared" si="47"/>
        <v>8866958.4700000007</v>
      </c>
      <c r="BC259" s="186"/>
      <c r="BD259" s="6"/>
      <c r="BE259" s="6"/>
      <c r="BF259" s="43">
        <f t="shared" si="51"/>
        <v>10580516.630000001</v>
      </c>
      <c r="BG259" s="6"/>
      <c r="BH259" s="6"/>
    </row>
    <row r="260" spans="2:60" x14ac:dyDescent="0.25">
      <c r="B260" s="40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169" t="s">
        <v>3511</v>
      </c>
      <c r="AM260" s="179">
        <f>902945.37-2544.79</f>
        <v>900400.58</v>
      </c>
      <c r="AN260" s="179">
        <f>698032.78-157254.68+276.97+9252.91+2203.73+3104.53+2942.11-12362.9-2474.6+1637.69</f>
        <v>545358.54</v>
      </c>
      <c r="AO260" s="179">
        <v>764637.02</v>
      </c>
      <c r="AP260" s="179">
        <f>757045.8+19049.27+5194.87+1689.04</f>
        <v>782978.9800000001</v>
      </c>
      <c r="AQ260" s="179">
        <f>806837.65-11000.79+3657.53+10115.16+1567.07+78.95+77.1+75.61+3166+13959.4+7840.12+1577.95+9079.41</f>
        <v>847031.15999999992</v>
      </c>
      <c r="AR260" s="179">
        <f>742958.84-11009.35-10362.67-11681.43-11391.98-11866.52</f>
        <v>686646.8899999999</v>
      </c>
      <c r="AS260" s="179">
        <f>923141.34-11000.79+7787.5+6229.18+751.74</f>
        <v>926908.97</v>
      </c>
      <c r="AT260" s="179">
        <f>686525.39+114.44+3078.59+157.71+3815.6+16355.77+7840.61+896.6</f>
        <v>718784.70999999985</v>
      </c>
      <c r="AU260" s="179"/>
      <c r="AV260" s="43">
        <f>729186.4+7642.81+724.54+889.41+5696.77+7+5424.92</f>
        <v>749571.85000000021</v>
      </c>
      <c r="AW260" s="43">
        <f>714774.63+963.73+940.95+310.17+339.78+2541.13+101.22</f>
        <v>719971.61</v>
      </c>
      <c r="AX260" s="43"/>
      <c r="AY260" s="43">
        <f>696295.25+98.46+582.13+1266.72+7754.75+650.39-11645.67-548.12+11527.12-590+101.11+107.24</f>
        <v>705599.37999999989</v>
      </c>
      <c r="AZ260" s="43"/>
      <c r="BA260" s="43">
        <f>694481.28-24725.87-9323.06+14285.41+107.41-6603.03+1392.5+1383.51+1395.58+6887.03+518.39+23099.89+16883.35+555.31</f>
        <v>720337.70000000007</v>
      </c>
      <c r="BB260" s="43">
        <f t="shared" si="47"/>
        <v>7642290.3100000005</v>
      </c>
      <c r="BC260" s="6"/>
      <c r="BD260" s="6"/>
      <c r="BE260" s="6"/>
      <c r="BF260" s="43">
        <f t="shared" si="51"/>
        <v>9068227.3900000006</v>
      </c>
      <c r="BG260" s="6"/>
      <c r="BH260" s="6"/>
    </row>
    <row r="261" spans="2:60" x14ac:dyDescent="0.25">
      <c r="B261" s="40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170" t="s">
        <v>3512</v>
      </c>
      <c r="AM261" s="179">
        <f>+AM260+171488.51</f>
        <v>1071889.0899999999</v>
      </c>
      <c r="AN261" s="179">
        <f>+AN260+152674.24</f>
        <v>698032.78</v>
      </c>
      <c r="AO261" s="179">
        <f>+AO260+147470.47</f>
        <v>912107.49</v>
      </c>
      <c r="AP261" s="179">
        <f>+AP260+156260.93</f>
        <v>939239.91000000015</v>
      </c>
      <c r="AQ261" s="179">
        <f>+AQ260+200892.52</f>
        <v>1047923.6799999999</v>
      </c>
      <c r="AR261" s="179">
        <f>+AR260+184461.49</f>
        <v>871108.37999999989</v>
      </c>
      <c r="AS261" s="179">
        <f>+AS260+204076.88</f>
        <v>1130985.8500000001</v>
      </c>
      <c r="AT261" s="179">
        <f>+AT260+162998.58</f>
        <v>881783.2899999998</v>
      </c>
      <c r="AU261" s="179"/>
      <c r="AV261" s="179">
        <f>+AV260+174568.85</f>
        <v>924140.70000000019</v>
      </c>
      <c r="AW261" s="179">
        <f>+AW260+185353.17</f>
        <v>905324.78</v>
      </c>
      <c r="AX261" s="179"/>
      <c r="AY261" s="179">
        <f>+AY260+149862.27</f>
        <v>855461.64999999991</v>
      </c>
      <c r="AZ261" s="179"/>
      <c r="BA261" s="179">
        <f>+BA260+250838.13</f>
        <v>971175.83000000007</v>
      </c>
      <c r="BB261" s="43">
        <f t="shared" si="47"/>
        <v>9382535.9499999993</v>
      </c>
      <c r="BC261" s="6"/>
      <c r="BD261" s="6"/>
      <c r="BE261" s="6"/>
      <c r="BF261" s="43">
        <f t="shared" si="51"/>
        <v>11209173.43</v>
      </c>
      <c r="BG261" s="43"/>
      <c r="BH261" s="6"/>
    </row>
    <row r="262" spans="2:60" x14ac:dyDescent="0.25">
      <c r="B262" s="40"/>
      <c r="E262" s="187"/>
      <c r="F262" s="187"/>
      <c r="W262" s="178"/>
      <c r="X262" s="178"/>
      <c r="Y262" s="178"/>
      <c r="Z262" s="178"/>
      <c r="AA262" s="178"/>
      <c r="AB262" s="178"/>
      <c r="AC262" s="178"/>
      <c r="AD262" s="178"/>
      <c r="AE262" s="178"/>
      <c r="AF262" s="178"/>
      <c r="AG262" s="178"/>
      <c r="AH262" s="178"/>
      <c r="AI262" s="178"/>
      <c r="AJ262" s="178"/>
      <c r="AK262" s="178"/>
      <c r="AL262" s="169" t="s">
        <v>3513</v>
      </c>
      <c r="AM262" s="188">
        <f>814208+41345</f>
        <v>855553</v>
      </c>
      <c r="AN262" s="179">
        <f>862943+23206</f>
        <v>886149</v>
      </c>
      <c r="AO262" s="188">
        <f>876462+28497</f>
        <v>904959</v>
      </c>
      <c r="AP262" s="188">
        <f>943303+26257</f>
        <v>969560</v>
      </c>
      <c r="AQ262" s="188">
        <f>941053.16+26419.79</f>
        <v>967472.95000000007</v>
      </c>
      <c r="AR262" s="43">
        <v>0</v>
      </c>
      <c r="AS262" s="43">
        <f>1590474+53291</f>
        <v>1643765</v>
      </c>
      <c r="AT262" s="43">
        <f>777057+24371</f>
        <v>801428</v>
      </c>
      <c r="AU262" s="43"/>
      <c r="AV262" s="43">
        <f>782287+24508</f>
        <v>806795</v>
      </c>
      <c r="AW262" s="43">
        <f>815193+24467</f>
        <v>839660</v>
      </c>
      <c r="AX262" s="43"/>
      <c r="AY262" s="43">
        <f>863580+24921</f>
        <v>888501</v>
      </c>
      <c r="AZ262" s="43"/>
      <c r="BA262" s="43">
        <f>878169+35527</f>
        <v>913696</v>
      </c>
      <c r="BB262" s="43">
        <f t="shared" si="47"/>
        <v>8675341.9499999993</v>
      </c>
      <c r="BC262" s="6"/>
      <c r="BD262" s="43"/>
      <c r="BE262" s="43"/>
      <c r="BF262" s="43">
        <f t="shared" si="51"/>
        <v>10477538.949999999</v>
      </c>
      <c r="BG262" s="43"/>
      <c r="BH262" s="43"/>
    </row>
    <row r="263" spans="2:60" x14ac:dyDescent="0.25">
      <c r="B263" s="40"/>
      <c r="W263" s="1"/>
      <c r="AA263" s="233"/>
      <c r="AL263" s="190" t="s">
        <v>3514</v>
      </c>
      <c r="AM263" s="179">
        <f>AM224-AM252</f>
        <v>452396.38000000035</v>
      </c>
      <c r="AN263" s="179">
        <f t="shared" ref="AN263:BA263" si="52">AN224-AN252</f>
        <v>409309.34999999986</v>
      </c>
      <c r="AO263" s="179">
        <f t="shared" si="52"/>
        <v>1936317.3699999999</v>
      </c>
      <c r="AP263" s="179">
        <f t="shared" si="52"/>
        <v>-1138867.7399999995</v>
      </c>
      <c r="AQ263" s="179">
        <f t="shared" si="52"/>
        <v>972834.89999999921</v>
      </c>
      <c r="AR263" s="179">
        <f t="shared" si="52"/>
        <v>1997535.1661351516</v>
      </c>
      <c r="AS263" s="179">
        <f>AS224-AS252</f>
        <v>575632.86999999941</v>
      </c>
      <c r="AT263" s="179">
        <f t="shared" si="52"/>
        <v>438983.68601083336</v>
      </c>
      <c r="AU263" s="179"/>
      <c r="AV263" s="179">
        <f t="shared" si="52"/>
        <v>262451.88000000012</v>
      </c>
      <c r="AW263" s="179" t="e">
        <f t="shared" si="52"/>
        <v>#REF!</v>
      </c>
      <c r="AX263" s="179"/>
      <c r="AY263" s="179" t="e">
        <f t="shared" si="52"/>
        <v>#REF!</v>
      </c>
      <c r="AZ263" s="179"/>
      <c r="BA263" s="179">
        <f t="shared" si="52"/>
        <v>-1033051.4199999995</v>
      </c>
      <c r="BB263" s="43" t="e">
        <f t="shared" si="47"/>
        <v>#REF!</v>
      </c>
      <c r="BC263" s="43"/>
      <c r="BD263" s="180"/>
      <c r="BE263" s="180"/>
      <c r="BF263" s="43">
        <f>SUM(AM263:AN263)</f>
        <v>861705.73000000021</v>
      </c>
      <c r="BG263" s="121"/>
      <c r="BH263" s="123"/>
    </row>
    <row r="264" spans="2:60" x14ac:dyDescent="0.25">
      <c r="B264" s="40"/>
      <c r="W264" s="1"/>
      <c r="AA264" s="233"/>
      <c r="AM264" s="191">
        <f t="shared" ref="AM264:BA264" si="53">IF(AM224=0,0,((AM263/AM224)))</f>
        <v>0.26066774576140728</v>
      </c>
      <c r="AN264" s="191">
        <f t="shared" si="53"/>
        <v>0.21544665542920188</v>
      </c>
      <c r="AO264" s="191">
        <f t="shared" si="53"/>
        <v>1</v>
      </c>
      <c r="AP264" s="191">
        <f t="shared" si="53"/>
        <v>-0.55919058059723181</v>
      </c>
      <c r="AQ264" s="191">
        <f t="shared" si="53"/>
        <v>0.43562742425767403</v>
      </c>
      <c r="AR264" s="191">
        <f t="shared" si="53"/>
        <v>1</v>
      </c>
      <c r="AS264" s="191">
        <f t="shared" si="53"/>
        <v>0.30344998396593503</v>
      </c>
      <c r="AT264" s="191">
        <f t="shared" si="53"/>
        <v>0.27774082577287929</v>
      </c>
      <c r="AU264" s="191"/>
      <c r="AV264" s="191">
        <f t="shared" si="53"/>
        <v>0.16596478724816785</v>
      </c>
      <c r="AW264" s="191" t="e">
        <f t="shared" si="53"/>
        <v>#REF!</v>
      </c>
      <c r="AX264" s="191"/>
      <c r="AY264" s="191" t="e">
        <f t="shared" si="53"/>
        <v>#REF!</v>
      </c>
      <c r="AZ264" s="191"/>
      <c r="BA264" s="191">
        <f t="shared" si="53"/>
        <v>-0.66305564723375054</v>
      </c>
      <c r="BB264" s="191" t="e">
        <f>IF(BB224=0,0,((BB263/BB224)))</f>
        <v>#REF!</v>
      </c>
      <c r="BC264" s="180"/>
      <c r="BD264" s="180"/>
      <c r="BE264" s="180"/>
      <c r="BF264" s="180"/>
      <c r="BG264" s="121"/>
      <c r="BH264" s="123"/>
    </row>
    <row r="265" spans="2:60" x14ac:dyDescent="0.25">
      <c r="B265" s="40"/>
      <c r="W265" s="1"/>
      <c r="AA265" s="233"/>
      <c r="AM265" s="192">
        <v>0.10356058750803639</v>
      </c>
      <c r="AN265" s="192">
        <v>0.11406388406800208</v>
      </c>
      <c r="AO265" s="192">
        <v>0</v>
      </c>
      <c r="AP265" s="192">
        <v>0</v>
      </c>
      <c r="AQ265" s="192">
        <v>0.13445228589848779</v>
      </c>
      <c r="AR265" s="192">
        <v>9.7631073147174077E-2</v>
      </c>
      <c r="AS265" s="192">
        <v>0.1050972245927012</v>
      </c>
      <c r="AT265" s="192">
        <v>9.8586061475446504E-2</v>
      </c>
      <c r="AU265" s="192"/>
      <c r="AV265" s="192">
        <v>0.11894115008779606</v>
      </c>
      <c r="AW265" s="192">
        <v>9.7360418995567855E-2</v>
      </c>
      <c r="AX265" s="192"/>
      <c r="AY265" s="192">
        <v>0.11412037999562545</v>
      </c>
      <c r="AZ265" s="192"/>
      <c r="BA265" s="192">
        <v>0.10296984770572741</v>
      </c>
      <c r="BB265" s="192">
        <v>9.0110002640195211E-2</v>
      </c>
      <c r="BC265" s="180"/>
      <c r="BD265" s="180"/>
      <c r="BE265" s="180"/>
      <c r="BF265" s="180"/>
      <c r="BG265" s="121"/>
      <c r="BH265" s="123"/>
    </row>
    <row r="266" spans="2:60" x14ac:dyDescent="0.25">
      <c r="B266" s="40"/>
      <c r="W266" s="1"/>
      <c r="AA266" s="189" t="str">
        <f>AA5</f>
        <v>FY 05</v>
      </c>
      <c r="AB266" s="189" t="str">
        <f t="shared" ref="AB266:AH266" si="54">AB5</f>
        <v>FY 06</v>
      </c>
      <c r="AC266" s="189" t="str">
        <f t="shared" si="54"/>
        <v>FY 07</v>
      </c>
      <c r="AD266" s="189" t="str">
        <f t="shared" si="54"/>
        <v>FY 08</v>
      </c>
      <c r="AE266" s="189" t="str">
        <f t="shared" si="54"/>
        <v>FY 0809</v>
      </c>
      <c r="AF266" s="189" t="str">
        <f t="shared" si="54"/>
        <v>FY 0910</v>
      </c>
      <c r="AG266" s="189" t="str">
        <f t="shared" si="54"/>
        <v>FY 1011</v>
      </c>
      <c r="AH266" s="189" t="str">
        <f t="shared" si="54"/>
        <v>FY 1112</v>
      </c>
      <c r="AI266" s="189" t="str">
        <f>AI5</f>
        <v>FY 1213</v>
      </c>
      <c r="AJ266" s="189" t="s">
        <v>3515</v>
      </c>
      <c r="AK266" s="233"/>
      <c r="AM266" s="193">
        <v>9.4047424692046203E-2</v>
      </c>
      <c r="AN266" s="193">
        <v>8.9547184400841986E-2</v>
      </c>
      <c r="AO266" s="193">
        <v>0.10364434437790343</v>
      </c>
      <c r="AP266" s="193">
        <v>9.5223337913167561E-2</v>
      </c>
      <c r="AQ266" s="193">
        <v>9.9388154182727728E-2</v>
      </c>
      <c r="AR266" s="193">
        <v>9.9437755646436435E-2</v>
      </c>
      <c r="AS266" s="193">
        <v>9.4224987264033153E-2</v>
      </c>
      <c r="AT266" s="193">
        <v>9.4266526136691758E-2</v>
      </c>
      <c r="AU266" s="193"/>
      <c r="AV266" s="193">
        <v>9.9090046674500359E-2</v>
      </c>
      <c r="AW266" s="193">
        <v>9.6499193809581621E-2</v>
      </c>
      <c r="AX266" s="193"/>
      <c r="AY266" s="193">
        <v>0.10268226231299449</v>
      </c>
      <c r="AZ266" s="193"/>
      <c r="BA266" s="193">
        <v>0.10396130873304106</v>
      </c>
      <c r="BB266" s="193">
        <v>9.7099141472948611E-2</v>
      </c>
      <c r="BC266" s="180"/>
      <c r="BD266" s="180"/>
      <c r="BE266" s="180"/>
      <c r="BF266" s="180"/>
      <c r="BG266" s="121"/>
      <c r="BH266" s="123"/>
    </row>
    <row r="267" spans="2:60" x14ac:dyDescent="0.25">
      <c r="B267" s="40"/>
      <c r="W267" s="1"/>
      <c r="X267" s="43"/>
      <c r="Y267" s="43"/>
      <c r="Z267" s="43"/>
      <c r="AA267" s="194" t="s">
        <v>3497</v>
      </c>
      <c r="AB267" s="194" t="s">
        <v>3497</v>
      </c>
      <c r="AC267" s="194" t="s">
        <v>3497</v>
      </c>
      <c r="AD267" s="194" t="s">
        <v>3497</v>
      </c>
      <c r="AE267" s="194" t="s">
        <v>3497</v>
      </c>
      <c r="AF267" s="194" t="s">
        <v>3497</v>
      </c>
      <c r="AG267" s="194" t="s">
        <v>3497</v>
      </c>
      <c r="AH267" s="194" t="s">
        <v>3497</v>
      </c>
      <c r="AI267" s="194" t="s">
        <v>3497</v>
      </c>
      <c r="AJ267" s="194" t="s">
        <v>3497</v>
      </c>
      <c r="AK267" s="261"/>
      <c r="AM267" s="193">
        <f>AM257/10744144</f>
        <v>8.481224749035382E-2</v>
      </c>
      <c r="AN267" s="193">
        <f>AN257/11167990</f>
        <v>8.5930324078012252E-2</v>
      </c>
      <c r="AO267" s="193">
        <f>AO257/11530423</f>
        <v>8.3592943641356429E-2</v>
      </c>
      <c r="AP267" s="193">
        <f>AP257/11593892</f>
        <v>8.9250141367540767E-2</v>
      </c>
      <c r="AQ267" s="193">
        <f>AQ257/11593892</f>
        <v>8.5418629913061123E-2</v>
      </c>
      <c r="AR267" s="193">
        <f>AR257/12063682</f>
        <v>8.0515925403206082E-2</v>
      </c>
      <c r="AS267" s="193">
        <f>AS257/11903245</f>
        <v>7.0325258364420801E-2</v>
      </c>
      <c r="AT267" s="193">
        <f>AT257/10061409</f>
        <v>8.5749712589956339E-2</v>
      </c>
      <c r="AU267" s="193"/>
      <c r="AV267" s="193">
        <f>AV257/10621101</f>
        <v>8.4219517355121662E-2</v>
      </c>
      <c r="AW267" s="193">
        <f>AW257/10716251</f>
        <v>0</v>
      </c>
      <c r="AX267" s="193"/>
      <c r="AY267" s="193">
        <f>AY257/9983236</f>
        <v>0.17103362076184517</v>
      </c>
      <c r="AZ267" s="193"/>
      <c r="BA267" s="193">
        <f>BA257/10466891</f>
        <v>8.8681634307646848E-2</v>
      </c>
      <c r="BB267" s="193">
        <f>BB257/10744144</f>
        <v>0.78419845266407462</v>
      </c>
      <c r="BC267" s="180"/>
      <c r="BD267" s="6"/>
      <c r="BE267" s="6"/>
      <c r="BF267" s="6"/>
      <c r="BG267" s="43"/>
      <c r="BH267" s="6"/>
    </row>
    <row r="268" spans="2:60" x14ac:dyDescent="0.25">
      <c r="B268" s="40"/>
      <c r="E268" s="1" t="s">
        <v>3516</v>
      </c>
      <c r="W268" s="1"/>
      <c r="X268" s="43"/>
      <c r="Y268" s="43"/>
      <c r="Z268" s="43"/>
      <c r="AA268" s="195">
        <f>SUMIF(A8:A223,"U",AA8:AA223)</f>
        <v>8726461.9599999972</v>
      </c>
      <c r="AB268" s="234">
        <f>SUMIF(A8:A223,"U",AB8:AB223)</f>
        <v>9132890.9399999976</v>
      </c>
      <c r="AC268" s="234">
        <f>SUMIF(A8:A223,"U",AC8:AC223)</f>
        <v>9587459.3322279993</v>
      </c>
      <c r="AD268" s="234">
        <f>SUMIF(A8:A223,"U",AD8:AD223)</f>
        <v>9116153.8966030031</v>
      </c>
      <c r="AE268" s="234">
        <f>SUMIF(A8:A223,"U",AE8:AE223)</f>
        <v>10523161.28125</v>
      </c>
      <c r="AF268" s="234">
        <f>SUMIF(A8:A223,"U",AF8:AF223)</f>
        <v>11090022.479419</v>
      </c>
      <c r="AG268" s="234">
        <f>SUMIF(A8:A223,"U",AG8:AG223)</f>
        <v>11763956.382921994</v>
      </c>
      <c r="AH268" s="234">
        <f>SUMIF(A8:A223,"U",AH8:AH223)</f>
        <v>12000085.769999992</v>
      </c>
      <c r="AI268" s="234">
        <f>SUMIF(A8:A223,"U",AI8:AI223)</f>
        <v>12498999.319999997</v>
      </c>
      <c r="AJ268" s="234">
        <f>SUMIF(A8:A223,"U",AJ8:BB223)</f>
        <v>13777490.489999993</v>
      </c>
      <c r="AK268" s="43"/>
      <c r="AL268" s="43"/>
      <c r="AM268" s="196">
        <v>9.2057366562870765E-2</v>
      </c>
      <c r="AN268" s="196">
        <v>8.2318757738280027E-2</v>
      </c>
      <c r="AO268" s="196">
        <v>9.1426649097697252E-2</v>
      </c>
      <c r="AP268" s="196">
        <v>9.0344635782570959E-2</v>
      </c>
      <c r="AQ268" s="196">
        <v>8.4405225463734787E-2</v>
      </c>
      <c r="AR268" s="196">
        <v>8.7384400593726666E-2</v>
      </c>
      <c r="AS268" s="196">
        <v>8.2500389936789292E-2</v>
      </c>
      <c r="AT268" s="196">
        <v>8.4465948838369609E-2</v>
      </c>
      <c r="AU268" s="196"/>
      <c r="AV268" s="196">
        <v>8.8407232607138883E-2</v>
      </c>
      <c r="AW268" s="196">
        <v>8.5970986103074937E-2</v>
      </c>
      <c r="AX268" s="196"/>
      <c r="AY268" s="196">
        <v>8.9062736860732863E-2</v>
      </c>
      <c r="AZ268" s="196"/>
      <c r="BA268" s="196">
        <v>8.5655249876904038E-2</v>
      </c>
      <c r="BB268" s="196">
        <v>9.2057366562870765E-2</v>
      </c>
      <c r="BC268" s="6"/>
      <c r="BD268" s="6"/>
      <c r="BE268" s="6"/>
      <c r="BF268" s="6"/>
      <c r="BG268" s="43"/>
      <c r="BH268" s="6"/>
    </row>
    <row r="269" spans="2:60" x14ac:dyDescent="0.25">
      <c r="B269" s="40"/>
      <c r="E269" s="1" t="s">
        <v>3517</v>
      </c>
      <c r="W269" s="1"/>
      <c r="X269" s="43"/>
      <c r="Y269" s="43"/>
      <c r="Z269" s="43"/>
      <c r="AA269" s="195">
        <f>SUMIF(A8:A223,"A",AA8:AA223)</f>
        <v>1249232.33</v>
      </c>
      <c r="AB269" s="231">
        <f>SUMIF(A8:A223,"A",AB8:AB223)</f>
        <v>1193770.8</v>
      </c>
      <c r="AC269" s="231">
        <f>SUMIF(A8:A223,"A",AC8:AC223)</f>
        <v>1339062.172058501</v>
      </c>
      <c r="AD269" s="231">
        <f>SUMIF(A8:A223,"A",AD8:AD223)</f>
        <v>1532505.3124306803</v>
      </c>
      <c r="AE269" s="231">
        <f>SUMIF(A8:A223,"A",AE8:AE223)</f>
        <v>1731959.9762316931</v>
      </c>
      <c r="AF269" s="231">
        <f>SUMIF(A8:A223,"A",AF8:AF223)</f>
        <v>1776563.450171347</v>
      </c>
      <c r="AG269" s="231">
        <f>SUMIF(A8:A223,"A",AG8:AG223)</f>
        <v>1815881.9516797403</v>
      </c>
      <c r="AH269" s="231">
        <f>SUMIF(A8:A223,"A",AH8:AH223)</f>
        <v>1779704.3371560001</v>
      </c>
      <c r="AI269" s="231">
        <f>SUMIF(A8:A223,"A",AI8:AI223)</f>
        <v>1761807.1599999997</v>
      </c>
      <c r="AJ269" s="231">
        <f>SUMIF(A8:A223,"A",AJ8:AJ223)</f>
        <v>1886695.5599999998</v>
      </c>
      <c r="AK269" s="43"/>
      <c r="AL269" s="43"/>
      <c r="AM269" s="196">
        <v>9.042273227437625E-2</v>
      </c>
      <c r="AN269" s="196">
        <v>9.6648053312849549E-2</v>
      </c>
      <c r="AO269" s="196">
        <v>8.4471931789935492E-2</v>
      </c>
      <c r="AP269" s="196">
        <v>9.2498824039643546E-2</v>
      </c>
      <c r="AQ269" s="196">
        <v>9.1240542891482798E-2</v>
      </c>
      <c r="AR269" s="196">
        <v>8.5690918683180142E-2</v>
      </c>
      <c r="AS269" s="196">
        <v>8.1746119284123869E-2</v>
      </c>
      <c r="AT269" s="196">
        <v>8.9221603808676359E-2</v>
      </c>
      <c r="AU269" s="196"/>
      <c r="AV269" s="196">
        <v>9.1080799463002612E-2</v>
      </c>
      <c r="AW269" s="196">
        <v>8.8613109052408656E-2</v>
      </c>
      <c r="AX269" s="196"/>
      <c r="AY269" s="196">
        <v>9.1274938446154696E-2</v>
      </c>
      <c r="AZ269" s="196"/>
      <c r="BA269" s="196">
        <v>9.1189211794204666E-2</v>
      </c>
      <c r="BB269" s="196">
        <v>9.042273227437625E-2</v>
      </c>
      <c r="BC269" s="6"/>
      <c r="BD269" s="6"/>
      <c r="BE269" s="6"/>
      <c r="BF269" s="6"/>
      <c r="BG269" s="43"/>
      <c r="BH269" s="6"/>
    </row>
    <row r="270" spans="2:60" x14ac:dyDescent="0.25">
      <c r="B270" s="40"/>
      <c r="E270" s="1" t="s">
        <v>3518</v>
      </c>
      <c r="W270" s="1"/>
      <c r="X270" s="43"/>
      <c r="Y270" s="43"/>
      <c r="Z270" s="43"/>
      <c r="AA270" s="197">
        <f>SUMIF(A8:A223,"O",AA8:AA223)</f>
        <v>663155.24999999988</v>
      </c>
      <c r="AB270" s="235">
        <f>SUMIF(A8:A223,"O",AB8:AB223)</f>
        <v>674611.48</v>
      </c>
      <c r="AC270" s="235">
        <f>SUMIF(A8:A223,"O",AC8:AC223)</f>
        <v>1588976.7564428754</v>
      </c>
      <c r="AD270" s="235">
        <f>SUMIF(A8:A223,"O",AD8:AD223)</f>
        <v>2286235.2695916155</v>
      </c>
      <c r="AE270" s="235">
        <f>SUMIF(A8:A223,"O",AE8:AE223)</f>
        <v>2778825.7950333077</v>
      </c>
      <c r="AF270" s="235">
        <f>SUMIF(A8:A223,"O",AF8:AF223)</f>
        <v>3198155.0289216465</v>
      </c>
      <c r="AG270" s="235">
        <f>SUMIF(A8:A223,"O",AG8:AG223)</f>
        <v>3488314.7517300667</v>
      </c>
      <c r="AH270" s="235">
        <f>SUMIF(A8:A223,"O",AH8:AH223)</f>
        <v>3614010.1728440002</v>
      </c>
      <c r="AI270" s="235">
        <f>SUMIF(A8:A223,"O",AI8:AI223)</f>
        <v>4022051.5</v>
      </c>
      <c r="AJ270" s="235">
        <f>SUMIF(A8:A223,"O",AJ8:AJ223)</f>
        <v>4299441.9700000007</v>
      </c>
      <c r="AK270" s="171"/>
      <c r="AL270" s="43"/>
      <c r="AM270" s="198"/>
      <c r="AN270" s="198"/>
      <c r="AO270" s="188"/>
      <c r="AP270" s="188"/>
      <c r="AQ270" s="188"/>
      <c r="AR270" s="43"/>
      <c r="AS270" s="43"/>
      <c r="AT270" s="43"/>
      <c r="AU270" s="43"/>
      <c r="AV270" s="6"/>
      <c r="AW270" s="6"/>
      <c r="AX270" s="6"/>
      <c r="AY270" s="6"/>
      <c r="AZ270" s="6"/>
      <c r="BA270" s="6"/>
      <c r="BB270" s="199"/>
      <c r="BC270" s="6"/>
      <c r="BD270" s="6"/>
      <c r="BE270" s="6"/>
      <c r="BF270" s="6"/>
      <c r="BG270" s="43"/>
      <c r="BH270" s="6"/>
    </row>
    <row r="271" spans="2:60" x14ac:dyDescent="0.25">
      <c r="B271" s="40"/>
      <c r="W271" s="1"/>
      <c r="X271" s="43"/>
      <c r="Y271" s="43"/>
      <c r="Z271" s="43"/>
      <c r="AA271" s="200">
        <f>SUM(AA268:AA270)</f>
        <v>10638849.539999997</v>
      </c>
      <c r="AB271" s="236">
        <f>SUM(AB268:AB270)</f>
        <v>11001273.219999999</v>
      </c>
      <c r="AC271" s="236">
        <f t="shared" ref="AC271:AH271" si="55">SUM(AC268:AC270)</f>
        <v>12515498.260729374</v>
      </c>
      <c r="AD271" s="236">
        <f t="shared" si="55"/>
        <v>12934894.478625298</v>
      </c>
      <c r="AE271" s="236">
        <f t="shared" si="55"/>
        <v>15033947.052515</v>
      </c>
      <c r="AF271" s="236">
        <f t="shared" si="55"/>
        <v>16064740.958511995</v>
      </c>
      <c r="AG271" s="236">
        <f t="shared" si="55"/>
        <v>17068153.0863318</v>
      </c>
      <c r="AH271" s="236">
        <f t="shared" si="55"/>
        <v>17393800.279999994</v>
      </c>
      <c r="AI271" s="236">
        <f>SUM(AI268:AI270)</f>
        <v>18282857.979999997</v>
      </c>
      <c r="AJ271" s="236">
        <f>SUM(AJ268:AJ270)</f>
        <v>19963628.019999996</v>
      </c>
      <c r="AK271" s="43"/>
      <c r="AL271" s="43"/>
      <c r="AM271" s="188"/>
      <c r="AN271" s="179"/>
      <c r="AO271" s="188"/>
      <c r="AP271" s="188"/>
      <c r="AQ271" s="188"/>
      <c r="AR271" s="43"/>
      <c r="AS271" s="43"/>
      <c r="AT271" s="43"/>
      <c r="AU271" s="43"/>
      <c r="AV271" s="6"/>
      <c r="AW271" s="6"/>
      <c r="AX271" s="6"/>
      <c r="AY271" s="6"/>
      <c r="AZ271" s="6"/>
      <c r="BA271" s="6"/>
      <c r="BB271" s="43"/>
      <c r="BC271" s="6"/>
      <c r="BD271" s="6"/>
      <c r="BE271" s="6"/>
      <c r="BF271" s="6"/>
      <c r="BG271" s="43">
        <f t="shared" ref="BG271:BG277" si="56">SUM(AM272:BA272)</f>
        <v>10120671.199188124</v>
      </c>
      <c r="BH271" s="6"/>
    </row>
    <row r="272" spans="2:60" x14ac:dyDescent="0.25">
      <c r="B272" s="40"/>
      <c r="W272" s="43"/>
      <c r="X272" s="43"/>
      <c r="Y272" s="43"/>
      <c r="Z272" s="43"/>
      <c r="AA272" s="43"/>
      <c r="AB272" s="43"/>
      <c r="AC272" s="222"/>
      <c r="AD272" s="43"/>
      <c r="AE272" s="43"/>
      <c r="AF272" s="43"/>
      <c r="AG272" s="43"/>
      <c r="AH272" s="43"/>
      <c r="AI272" s="43"/>
      <c r="AJ272" s="43"/>
      <c r="AK272" s="43"/>
      <c r="AL272" s="43"/>
      <c r="AM272" s="188">
        <v>785352.7680360002</v>
      </c>
      <c r="AN272" s="188">
        <v>758726.65</v>
      </c>
      <c r="AO272" s="188">
        <v>944113.58280212514</v>
      </c>
      <c r="AP272" s="188">
        <v>815380.62</v>
      </c>
      <c r="AQ272" s="188">
        <v>1009505.04</v>
      </c>
      <c r="AR272" s="188">
        <v>867937.08</v>
      </c>
      <c r="AS272" s="188">
        <v>837282.06835000031</v>
      </c>
      <c r="AT272" s="188">
        <v>785380.16</v>
      </c>
      <c r="AU272" s="188"/>
      <c r="AV272" s="188">
        <v>808381.99</v>
      </c>
      <c r="AW272" s="188">
        <v>822344.11</v>
      </c>
      <c r="AX272" s="188"/>
      <c r="AY272" s="188">
        <v>796189.19</v>
      </c>
      <c r="AZ272" s="188"/>
      <c r="BA272" s="188">
        <v>890077.94</v>
      </c>
      <c r="BB272" s="43">
        <f t="shared" ref="BB272:BB278" si="57">SUM(AM272:AM272)</f>
        <v>785352.7680360002</v>
      </c>
      <c r="BC272" s="6"/>
      <c r="BD272" s="6"/>
      <c r="BE272" s="6"/>
      <c r="BF272" s="6"/>
      <c r="BG272" s="43">
        <f t="shared" si="56"/>
        <v>9692777</v>
      </c>
      <c r="BH272" s="6"/>
    </row>
    <row r="273" spans="2:60" x14ac:dyDescent="0.25">
      <c r="B273" s="40"/>
      <c r="W273" s="43"/>
      <c r="X273" s="43"/>
      <c r="Y273" s="43"/>
      <c r="Z273" s="43"/>
      <c r="AA273" s="43">
        <f>AA271-AA224</f>
        <v>-482458.56000000052</v>
      </c>
      <c r="AB273" s="43">
        <f t="shared" ref="AB273:AH273" si="58">AB271-AB224</f>
        <v>-470995.67999999598</v>
      </c>
      <c r="AC273" s="43">
        <f t="shared" si="58"/>
        <v>-522151.47000000998</v>
      </c>
      <c r="AD273" s="43">
        <f t="shared" si="58"/>
        <v>-542151.14000000432</v>
      </c>
      <c r="AE273" s="43">
        <f t="shared" si="58"/>
        <v>-370189.36999999359</v>
      </c>
      <c r="AF273" s="43">
        <f t="shared" si="58"/>
        <v>-324085.26999999024</v>
      </c>
      <c r="AG273" s="43">
        <f t="shared" si="58"/>
        <v>-210041.46000000462</v>
      </c>
      <c r="AH273" s="43">
        <f t="shared" si="58"/>
        <v>-135978.95000001043</v>
      </c>
      <c r="AI273" s="43">
        <f>AI271-AI224</f>
        <v>-54208.040000006557</v>
      </c>
      <c r="AJ273" s="259">
        <f>'[6]E.U.'!$AL$222</f>
        <v>0</v>
      </c>
      <c r="AK273" s="259"/>
      <c r="AL273" s="43"/>
      <c r="AM273" s="179">
        <f>710267+15146</f>
        <v>725413</v>
      </c>
      <c r="AN273" s="179">
        <f>883942+18616</f>
        <v>902558</v>
      </c>
      <c r="AO273" s="179">
        <f>762139+17498</f>
        <v>779637</v>
      </c>
      <c r="AP273" s="179">
        <f>943603+21544</f>
        <v>965147</v>
      </c>
      <c r="AQ273" s="179">
        <f>810186+19102</f>
        <v>829288</v>
      </c>
      <c r="AR273" s="43">
        <f>799202+624</f>
        <v>799826</v>
      </c>
      <c r="AS273" s="43">
        <f>722833+39376</f>
        <v>762209</v>
      </c>
      <c r="AT273" s="43">
        <f>330471+18588</f>
        <v>349059</v>
      </c>
      <c r="AU273" s="43"/>
      <c r="AV273" s="43">
        <f>1178140+16979</f>
        <v>1195119</v>
      </c>
      <c r="AW273" s="43">
        <f>458907+17796</f>
        <v>476703</v>
      </c>
      <c r="AX273" s="43"/>
      <c r="AY273" s="43">
        <f>1117976+17540</f>
        <v>1135516</v>
      </c>
      <c r="AZ273" s="43"/>
      <c r="BA273" s="43">
        <f>771578+724</f>
        <v>772302</v>
      </c>
      <c r="BB273" s="43">
        <f t="shared" si="57"/>
        <v>725413</v>
      </c>
      <c r="BC273" s="6"/>
      <c r="BD273" s="6"/>
      <c r="BE273" s="6"/>
      <c r="BF273" s="6"/>
      <c r="BG273" s="43">
        <f t="shared" si="56"/>
        <v>10031707.329335645</v>
      </c>
      <c r="BH273" s="6"/>
    </row>
    <row r="274" spans="2:60" x14ac:dyDescent="0.25">
      <c r="B274" s="40"/>
      <c r="W274" s="43"/>
      <c r="X274" s="43"/>
      <c r="Y274" s="43"/>
      <c r="Z274" s="43"/>
      <c r="AA274" s="43"/>
      <c r="AB274" s="43"/>
      <c r="AC274" s="223"/>
      <c r="AD274" s="43"/>
      <c r="AE274" s="43"/>
      <c r="AF274" s="43"/>
      <c r="AG274" s="43"/>
      <c r="AH274" s="43"/>
      <c r="AI274" s="43"/>
      <c r="AJ274" s="43"/>
      <c r="AK274" s="43"/>
      <c r="AL274" s="43"/>
      <c r="AM274" s="179">
        <v>883884.52832364279</v>
      </c>
      <c r="AN274" s="179">
        <v>808962.17</v>
      </c>
      <c r="AO274" s="179">
        <v>865156.36000000057</v>
      </c>
      <c r="AP274" s="179">
        <v>837125.8</v>
      </c>
      <c r="AQ274" s="179">
        <v>914449.09</v>
      </c>
      <c r="AR274" s="179">
        <v>951309.51999999944</v>
      </c>
      <c r="AS274" s="179">
        <v>904410.26000000071</v>
      </c>
      <c r="AT274" s="179">
        <v>730746.03</v>
      </c>
      <c r="AU274" s="179"/>
      <c r="AV274" s="179">
        <v>742894.9</v>
      </c>
      <c r="AW274" s="179">
        <v>806728.82</v>
      </c>
      <c r="AX274" s="179"/>
      <c r="AY274" s="179">
        <v>815062.14</v>
      </c>
      <c r="AZ274" s="179"/>
      <c r="BA274" s="179">
        <v>770977.71101199964</v>
      </c>
      <c r="BB274" s="43">
        <f t="shared" si="57"/>
        <v>883884.52832364279</v>
      </c>
      <c r="BC274" s="6"/>
      <c r="BD274" s="6"/>
      <c r="BE274" s="6"/>
      <c r="BF274" s="6"/>
      <c r="BG274" s="43">
        <f t="shared" si="56"/>
        <v>9488328</v>
      </c>
      <c r="BH274" s="6"/>
    </row>
    <row r="275" spans="2:60" x14ac:dyDescent="0.25">
      <c r="B275" s="40"/>
      <c r="W275" s="178"/>
      <c r="X275" s="178"/>
      <c r="Y275" s="178"/>
      <c r="Z275" s="178"/>
      <c r="AA275" s="178"/>
      <c r="AB275" s="178"/>
      <c r="AC275" s="178"/>
      <c r="AD275" s="178"/>
      <c r="AE275" s="178"/>
      <c r="AF275" s="178"/>
      <c r="AG275" s="178"/>
      <c r="AH275" s="178"/>
      <c r="AI275" s="178"/>
      <c r="AJ275" s="178"/>
      <c r="AK275" s="178"/>
      <c r="AL275" s="43"/>
      <c r="AM275" s="179">
        <f>753854+19595</f>
        <v>773449</v>
      </c>
      <c r="AN275" s="179">
        <f>809280+17749</f>
        <v>827029</v>
      </c>
      <c r="AO275" s="179">
        <f>783164+17178</f>
        <v>800342</v>
      </c>
      <c r="AP275" s="179">
        <f>864047+930</f>
        <v>864977</v>
      </c>
      <c r="AQ275" s="179">
        <f>868259+42157</f>
        <v>910416</v>
      </c>
      <c r="AR275" s="43">
        <f>842639+22084</f>
        <v>864723</v>
      </c>
      <c r="AS275" s="43">
        <f>678321+20060</f>
        <v>698381</v>
      </c>
      <c r="AT275" s="43">
        <v>0</v>
      </c>
      <c r="AU275" s="43"/>
      <c r="AV275" s="43">
        <f>1442668+39482</f>
        <v>1482150</v>
      </c>
      <c r="AW275" s="43">
        <f>877567+16646</f>
        <v>894213</v>
      </c>
      <c r="AX275" s="43"/>
      <c r="AY275" s="43">
        <f>600459+15583</f>
        <v>616042</v>
      </c>
      <c r="AZ275" s="43"/>
      <c r="BA275" s="43">
        <f>738932+17674</f>
        <v>756606</v>
      </c>
      <c r="BB275" s="43">
        <f t="shared" si="57"/>
        <v>773449</v>
      </c>
      <c r="BC275" s="6"/>
      <c r="BD275" s="43"/>
      <c r="BE275" s="43"/>
      <c r="BF275" s="43"/>
      <c r="BG275" s="43">
        <f t="shared" si="56"/>
        <v>10612856.171485674</v>
      </c>
      <c r="BH275" s="6"/>
    </row>
    <row r="276" spans="2:60" x14ac:dyDescent="0.25">
      <c r="B276" s="40"/>
      <c r="E276" s="187"/>
      <c r="F276" s="187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>
        <f>AJ268/12</f>
        <v>1148124.2074999993</v>
      </c>
      <c r="AK276" s="141"/>
      <c r="AL276" s="178"/>
      <c r="AM276" s="179">
        <v>854404.42312365188</v>
      </c>
      <c r="AN276" s="179">
        <v>949228.69061003323</v>
      </c>
      <c r="AO276" s="179">
        <v>885630.71276927518</v>
      </c>
      <c r="AP276" s="179">
        <v>981925.805532019</v>
      </c>
      <c r="AQ276" s="179">
        <v>1062796.0316406537</v>
      </c>
      <c r="AR276" s="179">
        <v>953266.75210061215</v>
      </c>
      <c r="AS276" s="179">
        <v>907462.19053774409</v>
      </c>
      <c r="AT276" s="179">
        <v>839527.48617168423</v>
      </c>
      <c r="AU276" s="179"/>
      <c r="AV276" s="179">
        <v>749136.9</v>
      </c>
      <c r="AW276" s="179">
        <v>791700.67000000062</v>
      </c>
      <c r="AX276" s="179"/>
      <c r="AY276" s="179">
        <v>812957.41</v>
      </c>
      <c r="AZ276" s="179"/>
      <c r="BA276" s="179">
        <v>824819.09900000039</v>
      </c>
      <c r="BB276" s="43">
        <f t="shared" si="57"/>
        <v>854404.42312365188</v>
      </c>
      <c r="BC276" s="43"/>
      <c r="BD276" s="43"/>
      <c r="BE276" s="43"/>
      <c r="BF276" s="43"/>
      <c r="BG276" s="43">
        <f t="shared" si="56"/>
        <v>10345175.98</v>
      </c>
      <c r="BH276" s="43"/>
    </row>
    <row r="277" spans="2:60" x14ac:dyDescent="0.25">
      <c r="B277" s="40"/>
      <c r="E277" s="151"/>
      <c r="F277" s="15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79">
        <f>4814.7+927792.31</f>
        <v>932607.01</v>
      </c>
      <c r="AN277" s="179">
        <f>838444+17029</f>
        <v>855473</v>
      </c>
      <c r="AO277" s="179">
        <f>4814.7+929873.55+17945.05</f>
        <v>952633.3</v>
      </c>
      <c r="AP277" s="201">
        <f>603878.38+163877.04+145348.88+73091.27</f>
        <v>986195.57000000007</v>
      </c>
      <c r="AQ277" s="179">
        <f>662060.45+162213.17+151699.39+92728.68</f>
        <v>1068701.69</v>
      </c>
      <c r="AR277" s="43">
        <f>935664.58-87396.08</f>
        <v>848268.5</v>
      </c>
      <c r="AS277" s="43">
        <v>786895.91</v>
      </c>
      <c r="AT277" s="43">
        <f>702181+18485</f>
        <v>720666</v>
      </c>
      <c r="AU277" s="43"/>
      <c r="AV277" s="43">
        <f>743900+18997</f>
        <v>762897</v>
      </c>
      <c r="AW277" s="43">
        <f>762426+20075</f>
        <v>782501</v>
      </c>
      <c r="AX277" s="43"/>
      <c r="AY277" s="43">
        <f>779181+19419</f>
        <v>798600</v>
      </c>
      <c r="AZ277" s="43"/>
      <c r="BA277" s="43">
        <f>829801+19936</f>
        <v>849737</v>
      </c>
      <c r="BB277" s="43">
        <f t="shared" si="57"/>
        <v>932607.01</v>
      </c>
      <c r="BC277" s="43"/>
      <c r="BD277" s="43"/>
      <c r="BE277" s="43"/>
      <c r="BF277" s="43"/>
      <c r="BG277" s="43">
        <f t="shared" si="56"/>
        <v>10910299.240048619</v>
      </c>
      <c r="BH277" s="43"/>
    </row>
    <row r="278" spans="2:60" x14ac:dyDescent="0.25">
      <c r="AL278" s="141"/>
      <c r="AM278" s="179">
        <v>894033.75361423171</v>
      </c>
      <c r="AN278" s="179">
        <v>828978.33160631813</v>
      </c>
      <c r="AO278" s="179">
        <v>966813.41</v>
      </c>
      <c r="AP278" s="179">
        <v>890965.08263513935</v>
      </c>
      <c r="AQ278" s="179">
        <v>1114568.9729706352</v>
      </c>
      <c r="AR278" s="179">
        <v>1044409.9392291907</v>
      </c>
      <c r="AS278" s="179">
        <v>904257.54717915633</v>
      </c>
      <c r="AT278" s="179">
        <v>840599.40356025635</v>
      </c>
      <c r="AU278" s="179"/>
      <c r="AV278" s="179">
        <v>886458.89875276841</v>
      </c>
      <c r="AW278" s="179">
        <v>838659.38425999682</v>
      </c>
      <c r="AX278" s="179"/>
      <c r="AY278" s="179">
        <v>777611.07410023303</v>
      </c>
      <c r="AZ278" s="179"/>
      <c r="BA278" s="179">
        <v>922943.44214069366</v>
      </c>
      <c r="BB278" s="43">
        <f t="shared" si="57"/>
        <v>894033.75361423171</v>
      </c>
      <c r="BC278" s="43"/>
    </row>
    <row r="279" spans="2:60" x14ac:dyDescent="0.25">
      <c r="B279" s="40"/>
      <c r="BB279" s="9"/>
    </row>
    <row r="280" spans="2:60" x14ac:dyDescent="0.25">
      <c r="B280" s="40"/>
      <c r="AR280" s="191"/>
      <c r="BB280" s="9"/>
    </row>
    <row r="281" spans="2:60" x14ac:dyDescent="0.25">
      <c r="B281" s="40"/>
      <c r="AM281" s="220">
        <f>'[2]E.U.'!$AB$216</f>
        <v>1735528.8000000005</v>
      </c>
      <c r="AN281" s="220">
        <f>'[3]E.U.'!AB$216</f>
        <v>1899817.6100000003</v>
      </c>
      <c r="AO281" s="220">
        <f>'[4]E.U.'!$AB$216</f>
        <v>1936317.3699999999</v>
      </c>
      <c r="AP281" s="220">
        <f>'[5]E.U.'!$AB$216</f>
        <v>2036636.1300000006</v>
      </c>
      <c r="AQ281" s="220">
        <f>'[6]E.U.'!$AB$216</f>
        <v>2233181.0299999993</v>
      </c>
      <c r="AR281" s="220">
        <f>'[7]E.U.'!$AB$216</f>
        <v>1997535.0900000008</v>
      </c>
      <c r="AS281" s="220">
        <f>'[8]E.U.'!$AB$216</f>
        <v>1896961.2799999993</v>
      </c>
      <c r="AT281" s="220">
        <f>'[9]E.U.'!$AB$216</f>
        <v>1580551.5260108334</v>
      </c>
      <c r="AU281" s="220">
        <f>(73746.99+36901.16-110648.15)+(492.67+38.49-531.16)-109.25</f>
        <v>-109.24999999998545</v>
      </c>
      <c r="AV281" s="220">
        <f>'[10]E.U.'!$AB$216</f>
        <v>1581370.8700000006</v>
      </c>
      <c r="AW281" s="220">
        <f>'[11]E.U.'!$AB$216</f>
        <v>1625128.5100000002</v>
      </c>
      <c r="AX281" s="220">
        <f>'[16]MAY14 CHANGES'!$F$143</f>
        <v>4.0000000208237907E-2</v>
      </c>
      <c r="AY281" s="220">
        <f>'[12]E.U.'!$AB$216</f>
        <v>1538161.0599999998</v>
      </c>
      <c r="AZ281" s="220"/>
      <c r="BA281" s="220">
        <f>'[13]E.U.'!$AB$216</f>
        <v>1558016.1700000004</v>
      </c>
      <c r="BB281" s="43">
        <f>SUM(AM281:BA281)</f>
        <v>21619096.236010835</v>
      </c>
    </row>
    <row r="282" spans="2:60" x14ac:dyDescent="0.25">
      <c r="B282" s="40"/>
      <c r="AM282" s="6">
        <f t="shared" ref="AM282:BA282" si="59">AM224-AM281</f>
        <v>0</v>
      </c>
      <c r="AN282" s="6">
        <f t="shared" si="59"/>
        <v>0</v>
      </c>
      <c r="AO282" s="6">
        <f t="shared" si="59"/>
        <v>0</v>
      </c>
      <c r="AP282" s="6">
        <f t="shared" si="59"/>
        <v>0</v>
      </c>
      <c r="AQ282" s="6">
        <f t="shared" si="59"/>
        <v>0</v>
      </c>
      <c r="AR282" s="6">
        <f t="shared" si="59"/>
        <v>7.6135150855407119E-2</v>
      </c>
      <c r="AS282" s="6">
        <f t="shared" si="59"/>
        <v>0</v>
      </c>
      <c r="AT282" s="6">
        <f t="shared" si="59"/>
        <v>0</v>
      </c>
      <c r="AU282" s="6">
        <f t="shared" si="59"/>
        <v>109.24999999998545</v>
      </c>
      <c r="AV282" s="6">
        <f t="shared" si="59"/>
        <v>0</v>
      </c>
      <c r="AW282" s="6" t="e">
        <f t="shared" si="59"/>
        <v>#REF!</v>
      </c>
      <c r="AX282" s="6">
        <f t="shared" si="59"/>
        <v>-4.0000000208237907E-2</v>
      </c>
      <c r="AY282" s="6" t="e">
        <f t="shared" si="59"/>
        <v>#REF!</v>
      </c>
      <c r="AZ282" s="6">
        <f>AZ224-AZ281</f>
        <v>0</v>
      </c>
      <c r="BA282" s="6">
        <f t="shared" si="59"/>
        <v>0</v>
      </c>
      <c r="BB282" s="43" t="e">
        <f>SUM(AM282:BA282)</f>
        <v>#REF!</v>
      </c>
      <c r="BC282" s="4" t="s">
        <v>3519</v>
      </c>
    </row>
    <row r="283" spans="2:60" x14ac:dyDescent="0.25">
      <c r="B283" s="40"/>
      <c r="AW283" s="251" t="s">
        <v>3520</v>
      </c>
      <c r="AX283" s="9">
        <f>122387.12+120840.76</f>
        <v>243227.88</v>
      </c>
      <c r="BD283" s="202"/>
      <c r="BE283" s="202"/>
      <c r="BF283" s="202"/>
      <c r="BG283" s="202"/>
    </row>
    <row r="284" spans="2:60" x14ac:dyDescent="0.25">
      <c r="B284" s="40"/>
      <c r="AM284" s="202"/>
      <c r="AN284" s="202"/>
      <c r="AO284" s="202"/>
      <c r="AP284" s="202"/>
      <c r="AQ284" s="202"/>
      <c r="AR284" s="202"/>
      <c r="AS284" s="202"/>
      <c r="AT284" s="202"/>
      <c r="AU284" s="202"/>
      <c r="AV284" s="202"/>
      <c r="AW284" s="202"/>
      <c r="AX284" s="202"/>
      <c r="AY284" s="202"/>
      <c r="AZ284" s="202"/>
      <c r="BA284" s="202"/>
      <c r="BB284" s="202"/>
      <c r="BC284" s="202"/>
    </row>
    <row r="285" spans="2:60" x14ac:dyDescent="0.25">
      <c r="B285" s="40"/>
      <c r="AG285" s="244" t="s">
        <v>3521</v>
      </c>
    </row>
    <row r="286" spans="2:60" x14ac:dyDescent="0.25">
      <c r="B286" s="40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 t="s">
        <v>3522</v>
      </c>
      <c r="AI286" s="32" t="s">
        <v>3523</v>
      </c>
      <c r="AJ286" s="32"/>
      <c r="AK286" s="32"/>
      <c r="AL286" s="32"/>
    </row>
    <row r="287" spans="2:60" x14ac:dyDescent="0.25">
      <c r="B287" s="40"/>
      <c r="V287" s="3" t="s">
        <v>3524</v>
      </c>
      <c r="AH287" s="245" t="e">
        <f>#REF!/#REF!</f>
        <v>#REF!</v>
      </c>
      <c r="AI287" s="246" t="e">
        <f>BB224/#REF!</f>
        <v>#REF!</v>
      </c>
      <c r="AJ287" s="246"/>
      <c r="AK287" s="246"/>
    </row>
    <row r="288" spans="2:60" x14ac:dyDescent="0.25">
      <c r="B288" s="40"/>
      <c r="V288" s="3" t="s">
        <v>3525</v>
      </c>
      <c r="AI288" s="248" t="e">
        <f>(#REF!-#REF!)*(AI287-AH287)</f>
        <v>#REF!</v>
      </c>
      <c r="AJ288" s="248"/>
      <c r="AK288" s="248"/>
      <c r="AM288" s="4" t="e">
        <f>AI287*AI288</f>
        <v>#REF!</v>
      </c>
    </row>
    <row r="289" spans="2:37" x14ac:dyDescent="0.25">
      <c r="B289" s="40"/>
      <c r="V289" s="3" t="s">
        <v>2671</v>
      </c>
      <c r="AI289" s="248" t="e">
        <f>(AI287-AH287)*#REF!</f>
        <v>#REF!</v>
      </c>
      <c r="AJ289" s="248"/>
      <c r="AK289" s="248"/>
    </row>
    <row r="290" spans="2:37" x14ac:dyDescent="0.25">
      <c r="B290" s="40"/>
      <c r="AI290" s="247" t="e">
        <f>AI288+AI289</f>
        <v>#REF!</v>
      </c>
      <c r="AJ290" s="247"/>
      <c r="AK290" s="247"/>
    </row>
    <row r="291" spans="2:37" x14ac:dyDescent="0.25">
      <c r="B291" s="40"/>
    </row>
    <row r="292" spans="2:37" x14ac:dyDescent="0.25">
      <c r="B292" s="40"/>
    </row>
    <row r="293" spans="2:37" x14ac:dyDescent="0.25">
      <c r="B293" s="40"/>
    </row>
    <row r="294" spans="2:37" x14ac:dyDescent="0.25">
      <c r="B294" s="40"/>
    </row>
    <row r="295" spans="2:37" x14ac:dyDescent="0.25">
      <c r="B295" s="40"/>
    </row>
    <row r="296" spans="2:37" x14ac:dyDescent="0.25">
      <c r="B296" s="40"/>
    </row>
    <row r="297" spans="2:37" x14ac:dyDescent="0.25">
      <c r="B297" s="40"/>
    </row>
    <row r="298" spans="2:37" x14ac:dyDescent="0.25">
      <c r="B298" s="40"/>
    </row>
    <row r="299" spans="2:37" x14ac:dyDescent="0.25">
      <c r="B299" s="40"/>
    </row>
    <row r="300" spans="2:37" x14ac:dyDescent="0.25">
      <c r="B300" s="40"/>
    </row>
    <row r="301" spans="2:37" x14ac:dyDescent="0.25">
      <c r="B301" s="40"/>
    </row>
    <row r="302" spans="2:37" x14ac:dyDescent="0.25">
      <c r="B302" s="40"/>
    </row>
    <row r="303" spans="2:37" x14ac:dyDescent="0.25">
      <c r="B303" s="40"/>
    </row>
    <row r="304" spans="2:37" x14ac:dyDescent="0.25">
      <c r="B304" s="40"/>
    </row>
    <row r="305" spans="2:2" x14ac:dyDescent="0.25">
      <c r="B305" s="40"/>
    </row>
    <row r="306" spans="2:2" x14ac:dyDescent="0.25">
      <c r="B306" s="40"/>
    </row>
    <row r="307" spans="2:2" x14ac:dyDescent="0.25">
      <c r="B307" s="40"/>
    </row>
    <row r="308" spans="2:2" x14ac:dyDescent="0.25">
      <c r="B308" s="40"/>
    </row>
    <row r="309" spans="2:2" x14ac:dyDescent="0.25">
      <c r="B309" s="40"/>
    </row>
    <row r="310" spans="2:2" x14ac:dyDescent="0.25">
      <c r="B310" s="40"/>
    </row>
    <row r="311" spans="2:2" x14ac:dyDescent="0.25">
      <c r="B311" s="40"/>
    </row>
    <row r="312" spans="2:2" x14ac:dyDescent="0.25">
      <c r="B312" s="40"/>
    </row>
    <row r="313" spans="2:2" x14ac:dyDescent="0.25">
      <c r="B313" s="40"/>
    </row>
    <row r="314" spans="2:2" x14ac:dyDescent="0.25">
      <c r="B314" s="40"/>
    </row>
    <row r="315" spans="2:2" x14ac:dyDescent="0.25">
      <c r="B315" s="40"/>
    </row>
    <row r="316" spans="2:2" x14ac:dyDescent="0.25">
      <c r="B316" s="40"/>
    </row>
    <row r="317" spans="2:2" x14ac:dyDescent="0.25">
      <c r="B317" s="40"/>
    </row>
    <row r="318" spans="2:2" x14ac:dyDescent="0.25">
      <c r="B318" s="40"/>
    </row>
    <row r="319" spans="2:2" x14ac:dyDescent="0.25">
      <c r="B319" s="40"/>
    </row>
    <row r="320" spans="2:2" x14ac:dyDescent="0.25">
      <c r="B320" s="40"/>
    </row>
    <row r="321" spans="2:2" x14ac:dyDescent="0.25">
      <c r="B321" s="40"/>
    </row>
    <row r="322" spans="2:2" x14ac:dyDescent="0.25">
      <c r="B322" s="40"/>
    </row>
    <row r="323" spans="2:2" x14ac:dyDescent="0.25">
      <c r="B323" s="40"/>
    </row>
    <row r="324" spans="2:2" x14ac:dyDescent="0.25">
      <c r="B324" s="40"/>
    </row>
    <row r="325" spans="2:2" x14ac:dyDescent="0.25">
      <c r="B325" s="40"/>
    </row>
    <row r="326" spans="2:2" x14ac:dyDescent="0.25">
      <c r="B326" s="40"/>
    </row>
    <row r="327" spans="2:2" x14ac:dyDescent="0.25">
      <c r="B327" s="40"/>
    </row>
    <row r="328" spans="2:2" x14ac:dyDescent="0.25">
      <c r="B328" s="40"/>
    </row>
    <row r="329" spans="2:2" x14ac:dyDescent="0.25">
      <c r="B329" s="40"/>
    </row>
    <row r="330" spans="2:2" x14ac:dyDescent="0.25">
      <c r="B330" s="40"/>
    </row>
    <row r="331" spans="2:2" x14ac:dyDescent="0.25">
      <c r="B331" s="40"/>
    </row>
    <row r="332" spans="2:2" x14ac:dyDescent="0.25">
      <c r="B332" s="40"/>
    </row>
    <row r="333" spans="2:2" x14ac:dyDescent="0.25">
      <c r="B333" s="40"/>
    </row>
    <row r="334" spans="2:2" x14ac:dyDescent="0.25">
      <c r="B334" s="40"/>
    </row>
    <row r="335" spans="2:2" x14ac:dyDescent="0.25">
      <c r="B335" s="40"/>
    </row>
    <row r="336" spans="2:2" x14ac:dyDescent="0.25">
      <c r="B336" s="40"/>
    </row>
    <row r="337" spans="2:2" x14ac:dyDescent="0.25">
      <c r="B337" s="40"/>
    </row>
    <row r="338" spans="2:2" x14ac:dyDescent="0.25">
      <c r="B338" s="40"/>
    </row>
    <row r="339" spans="2:2" x14ac:dyDescent="0.25">
      <c r="B339" s="40"/>
    </row>
    <row r="340" spans="2:2" x14ac:dyDescent="0.25">
      <c r="B340" s="40"/>
    </row>
    <row r="341" spans="2:2" x14ac:dyDescent="0.25">
      <c r="B341" s="40"/>
    </row>
    <row r="342" spans="2:2" x14ac:dyDescent="0.25">
      <c r="B342" s="40"/>
    </row>
    <row r="343" spans="2:2" x14ac:dyDescent="0.25">
      <c r="B343" s="40"/>
    </row>
    <row r="344" spans="2:2" x14ac:dyDescent="0.25">
      <c r="B344" s="40"/>
    </row>
    <row r="345" spans="2:2" x14ac:dyDescent="0.25">
      <c r="B345" s="40"/>
    </row>
    <row r="346" spans="2:2" x14ac:dyDescent="0.25">
      <c r="B346" s="40"/>
    </row>
    <row r="347" spans="2:2" x14ac:dyDescent="0.25">
      <c r="B347" s="40"/>
    </row>
    <row r="348" spans="2:2" x14ac:dyDescent="0.25">
      <c r="B348" s="40"/>
    </row>
    <row r="349" spans="2:2" x14ac:dyDescent="0.25">
      <c r="B349" s="40"/>
    </row>
    <row r="350" spans="2:2" x14ac:dyDescent="0.25">
      <c r="B350" s="40"/>
    </row>
    <row r="351" spans="2:2" x14ac:dyDescent="0.25">
      <c r="B351" s="40"/>
    </row>
    <row r="352" spans="2:2" x14ac:dyDescent="0.25">
      <c r="B352" s="40"/>
    </row>
    <row r="353" spans="2:2" x14ac:dyDescent="0.25">
      <c r="B353" s="40"/>
    </row>
    <row r="354" spans="2:2" x14ac:dyDescent="0.25">
      <c r="B354" s="40"/>
    </row>
    <row r="355" spans="2:2" x14ac:dyDescent="0.25">
      <c r="B355" s="40"/>
    </row>
    <row r="356" spans="2:2" x14ac:dyDescent="0.25">
      <c r="B356" s="40"/>
    </row>
    <row r="357" spans="2:2" x14ac:dyDescent="0.25">
      <c r="B357" s="40"/>
    </row>
    <row r="358" spans="2:2" x14ac:dyDescent="0.25">
      <c r="B358" s="40"/>
    </row>
    <row r="359" spans="2:2" x14ac:dyDescent="0.25">
      <c r="B359" s="40"/>
    </row>
    <row r="360" spans="2:2" x14ac:dyDescent="0.25">
      <c r="B360" s="40"/>
    </row>
    <row r="361" spans="2:2" x14ac:dyDescent="0.25">
      <c r="B361" s="40"/>
    </row>
    <row r="362" spans="2:2" x14ac:dyDescent="0.25">
      <c r="B362" s="40"/>
    </row>
    <row r="363" spans="2:2" x14ac:dyDescent="0.25">
      <c r="B363" s="40"/>
    </row>
    <row r="364" spans="2:2" x14ac:dyDescent="0.25">
      <c r="B364" s="40"/>
    </row>
    <row r="365" spans="2:2" x14ac:dyDescent="0.25">
      <c r="B365" s="40"/>
    </row>
    <row r="366" spans="2:2" x14ac:dyDescent="0.25">
      <c r="B366" s="40"/>
    </row>
    <row r="367" spans="2:2" x14ac:dyDescent="0.25">
      <c r="B367" s="40"/>
    </row>
    <row r="368" spans="2:2" x14ac:dyDescent="0.25">
      <c r="B368" s="40"/>
    </row>
    <row r="369" spans="2:2" x14ac:dyDescent="0.25">
      <c r="B369" s="40"/>
    </row>
    <row r="370" spans="2:2" x14ac:dyDescent="0.25">
      <c r="B370" s="40"/>
    </row>
    <row r="371" spans="2:2" x14ac:dyDescent="0.25">
      <c r="B371" s="40"/>
    </row>
    <row r="372" spans="2:2" x14ac:dyDescent="0.25">
      <c r="B372" s="40"/>
    </row>
    <row r="373" spans="2:2" x14ac:dyDescent="0.25">
      <c r="B373" s="40"/>
    </row>
    <row r="374" spans="2:2" x14ac:dyDescent="0.25">
      <c r="B374" s="40"/>
    </row>
    <row r="375" spans="2:2" x14ac:dyDescent="0.25">
      <c r="B375" s="40"/>
    </row>
    <row r="376" spans="2:2" x14ac:dyDescent="0.25">
      <c r="B376" s="40"/>
    </row>
    <row r="377" spans="2:2" x14ac:dyDescent="0.25">
      <c r="B377" s="40"/>
    </row>
    <row r="378" spans="2:2" x14ac:dyDescent="0.25">
      <c r="B378" s="40"/>
    </row>
    <row r="379" spans="2:2" x14ac:dyDescent="0.25">
      <c r="B379" s="40"/>
    </row>
    <row r="380" spans="2:2" x14ac:dyDescent="0.25">
      <c r="B380" s="40"/>
    </row>
    <row r="381" spans="2:2" x14ac:dyDescent="0.25">
      <c r="B381" s="40"/>
    </row>
    <row r="382" spans="2:2" x14ac:dyDescent="0.25">
      <c r="B382" s="40"/>
    </row>
    <row r="383" spans="2:2" x14ac:dyDescent="0.25">
      <c r="B383" s="40"/>
    </row>
    <row r="384" spans="2:2" x14ac:dyDescent="0.25">
      <c r="B384" s="40"/>
    </row>
    <row r="385" spans="2:2" x14ac:dyDescent="0.25">
      <c r="B385" s="40"/>
    </row>
    <row r="386" spans="2:2" x14ac:dyDescent="0.25">
      <c r="B386" s="40"/>
    </row>
    <row r="387" spans="2:2" x14ac:dyDescent="0.25">
      <c r="B387" s="40"/>
    </row>
    <row r="388" spans="2:2" x14ac:dyDescent="0.25">
      <c r="B388" s="40"/>
    </row>
    <row r="389" spans="2:2" x14ac:dyDescent="0.25">
      <c r="B389" s="40"/>
    </row>
    <row r="390" spans="2:2" x14ac:dyDescent="0.25">
      <c r="B390" s="40"/>
    </row>
    <row r="391" spans="2:2" x14ac:dyDescent="0.25">
      <c r="B391" s="40"/>
    </row>
    <row r="392" spans="2:2" x14ac:dyDescent="0.25">
      <c r="B392" s="40"/>
    </row>
    <row r="393" spans="2:2" x14ac:dyDescent="0.25">
      <c r="B393" s="40"/>
    </row>
    <row r="394" spans="2:2" x14ac:dyDescent="0.25">
      <c r="B394" s="40"/>
    </row>
    <row r="395" spans="2:2" x14ac:dyDescent="0.25">
      <c r="B395" s="40"/>
    </row>
    <row r="396" spans="2:2" x14ac:dyDescent="0.25">
      <c r="B396" s="40"/>
    </row>
    <row r="397" spans="2:2" x14ac:dyDescent="0.25">
      <c r="B397" s="40"/>
    </row>
    <row r="398" spans="2:2" x14ac:dyDescent="0.25">
      <c r="B398" s="40"/>
    </row>
    <row r="399" spans="2:2" x14ac:dyDescent="0.25">
      <c r="B399" s="40"/>
    </row>
    <row r="400" spans="2:2" x14ac:dyDescent="0.25">
      <c r="B400" s="40"/>
    </row>
    <row r="401" spans="2:2" x14ac:dyDescent="0.25">
      <c r="B401" s="40"/>
    </row>
    <row r="402" spans="2:2" x14ac:dyDescent="0.25">
      <c r="B402" s="40"/>
    </row>
    <row r="403" spans="2:2" x14ac:dyDescent="0.25">
      <c r="B403" s="40"/>
    </row>
    <row r="404" spans="2:2" x14ac:dyDescent="0.25">
      <c r="B404" s="40"/>
    </row>
    <row r="405" spans="2:2" x14ac:dyDescent="0.25">
      <c r="B405" s="40"/>
    </row>
    <row r="406" spans="2:2" x14ac:dyDescent="0.25">
      <c r="B406" s="40"/>
    </row>
    <row r="407" spans="2:2" x14ac:dyDescent="0.25">
      <c r="B407" s="40"/>
    </row>
    <row r="408" spans="2:2" x14ac:dyDescent="0.25">
      <c r="B408" s="40"/>
    </row>
    <row r="409" spans="2:2" x14ac:dyDescent="0.25">
      <c r="B409" s="40"/>
    </row>
    <row r="410" spans="2:2" x14ac:dyDescent="0.25">
      <c r="B410" s="40"/>
    </row>
    <row r="411" spans="2:2" x14ac:dyDescent="0.25">
      <c r="B411" s="40"/>
    </row>
    <row r="412" spans="2:2" x14ac:dyDescent="0.25">
      <c r="B412" s="40"/>
    </row>
    <row r="413" spans="2:2" x14ac:dyDescent="0.25">
      <c r="B413" s="40"/>
    </row>
    <row r="414" spans="2:2" x14ac:dyDescent="0.25">
      <c r="B414" s="40"/>
    </row>
    <row r="415" spans="2:2" x14ac:dyDescent="0.25">
      <c r="B415" s="40"/>
    </row>
    <row r="416" spans="2:2" x14ac:dyDescent="0.25">
      <c r="B416" s="40"/>
    </row>
    <row r="417" spans="2:2" x14ac:dyDescent="0.25">
      <c r="B417" s="40"/>
    </row>
    <row r="418" spans="2:2" x14ac:dyDescent="0.25">
      <c r="B418" s="40"/>
    </row>
    <row r="419" spans="2:2" x14ac:dyDescent="0.25">
      <c r="B419" s="40"/>
    </row>
    <row r="420" spans="2:2" x14ac:dyDescent="0.25">
      <c r="B420" s="40"/>
    </row>
    <row r="421" spans="2:2" x14ac:dyDescent="0.25">
      <c r="B421" s="40"/>
    </row>
    <row r="422" spans="2:2" x14ac:dyDescent="0.25">
      <c r="B422" s="40"/>
    </row>
    <row r="423" spans="2:2" x14ac:dyDescent="0.25">
      <c r="B423" s="40"/>
    </row>
    <row r="424" spans="2:2" x14ac:dyDescent="0.25">
      <c r="B424" s="40"/>
    </row>
    <row r="425" spans="2:2" x14ac:dyDescent="0.25">
      <c r="B425" s="40"/>
    </row>
    <row r="426" spans="2:2" x14ac:dyDescent="0.25">
      <c r="B426" s="40"/>
    </row>
    <row r="427" spans="2:2" x14ac:dyDescent="0.25">
      <c r="B427" s="40"/>
    </row>
    <row r="428" spans="2:2" x14ac:dyDescent="0.25">
      <c r="B428" s="40"/>
    </row>
    <row r="429" spans="2:2" x14ac:dyDescent="0.25">
      <c r="B429" s="40"/>
    </row>
    <row r="430" spans="2:2" x14ac:dyDescent="0.25">
      <c r="B430" s="40"/>
    </row>
    <row r="431" spans="2:2" x14ac:dyDescent="0.25">
      <c r="B431" s="40"/>
    </row>
    <row r="432" spans="2:2" x14ac:dyDescent="0.25">
      <c r="B432" s="40"/>
    </row>
    <row r="433" spans="2:2" x14ac:dyDescent="0.25">
      <c r="B433" s="40"/>
    </row>
    <row r="434" spans="2:2" x14ac:dyDescent="0.25">
      <c r="B434" s="40"/>
    </row>
    <row r="435" spans="2:2" x14ac:dyDescent="0.25">
      <c r="B435" s="40"/>
    </row>
    <row r="436" spans="2:2" x14ac:dyDescent="0.25">
      <c r="B436" s="40"/>
    </row>
    <row r="437" spans="2:2" x14ac:dyDescent="0.25">
      <c r="B437" s="40"/>
    </row>
    <row r="438" spans="2:2" x14ac:dyDescent="0.25">
      <c r="B438" s="40"/>
    </row>
    <row r="439" spans="2:2" x14ac:dyDescent="0.25">
      <c r="B439" s="40"/>
    </row>
    <row r="440" spans="2:2" x14ac:dyDescent="0.25">
      <c r="B440" s="40"/>
    </row>
  </sheetData>
  <printOptions horizontalCentered="1" gridLines="1"/>
  <pageMargins left="0" right="0" top="0.5" bottom="0.5" header="0.3" footer="0.3"/>
  <pageSetup scale="37" fitToHeight="5" orientation="landscape" horizontalDpi="300" verticalDpi="300" r:id="rId1"/>
  <headerFooter alignWithMargins="0">
    <oddFooter>&amp;L&amp;9&amp;F&amp;C&amp;9Page &amp;P of &amp;N&amp;R&amp;8PRINTED ON: 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608C-00D2-45E4-93F2-00C6C5CA4CC5}">
  <sheetPr filterMode="1">
    <pageSetUpPr fitToPage="1"/>
  </sheetPr>
  <dimension ref="A1:AY182"/>
  <sheetViews>
    <sheetView tabSelected="1" zoomScale="85" zoomScaleNormal="85" workbookViewId="0">
      <pane xSplit="3" topLeftCell="AN1" activePane="topRight" state="frozen"/>
      <selection pane="topRight" activeCell="AZ168" sqref="AZ168"/>
    </sheetView>
  </sheetViews>
  <sheetFormatPr defaultColWidth="9.109375" defaultRowHeight="13.2" x14ac:dyDescent="0.25"/>
  <cols>
    <col min="1" max="1" width="9.109375" style="271"/>
    <col min="2" max="2" width="63.5546875" style="273" bestFit="1" customWidth="1"/>
    <col min="3" max="3" width="11.88671875" style="271" customWidth="1"/>
    <col min="4" max="7" width="9" style="272" customWidth="1"/>
    <col min="8" max="20" width="12.33203125" style="271" customWidth="1"/>
    <col min="21" max="21" width="10.6640625" style="271" customWidth="1"/>
    <col min="22" max="51" width="11.6640625" style="271" customWidth="1"/>
    <col min="52" max="215" width="9.109375" style="271"/>
    <col min="216" max="216" width="45.44140625" style="271" customWidth="1"/>
    <col min="217" max="217" width="16.5546875" style="271" customWidth="1"/>
    <col min="218" max="218" width="11.88671875" style="271" customWidth="1"/>
    <col min="219" max="246" width="9.109375" style="271" customWidth="1"/>
    <col min="247" max="249" width="13" style="271" customWidth="1"/>
    <col min="250" max="250" width="3.88671875" style="271" customWidth="1"/>
    <col min="251" max="251" width="12.33203125" style="271" customWidth="1"/>
    <col min="252" max="252" width="10.6640625" style="271" customWidth="1"/>
    <col min="253" max="262" width="11.6640625" style="271" customWidth="1"/>
    <col min="263" max="263" width="15" style="271" customWidth="1"/>
    <col min="264" max="264" width="18.33203125" style="271" customWidth="1"/>
    <col min="265" max="267" width="9.109375" style="271" customWidth="1"/>
    <col min="268" max="268" width="11.6640625" style="271" customWidth="1"/>
    <col min="269" max="269" width="13.109375" style="271" customWidth="1"/>
    <col min="270" max="272" width="12.109375" style="271" customWidth="1"/>
    <col min="273" max="273" width="27.33203125" style="271" customWidth="1"/>
    <col min="274" max="274" width="15" style="271" customWidth="1"/>
    <col min="275" max="275" width="39" style="271" bestFit="1" customWidth="1"/>
    <col min="276" max="276" width="22" style="271" customWidth="1"/>
    <col min="277" max="277" width="15.6640625" style="271" customWidth="1"/>
    <col min="278" max="471" width="9.109375" style="271"/>
    <col min="472" max="472" width="45.44140625" style="271" customWidth="1"/>
    <col min="473" max="473" width="16.5546875" style="271" customWidth="1"/>
    <col min="474" max="474" width="11.88671875" style="271" customWidth="1"/>
    <col min="475" max="502" width="9.109375" style="271" customWidth="1"/>
    <col min="503" max="505" width="13" style="271" customWidth="1"/>
    <col min="506" max="506" width="3.88671875" style="271" customWidth="1"/>
    <col min="507" max="507" width="12.33203125" style="271" customWidth="1"/>
    <col min="508" max="508" width="10.6640625" style="271" customWidth="1"/>
    <col min="509" max="518" width="11.6640625" style="271" customWidth="1"/>
    <col min="519" max="519" width="15" style="271" customWidth="1"/>
    <col min="520" max="520" width="18.33203125" style="271" customWidth="1"/>
    <col min="521" max="523" width="9.109375" style="271" customWidth="1"/>
    <col min="524" max="524" width="11.6640625" style="271" customWidth="1"/>
    <col min="525" max="525" width="13.109375" style="271" customWidth="1"/>
    <col min="526" max="528" width="12.109375" style="271" customWidth="1"/>
    <col min="529" max="529" width="27.33203125" style="271" customWidth="1"/>
    <col min="530" max="530" width="15" style="271" customWidth="1"/>
    <col min="531" max="531" width="39" style="271" bestFit="1" customWidth="1"/>
    <col min="532" max="532" width="22" style="271" customWidth="1"/>
    <col min="533" max="533" width="15.6640625" style="271" customWidth="1"/>
    <col min="534" max="727" width="9.109375" style="271"/>
    <col min="728" max="728" width="45.44140625" style="271" customWidth="1"/>
    <col min="729" max="729" width="16.5546875" style="271" customWidth="1"/>
    <col min="730" max="730" width="11.88671875" style="271" customWidth="1"/>
    <col min="731" max="758" width="9.109375" style="271" customWidth="1"/>
    <col min="759" max="761" width="13" style="271" customWidth="1"/>
    <col min="762" max="762" width="3.88671875" style="271" customWidth="1"/>
    <col min="763" max="763" width="12.33203125" style="271" customWidth="1"/>
    <col min="764" max="764" width="10.6640625" style="271" customWidth="1"/>
    <col min="765" max="774" width="11.6640625" style="271" customWidth="1"/>
    <col min="775" max="775" width="15" style="271" customWidth="1"/>
    <col min="776" max="776" width="18.33203125" style="271" customWidth="1"/>
    <col min="777" max="779" width="9.109375" style="271" customWidth="1"/>
    <col min="780" max="780" width="11.6640625" style="271" customWidth="1"/>
    <col min="781" max="781" width="13.109375" style="271" customWidth="1"/>
    <col min="782" max="784" width="12.109375" style="271" customWidth="1"/>
    <col min="785" max="785" width="27.33203125" style="271" customWidth="1"/>
    <col min="786" max="786" width="15" style="271" customWidth="1"/>
    <col min="787" max="787" width="39" style="271" bestFit="1" customWidth="1"/>
    <col min="788" max="788" width="22" style="271" customWidth="1"/>
    <col min="789" max="789" width="15.6640625" style="271" customWidth="1"/>
    <col min="790" max="983" width="9.109375" style="271"/>
    <col min="984" max="984" width="45.44140625" style="271" customWidth="1"/>
    <col min="985" max="985" width="16.5546875" style="271" customWidth="1"/>
    <col min="986" max="986" width="11.88671875" style="271" customWidth="1"/>
    <col min="987" max="1014" width="9.109375" style="271" customWidth="1"/>
    <col min="1015" max="1017" width="13" style="271" customWidth="1"/>
    <col min="1018" max="1018" width="3.88671875" style="271" customWidth="1"/>
    <col min="1019" max="1019" width="12.33203125" style="271" customWidth="1"/>
    <col min="1020" max="1020" width="10.6640625" style="271" customWidth="1"/>
    <col min="1021" max="1030" width="11.6640625" style="271" customWidth="1"/>
    <col min="1031" max="1031" width="15" style="271" customWidth="1"/>
    <col min="1032" max="1032" width="18.33203125" style="271" customWidth="1"/>
    <col min="1033" max="1035" width="9.109375" style="271" customWidth="1"/>
    <col min="1036" max="1036" width="11.6640625" style="271" customWidth="1"/>
    <col min="1037" max="1037" width="13.109375" style="271" customWidth="1"/>
    <col min="1038" max="1040" width="12.109375" style="271" customWidth="1"/>
    <col min="1041" max="1041" width="27.33203125" style="271" customWidth="1"/>
    <col min="1042" max="1042" width="15" style="271" customWidth="1"/>
    <col min="1043" max="1043" width="39" style="271" bestFit="1" customWidth="1"/>
    <col min="1044" max="1044" width="22" style="271" customWidth="1"/>
    <col min="1045" max="1045" width="15.6640625" style="271" customWidth="1"/>
    <col min="1046" max="1239" width="9.109375" style="271"/>
    <col min="1240" max="1240" width="45.44140625" style="271" customWidth="1"/>
    <col min="1241" max="1241" width="16.5546875" style="271" customWidth="1"/>
    <col min="1242" max="1242" width="11.88671875" style="271" customWidth="1"/>
    <col min="1243" max="1270" width="9.109375" style="271" customWidth="1"/>
    <col min="1271" max="1273" width="13" style="271" customWidth="1"/>
    <col min="1274" max="1274" width="3.88671875" style="271" customWidth="1"/>
    <col min="1275" max="1275" width="12.33203125" style="271" customWidth="1"/>
    <col min="1276" max="1276" width="10.6640625" style="271" customWidth="1"/>
    <col min="1277" max="1286" width="11.6640625" style="271" customWidth="1"/>
    <col min="1287" max="1287" width="15" style="271" customWidth="1"/>
    <col min="1288" max="1288" width="18.33203125" style="271" customWidth="1"/>
    <col min="1289" max="1291" width="9.109375" style="271" customWidth="1"/>
    <col min="1292" max="1292" width="11.6640625" style="271" customWidth="1"/>
    <col min="1293" max="1293" width="13.109375" style="271" customWidth="1"/>
    <col min="1294" max="1296" width="12.109375" style="271" customWidth="1"/>
    <col min="1297" max="1297" width="27.33203125" style="271" customWidth="1"/>
    <col min="1298" max="1298" width="15" style="271" customWidth="1"/>
    <col min="1299" max="1299" width="39" style="271" bestFit="1" customWidth="1"/>
    <col min="1300" max="1300" width="22" style="271" customWidth="1"/>
    <col min="1301" max="1301" width="15.6640625" style="271" customWidth="1"/>
    <col min="1302" max="1495" width="9.109375" style="271"/>
    <col min="1496" max="1496" width="45.44140625" style="271" customWidth="1"/>
    <col min="1497" max="1497" width="16.5546875" style="271" customWidth="1"/>
    <col min="1498" max="1498" width="11.88671875" style="271" customWidth="1"/>
    <col min="1499" max="1526" width="9.109375" style="271" customWidth="1"/>
    <col min="1527" max="1529" width="13" style="271" customWidth="1"/>
    <col min="1530" max="1530" width="3.88671875" style="271" customWidth="1"/>
    <col min="1531" max="1531" width="12.33203125" style="271" customWidth="1"/>
    <col min="1532" max="1532" width="10.6640625" style="271" customWidth="1"/>
    <col min="1533" max="1542" width="11.6640625" style="271" customWidth="1"/>
    <col min="1543" max="1543" width="15" style="271" customWidth="1"/>
    <col min="1544" max="1544" width="18.33203125" style="271" customWidth="1"/>
    <col min="1545" max="1547" width="9.109375" style="271" customWidth="1"/>
    <col min="1548" max="1548" width="11.6640625" style="271" customWidth="1"/>
    <col min="1549" max="1549" width="13.109375" style="271" customWidth="1"/>
    <col min="1550" max="1552" width="12.109375" style="271" customWidth="1"/>
    <col min="1553" max="1553" width="27.33203125" style="271" customWidth="1"/>
    <col min="1554" max="1554" width="15" style="271" customWidth="1"/>
    <col min="1555" max="1555" width="39" style="271" bestFit="1" customWidth="1"/>
    <col min="1556" max="1556" width="22" style="271" customWidth="1"/>
    <col min="1557" max="1557" width="15.6640625" style="271" customWidth="1"/>
    <col min="1558" max="1751" width="9.109375" style="271"/>
    <col min="1752" max="1752" width="45.44140625" style="271" customWidth="1"/>
    <col min="1753" max="1753" width="16.5546875" style="271" customWidth="1"/>
    <col min="1754" max="1754" width="11.88671875" style="271" customWidth="1"/>
    <col min="1755" max="1782" width="9.109375" style="271" customWidth="1"/>
    <col min="1783" max="1785" width="13" style="271" customWidth="1"/>
    <col min="1786" max="1786" width="3.88671875" style="271" customWidth="1"/>
    <col min="1787" max="1787" width="12.33203125" style="271" customWidth="1"/>
    <col min="1788" max="1788" width="10.6640625" style="271" customWidth="1"/>
    <col min="1789" max="1798" width="11.6640625" style="271" customWidth="1"/>
    <col min="1799" max="1799" width="15" style="271" customWidth="1"/>
    <col min="1800" max="1800" width="18.33203125" style="271" customWidth="1"/>
    <col min="1801" max="1803" width="9.109375" style="271" customWidth="1"/>
    <col min="1804" max="1804" width="11.6640625" style="271" customWidth="1"/>
    <col min="1805" max="1805" width="13.109375" style="271" customWidth="1"/>
    <col min="1806" max="1808" width="12.109375" style="271" customWidth="1"/>
    <col min="1809" max="1809" width="27.33203125" style="271" customWidth="1"/>
    <col min="1810" max="1810" width="15" style="271" customWidth="1"/>
    <col min="1811" max="1811" width="39" style="271" bestFit="1" customWidth="1"/>
    <col min="1812" max="1812" width="22" style="271" customWidth="1"/>
    <col min="1813" max="1813" width="15.6640625" style="271" customWidth="1"/>
    <col min="1814" max="2007" width="9.109375" style="271"/>
    <col min="2008" max="2008" width="45.44140625" style="271" customWidth="1"/>
    <col min="2009" max="2009" width="16.5546875" style="271" customWidth="1"/>
    <col min="2010" max="2010" width="11.88671875" style="271" customWidth="1"/>
    <col min="2011" max="2038" width="9.109375" style="271" customWidth="1"/>
    <col min="2039" max="2041" width="13" style="271" customWidth="1"/>
    <col min="2042" max="2042" width="3.88671875" style="271" customWidth="1"/>
    <col min="2043" max="2043" width="12.33203125" style="271" customWidth="1"/>
    <col min="2044" max="2044" width="10.6640625" style="271" customWidth="1"/>
    <col min="2045" max="2054" width="11.6640625" style="271" customWidth="1"/>
    <col min="2055" max="2055" width="15" style="271" customWidth="1"/>
    <col min="2056" max="2056" width="18.33203125" style="271" customWidth="1"/>
    <col min="2057" max="2059" width="9.109375" style="271" customWidth="1"/>
    <col min="2060" max="2060" width="11.6640625" style="271" customWidth="1"/>
    <col min="2061" max="2061" width="13.109375" style="271" customWidth="1"/>
    <col min="2062" max="2064" width="12.109375" style="271" customWidth="1"/>
    <col min="2065" max="2065" width="27.33203125" style="271" customWidth="1"/>
    <col min="2066" max="2066" width="15" style="271" customWidth="1"/>
    <col min="2067" max="2067" width="39" style="271" bestFit="1" customWidth="1"/>
    <col min="2068" max="2068" width="22" style="271" customWidth="1"/>
    <col min="2069" max="2069" width="15.6640625" style="271" customWidth="1"/>
    <col min="2070" max="2263" width="9.109375" style="271"/>
    <col min="2264" max="2264" width="45.44140625" style="271" customWidth="1"/>
    <col min="2265" max="2265" width="16.5546875" style="271" customWidth="1"/>
    <col min="2266" max="2266" width="11.88671875" style="271" customWidth="1"/>
    <col min="2267" max="2294" width="9.109375" style="271" customWidth="1"/>
    <col min="2295" max="2297" width="13" style="271" customWidth="1"/>
    <col min="2298" max="2298" width="3.88671875" style="271" customWidth="1"/>
    <col min="2299" max="2299" width="12.33203125" style="271" customWidth="1"/>
    <col min="2300" max="2300" width="10.6640625" style="271" customWidth="1"/>
    <col min="2301" max="2310" width="11.6640625" style="271" customWidth="1"/>
    <col min="2311" max="2311" width="15" style="271" customWidth="1"/>
    <col min="2312" max="2312" width="18.33203125" style="271" customWidth="1"/>
    <col min="2313" max="2315" width="9.109375" style="271" customWidth="1"/>
    <col min="2316" max="2316" width="11.6640625" style="271" customWidth="1"/>
    <col min="2317" max="2317" width="13.109375" style="271" customWidth="1"/>
    <col min="2318" max="2320" width="12.109375" style="271" customWidth="1"/>
    <col min="2321" max="2321" width="27.33203125" style="271" customWidth="1"/>
    <col min="2322" max="2322" width="15" style="271" customWidth="1"/>
    <col min="2323" max="2323" width="39" style="271" bestFit="1" customWidth="1"/>
    <col min="2324" max="2324" width="22" style="271" customWidth="1"/>
    <col min="2325" max="2325" width="15.6640625" style="271" customWidth="1"/>
    <col min="2326" max="2519" width="9.109375" style="271"/>
    <col min="2520" max="2520" width="45.44140625" style="271" customWidth="1"/>
    <col min="2521" max="2521" width="16.5546875" style="271" customWidth="1"/>
    <col min="2522" max="2522" width="11.88671875" style="271" customWidth="1"/>
    <col min="2523" max="2550" width="9.109375" style="271" customWidth="1"/>
    <col min="2551" max="2553" width="13" style="271" customWidth="1"/>
    <col min="2554" max="2554" width="3.88671875" style="271" customWidth="1"/>
    <col min="2555" max="2555" width="12.33203125" style="271" customWidth="1"/>
    <col min="2556" max="2556" width="10.6640625" style="271" customWidth="1"/>
    <col min="2557" max="2566" width="11.6640625" style="271" customWidth="1"/>
    <col min="2567" max="2567" width="15" style="271" customWidth="1"/>
    <col min="2568" max="2568" width="18.33203125" style="271" customWidth="1"/>
    <col min="2569" max="2571" width="9.109375" style="271" customWidth="1"/>
    <col min="2572" max="2572" width="11.6640625" style="271" customWidth="1"/>
    <col min="2573" max="2573" width="13.109375" style="271" customWidth="1"/>
    <col min="2574" max="2576" width="12.109375" style="271" customWidth="1"/>
    <col min="2577" max="2577" width="27.33203125" style="271" customWidth="1"/>
    <col min="2578" max="2578" width="15" style="271" customWidth="1"/>
    <col min="2579" max="2579" width="39" style="271" bestFit="1" customWidth="1"/>
    <col min="2580" max="2580" width="22" style="271" customWidth="1"/>
    <col min="2581" max="2581" width="15.6640625" style="271" customWidth="1"/>
    <col min="2582" max="2775" width="9.109375" style="271"/>
    <col min="2776" max="2776" width="45.44140625" style="271" customWidth="1"/>
    <col min="2777" max="2777" width="16.5546875" style="271" customWidth="1"/>
    <col min="2778" max="2778" width="11.88671875" style="271" customWidth="1"/>
    <col min="2779" max="2806" width="9.109375" style="271" customWidth="1"/>
    <col min="2807" max="2809" width="13" style="271" customWidth="1"/>
    <col min="2810" max="2810" width="3.88671875" style="271" customWidth="1"/>
    <col min="2811" max="2811" width="12.33203125" style="271" customWidth="1"/>
    <col min="2812" max="2812" width="10.6640625" style="271" customWidth="1"/>
    <col min="2813" max="2822" width="11.6640625" style="271" customWidth="1"/>
    <col min="2823" max="2823" width="15" style="271" customWidth="1"/>
    <col min="2824" max="2824" width="18.33203125" style="271" customWidth="1"/>
    <col min="2825" max="2827" width="9.109375" style="271" customWidth="1"/>
    <col min="2828" max="2828" width="11.6640625" style="271" customWidth="1"/>
    <col min="2829" max="2829" width="13.109375" style="271" customWidth="1"/>
    <col min="2830" max="2832" width="12.109375" style="271" customWidth="1"/>
    <col min="2833" max="2833" width="27.33203125" style="271" customWidth="1"/>
    <col min="2834" max="2834" width="15" style="271" customWidth="1"/>
    <col min="2835" max="2835" width="39" style="271" bestFit="1" customWidth="1"/>
    <col min="2836" max="2836" width="22" style="271" customWidth="1"/>
    <col min="2837" max="2837" width="15.6640625" style="271" customWidth="1"/>
    <col min="2838" max="3031" width="9.109375" style="271"/>
    <col min="3032" max="3032" width="45.44140625" style="271" customWidth="1"/>
    <col min="3033" max="3033" width="16.5546875" style="271" customWidth="1"/>
    <col min="3034" max="3034" width="11.88671875" style="271" customWidth="1"/>
    <col min="3035" max="3062" width="9.109375" style="271" customWidth="1"/>
    <col min="3063" max="3065" width="13" style="271" customWidth="1"/>
    <col min="3066" max="3066" width="3.88671875" style="271" customWidth="1"/>
    <col min="3067" max="3067" width="12.33203125" style="271" customWidth="1"/>
    <col min="3068" max="3068" width="10.6640625" style="271" customWidth="1"/>
    <col min="3069" max="3078" width="11.6640625" style="271" customWidth="1"/>
    <col min="3079" max="3079" width="15" style="271" customWidth="1"/>
    <col min="3080" max="3080" width="18.33203125" style="271" customWidth="1"/>
    <col min="3081" max="3083" width="9.109375" style="271" customWidth="1"/>
    <col min="3084" max="3084" width="11.6640625" style="271" customWidth="1"/>
    <col min="3085" max="3085" width="13.109375" style="271" customWidth="1"/>
    <col min="3086" max="3088" width="12.109375" style="271" customWidth="1"/>
    <col min="3089" max="3089" width="27.33203125" style="271" customWidth="1"/>
    <col min="3090" max="3090" width="15" style="271" customWidth="1"/>
    <col min="3091" max="3091" width="39" style="271" bestFit="1" customWidth="1"/>
    <col min="3092" max="3092" width="22" style="271" customWidth="1"/>
    <col min="3093" max="3093" width="15.6640625" style="271" customWidth="1"/>
    <col min="3094" max="3287" width="9.109375" style="271"/>
    <col min="3288" max="3288" width="45.44140625" style="271" customWidth="1"/>
    <col min="3289" max="3289" width="16.5546875" style="271" customWidth="1"/>
    <col min="3290" max="3290" width="11.88671875" style="271" customWidth="1"/>
    <col min="3291" max="3318" width="9.109375" style="271" customWidth="1"/>
    <col min="3319" max="3321" width="13" style="271" customWidth="1"/>
    <col min="3322" max="3322" width="3.88671875" style="271" customWidth="1"/>
    <col min="3323" max="3323" width="12.33203125" style="271" customWidth="1"/>
    <col min="3324" max="3324" width="10.6640625" style="271" customWidth="1"/>
    <col min="3325" max="3334" width="11.6640625" style="271" customWidth="1"/>
    <col min="3335" max="3335" width="15" style="271" customWidth="1"/>
    <col min="3336" max="3336" width="18.33203125" style="271" customWidth="1"/>
    <col min="3337" max="3339" width="9.109375" style="271" customWidth="1"/>
    <col min="3340" max="3340" width="11.6640625" style="271" customWidth="1"/>
    <col min="3341" max="3341" width="13.109375" style="271" customWidth="1"/>
    <col min="3342" max="3344" width="12.109375" style="271" customWidth="1"/>
    <col min="3345" max="3345" width="27.33203125" style="271" customWidth="1"/>
    <col min="3346" max="3346" width="15" style="271" customWidth="1"/>
    <col min="3347" max="3347" width="39" style="271" bestFit="1" customWidth="1"/>
    <col min="3348" max="3348" width="22" style="271" customWidth="1"/>
    <col min="3349" max="3349" width="15.6640625" style="271" customWidth="1"/>
    <col min="3350" max="3543" width="9.109375" style="271"/>
    <col min="3544" max="3544" width="45.44140625" style="271" customWidth="1"/>
    <col min="3545" max="3545" width="16.5546875" style="271" customWidth="1"/>
    <col min="3546" max="3546" width="11.88671875" style="271" customWidth="1"/>
    <col min="3547" max="3574" width="9.109375" style="271" customWidth="1"/>
    <col min="3575" max="3577" width="13" style="271" customWidth="1"/>
    <col min="3578" max="3578" width="3.88671875" style="271" customWidth="1"/>
    <col min="3579" max="3579" width="12.33203125" style="271" customWidth="1"/>
    <col min="3580" max="3580" width="10.6640625" style="271" customWidth="1"/>
    <col min="3581" max="3590" width="11.6640625" style="271" customWidth="1"/>
    <col min="3591" max="3591" width="15" style="271" customWidth="1"/>
    <col min="3592" max="3592" width="18.33203125" style="271" customWidth="1"/>
    <col min="3593" max="3595" width="9.109375" style="271" customWidth="1"/>
    <col min="3596" max="3596" width="11.6640625" style="271" customWidth="1"/>
    <col min="3597" max="3597" width="13.109375" style="271" customWidth="1"/>
    <col min="3598" max="3600" width="12.109375" style="271" customWidth="1"/>
    <col min="3601" max="3601" width="27.33203125" style="271" customWidth="1"/>
    <col min="3602" max="3602" width="15" style="271" customWidth="1"/>
    <col min="3603" max="3603" width="39" style="271" bestFit="1" customWidth="1"/>
    <col min="3604" max="3604" width="22" style="271" customWidth="1"/>
    <col min="3605" max="3605" width="15.6640625" style="271" customWidth="1"/>
    <col min="3606" max="3799" width="9.109375" style="271"/>
    <col min="3800" max="3800" width="45.44140625" style="271" customWidth="1"/>
    <col min="3801" max="3801" width="16.5546875" style="271" customWidth="1"/>
    <col min="3802" max="3802" width="11.88671875" style="271" customWidth="1"/>
    <col min="3803" max="3830" width="9.109375" style="271" customWidth="1"/>
    <col min="3831" max="3833" width="13" style="271" customWidth="1"/>
    <col min="3834" max="3834" width="3.88671875" style="271" customWidth="1"/>
    <col min="3835" max="3835" width="12.33203125" style="271" customWidth="1"/>
    <col min="3836" max="3836" width="10.6640625" style="271" customWidth="1"/>
    <col min="3837" max="3846" width="11.6640625" style="271" customWidth="1"/>
    <col min="3847" max="3847" width="15" style="271" customWidth="1"/>
    <col min="3848" max="3848" width="18.33203125" style="271" customWidth="1"/>
    <col min="3849" max="3851" width="9.109375" style="271" customWidth="1"/>
    <col min="3852" max="3852" width="11.6640625" style="271" customWidth="1"/>
    <col min="3853" max="3853" width="13.109375" style="271" customWidth="1"/>
    <col min="3854" max="3856" width="12.109375" style="271" customWidth="1"/>
    <col min="3857" max="3857" width="27.33203125" style="271" customWidth="1"/>
    <col min="3858" max="3858" width="15" style="271" customWidth="1"/>
    <col min="3859" max="3859" width="39" style="271" bestFit="1" customWidth="1"/>
    <col min="3860" max="3860" width="22" style="271" customWidth="1"/>
    <col min="3861" max="3861" width="15.6640625" style="271" customWidth="1"/>
    <col min="3862" max="4055" width="9.109375" style="271"/>
    <col min="4056" max="4056" width="45.44140625" style="271" customWidth="1"/>
    <col min="4057" max="4057" width="16.5546875" style="271" customWidth="1"/>
    <col min="4058" max="4058" width="11.88671875" style="271" customWidth="1"/>
    <col min="4059" max="4086" width="9.109375" style="271" customWidth="1"/>
    <col min="4087" max="4089" width="13" style="271" customWidth="1"/>
    <col min="4090" max="4090" width="3.88671875" style="271" customWidth="1"/>
    <col min="4091" max="4091" width="12.33203125" style="271" customWidth="1"/>
    <col min="4092" max="4092" width="10.6640625" style="271" customWidth="1"/>
    <col min="4093" max="4102" width="11.6640625" style="271" customWidth="1"/>
    <col min="4103" max="4103" width="15" style="271" customWidth="1"/>
    <col min="4104" max="4104" width="18.33203125" style="271" customWidth="1"/>
    <col min="4105" max="4107" width="9.109375" style="271" customWidth="1"/>
    <col min="4108" max="4108" width="11.6640625" style="271" customWidth="1"/>
    <col min="4109" max="4109" width="13.109375" style="271" customWidth="1"/>
    <col min="4110" max="4112" width="12.109375" style="271" customWidth="1"/>
    <col min="4113" max="4113" width="27.33203125" style="271" customWidth="1"/>
    <col min="4114" max="4114" width="15" style="271" customWidth="1"/>
    <col min="4115" max="4115" width="39" style="271" bestFit="1" customWidth="1"/>
    <col min="4116" max="4116" width="22" style="271" customWidth="1"/>
    <col min="4117" max="4117" width="15.6640625" style="271" customWidth="1"/>
    <col min="4118" max="4311" width="9.109375" style="271"/>
    <col min="4312" max="4312" width="45.44140625" style="271" customWidth="1"/>
    <col min="4313" max="4313" width="16.5546875" style="271" customWidth="1"/>
    <col min="4314" max="4314" width="11.88671875" style="271" customWidth="1"/>
    <col min="4315" max="4342" width="9.109375" style="271" customWidth="1"/>
    <col min="4343" max="4345" width="13" style="271" customWidth="1"/>
    <col min="4346" max="4346" width="3.88671875" style="271" customWidth="1"/>
    <col min="4347" max="4347" width="12.33203125" style="271" customWidth="1"/>
    <col min="4348" max="4348" width="10.6640625" style="271" customWidth="1"/>
    <col min="4349" max="4358" width="11.6640625" style="271" customWidth="1"/>
    <col min="4359" max="4359" width="15" style="271" customWidth="1"/>
    <col min="4360" max="4360" width="18.33203125" style="271" customWidth="1"/>
    <col min="4361" max="4363" width="9.109375" style="271" customWidth="1"/>
    <col min="4364" max="4364" width="11.6640625" style="271" customWidth="1"/>
    <col min="4365" max="4365" width="13.109375" style="271" customWidth="1"/>
    <col min="4366" max="4368" width="12.109375" style="271" customWidth="1"/>
    <col min="4369" max="4369" width="27.33203125" style="271" customWidth="1"/>
    <col min="4370" max="4370" width="15" style="271" customWidth="1"/>
    <col min="4371" max="4371" width="39" style="271" bestFit="1" customWidth="1"/>
    <col min="4372" max="4372" width="22" style="271" customWidth="1"/>
    <col min="4373" max="4373" width="15.6640625" style="271" customWidth="1"/>
    <col min="4374" max="4567" width="9.109375" style="271"/>
    <col min="4568" max="4568" width="45.44140625" style="271" customWidth="1"/>
    <col min="4569" max="4569" width="16.5546875" style="271" customWidth="1"/>
    <col min="4570" max="4570" width="11.88671875" style="271" customWidth="1"/>
    <col min="4571" max="4598" width="9.109375" style="271" customWidth="1"/>
    <col min="4599" max="4601" width="13" style="271" customWidth="1"/>
    <col min="4602" max="4602" width="3.88671875" style="271" customWidth="1"/>
    <col min="4603" max="4603" width="12.33203125" style="271" customWidth="1"/>
    <col min="4604" max="4604" width="10.6640625" style="271" customWidth="1"/>
    <col min="4605" max="4614" width="11.6640625" style="271" customWidth="1"/>
    <col min="4615" max="4615" width="15" style="271" customWidth="1"/>
    <col min="4616" max="4616" width="18.33203125" style="271" customWidth="1"/>
    <col min="4617" max="4619" width="9.109375" style="271" customWidth="1"/>
    <col min="4620" max="4620" width="11.6640625" style="271" customWidth="1"/>
    <col min="4621" max="4621" width="13.109375" style="271" customWidth="1"/>
    <col min="4622" max="4624" width="12.109375" style="271" customWidth="1"/>
    <col min="4625" max="4625" width="27.33203125" style="271" customWidth="1"/>
    <col min="4626" max="4626" width="15" style="271" customWidth="1"/>
    <col min="4627" max="4627" width="39" style="271" bestFit="1" customWidth="1"/>
    <col min="4628" max="4628" width="22" style="271" customWidth="1"/>
    <col min="4629" max="4629" width="15.6640625" style="271" customWidth="1"/>
    <col min="4630" max="4823" width="9.109375" style="271"/>
    <col min="4824" max="4824" width="45.44140625" style="271" customWidth="1"/>
    <col min="4825" max="4825" width="16.5546875" style="271" customWidth="1"/>
    <col min="4826" max="4826" width="11.88671875" style="271" customWidth="1"/>
    <col min="4827" max="4854" width="9.109375" style="271" customWidth="1"/>
    <col min="4855" max="4857" width="13" style="271" customWidth="1"/>
    <col min="4858" max="4858" width="3.88671875" style="271" customWidth="1"/>
    <col min="4859" max="4859" width="12.33203125" style="271" customWidth="1"/>
    <col min="4860" max="4860" width="10.6640625" style="271" customWidth="1"/>
    <col min="4861" max="4870" width="11.6640625" style="271" customWidth="1"/>
    <col min="4871" max="4871" width="15" style="271" customWidth="1"/>
    <col min="4872" max="4872" width="18.33203125" style="271" customWidth="1"/>
    <col min="4873" max="4875" width="9.109375" style="271" customWidth="1"/>
    <col min="4876" max="4876" width="11.6640625" style="271" customWidth="1"/>
    <col min="4877" max="4877" width="13.109375" style="271" customWidth="1"/>
    <col min="4878" max="4880" width="12.109375" style="271" customWidth="1"/>
    <col min="4881" max="4881" width="27.33203125" style="271" customWidth="1"/>
    <col min="4882" max="4882" width="15" style="271" customWidth="1"/>
    <col min="4883" max="4883" width="39" style="271" bestFit="1" customWidth="1"/>
    <col min="4884" max="4884" width="22" style="271" customWidth="1"/>
    <col min="4885" max="4885" width="15.6640625" style="271" customWidth="1"/>
    <col min="4886" max="5079" width="9.109375" style="271"/>
    <col min="5080" max="5080" width="45.44140625" style="271" customWidth="1"/>
    <col min="5081" max="5081" width="16.5546875" style="271" customWidth="1"/>
    <col min="5082" max="5082" width="11.88671875" style="271" customWidth="1"/>
    <col min="5083" max="5110" width="9.109375" style="271" customWidth="1"/>
    <col min="5111" max="5113" width="13" style="271" customWidth="1"/>
    <col min="5114" max="5114" width="3.88671875" style="271" customWidth="1"/>
    <col min="5115" max="5115" width="12.33203125" style="271" customWidth="1"/>
    <col min="5116" max="5116" width="10.6640625" style="271" customWidth="1"/>
    <col min="5117" max="5126" width="11.6640625" style="271" customWidth="1"/>
    <col min="5127" max="5127" width="15" style="271" customWidth="1"/>
    <col min="5128" max="5128" width="18.33203125" style="271" customWidth="1"/>
    <col min="5129" max="5131" width="9.109375" style="271" customWidth="1"/>
    <col min="5132" max="5132" width="11.6640625" style="271" customWidth="1"/>
    <col min="5133" max="5133" width="13.109375" style="271" customWidth="1"/>
    <col min="5134" max="5136" width="12.109375" style="271" customWidth="1"/>
    <col min="5137" max="5137" width="27.33203125" style="271" customWidth="1"/>
    <col min="5138" max="5138" width="15" style="271" customWidth="1"/>
    <col min="5139" max="5139" width="39" style="271" bestFit="1" customWidth="1"/>
    <col min="5140" max="5140" width="22" style="271" customWidth="1"/>
    <col min="5141" max="5141" width="15.6640625" style="271" customWidth="1"/>
    <col min="5142" max="5335" width="9.109375" style="271"/>
    <col min="5336" max="5336" width="45.44140625" style="271" customWidth="1"/>
    <col min="5337" max="5337" width="16.5546875" style="271" customWidth="1"/>
    <col min="5338" max="5338" width="11.88671875" style="271" customWidth="1"/>
    <col min="5339" max="5366" width="9.109375" style="271" customWidth="1"/>
    <col min="5367" max="5369" width="13" style="271" customWidth="1"/>
    <col min="5370" max="5370" width="3.88671875" style="271" customWidth="1"/>
    <col min="5371" max="5371" width="12.33203125" style="271" customWidth="1"/>
    <col min="5372" max="5372" width="10.6640625" style="271" customWidth="1"/>
    <col min="5373" max="5382" width="11.6640625" style="271" customWidth="1"/>
    <col min="5383" max="5383" width="15" style="271" customWidth="1"/>
    <col min="5384" max="5384" width="18.33203125" style="271" customWidth="1"/>
    <col min="5385" max="5387" width="9.109375" style="271" customWidth="1"/>
    <col min="5388" max="5388" width="11.6640625" style="271" customWidth="1"/>
    <col min="5389" max="5389" width="13.109375" style="271" customWidth="1"/>
    <col min="5390" max="5392" width="12.109375" style="271" customWidth="1"/>
    <col min="5393" max="5393" width="27.33203125" style="271" customWidth="1"/>
    <col min="5394" max="5394" width="15" style="271" customWidth="1"/>
    <col min="5395" max="5395" width="39" style="271" bestFit="1" customWidth="1"/>
    <col min="5396" max="5396" width="22" style="271" customWidth="1"/>
    <col min="5397" max="5397" width="15.6640625" style="271" customWidth="1"/>
    <col min="5398" max="5591" width="9.109375" style="271"/>
    <col min="5592" max="5592" width="45.44140625" style="271" customWidth="1"/>
    <col min="5593" max="5593" width="16.5546875" style="271" customWidth="1"/>
    <col min="5594" max="5594" width="11.88671875" style="271" customWidth="1"/>
    <col min="5595" max="5622" width="9.109375" style="271" customWidth="1"/>
    <col min="5623" max="5625" width="13" style="271" customWidth="1"/>
    <col min="5626" max="5626" width="3.88671875" style="271" customWidth="1"/>
    <col min="5627" max="5627" width="12.33203125" style="271" customWidth="1"/>
    <col min="5628" max="5628" width="10.6640625" style="271" customWidth="1"/>
    <col min="5629" max="5638" width="11.6640625" style="271" customWidth="1"/>
    <col min="5639" max="5639" width="15" style="271" customWidth="1"/>
    <col min="5640" max="5640" width="18.33203125" style="271" customWidth="1"/>
    <col min="5641" max="5643" width="9.109375" style="271" customWidth="1"/>
    <col min="5644" max="5644" width="11.6640625" style="271" customWidth="1"/>
    <col min="5645" max="5645" width="13.109375" style="271" customWidth="1"/>
    <col min="5646" max="5648" width="12.109375" style="271" customWidth="1"/>
    <col min="5649" max="5649" width="27.33203125" style="271" customWidth="1"/>
    <col min="5650" max="5650" width="15" style="271" customWidth="1"/>
    <col min="5651" max="5651" width="39" style="271" bestFit="1" customWidth="1"/>
    <col min="5652" max="5652" width="22" style="271" customWidth="1"/>
    <col min="5653" max="5653" width="15.6640625" style="271" customWidth="1"/>
    <col min="5654" max="5847" width="9.109375" style="271"/>
    <col min="5848" max="5848" width="45.44140625" style="271" customWidth="1"/>
    <col min="5849" max="5849" width="16.5546875" style="271" customWidth="1"/>
    <col min="5850" max="5850" width="11.88671875" style="271" customWidth="1"/>
    <col min="5851" max="5878" width="9.109375" style="271" customWidth="1"/>
    <col min="5879" max="5881" width="13" style="271" customWidth="1"/>
    <col min="5882" max="5882" width="3.88671875" style="271" customWidth="1"/>
    <col min="5883" max="5883" width="12.33203125" style="271" customWidth="1"/>
    <col min="5884" max="5884" width="10.6640625" style="271" customWidth="1"/>
    <col min="5885" max="5894" width="11.6640625" style="271" customWidth="1"/>
    <col min="5895" max="5895" width="15" style="271" customWidth="1"/>
    <col min="5896" max="5896" width="18.33203125" style="271" customWidth="1"/>
    <col min="5897" max="5899" width="9.109375" style="271" customWidth="1"/>
    <col min="5900" max="5900" width="11.6640625" style="271" customWidth="1"/>
    <col min="5901" max="5901" width="13.109375" style="271" customWidth="1"/>
    <col min="5902" max="5904" width="12.109375" style="271" customWidth="1"/>
    <col min="5905" max="5905" width="27.33203125" style="271" customWidth="1"/>
    <col min="5906" max="5906" width="15" style="271" customWidth="1"/>
    <col min="5907" max="5907" width="39" style="271" bestFit="1" customWidth="1"/>
    <col min="5908" max="5908" width="22" style="271" customWidth="1"/>
    <col min="5909" max="5909" width="15.6640625" style="271" customWidth="1"/>
    <col min="5910" max="6103" width="9.109375" style="271"/>
    <col min="6104" max="6104" width="45.44140625" style="271" customWidth="1"/>
    <col min="6105" max="6105" width="16.5546875" style="271" customWidth="1"/>
    <col min="6106" max="6106" width="11.88671875" style="271" customWidth="1"/>
    <col min="6107" max="6134" width="9.109375" style="271" customWidth="1"/>
    <col min="6135" max="6137" width="13" style="271" customWidth="1"/>
    <col min="6138" max="6138" width="3.88671875" style="271" customWidth="1"/>
    <col min="6139" max="6139" width="12.33203125" style="271" customWidth="1"/>
    <col min="6140" max="6140" width="10.6640625" style="271" customWidth="1"/>
    <col min="6141" max="6150" width="11.6640625" style="271" customWidth="1"/>
    <col min="6151" max="6151" width="15" style="271" customWidth="1"/>
    <col min="6152" max="6152" width="18.33203125" style="271" customWidth="1"/>
    <col min="6153" max="6155" width="9.109375" style="271" customWidth="1"/>
    <col min="6156" max="6156" width="11.6640625" style="271" customWidth="1"/>
    <col min="6157" max="6157" width="13.109375" style="271" customWidth="1"/>
    <col min="6158" max="6160" width="12.109375" style="271" customWidth="1"/>
    <col min="6161" max="6161" width="27.33203125" style="271" customWidth="1"/>
    <col min="6162" max="6162" width="15" style="271" customWidth="1"/>
    <col min="6163" max="6163" width="39" style="271" bestFit="1" customWidth="1"/>
    <col min="6164" max="6164" width="22" style="271" customWidth="1"/>
    <col min="6165" max="6165" width="15.6640625" style="271" customWidth="1"/>
    <col min="6166" max="6359" width="9.109375" style="271"/>
    <col min="6360" max="6360" width="45.44140625" style="271" customWidth="1"/>
    <col min="6361" max="6361" width="16.5546875" style="271" customWidth="1"/>
    <col min="6362" max="6362" width="11.88671875" style="271" customWidth="1"/>
    <col min="6363" max="6390" width="9.109375" style="271" customWidth="1"/>
    <col min="6391" max="6393" width="13" style="271" customWidth="1"/>
    <col min="6394" max="6394" width="3.88671875" style="271" customWidth="1"/>
    <col min="6395" max="6395" width="12.33203125" style="271" customWidth="1"/>
    <col min="6396" max="6396" width="10.6640625" style="271" customWidth="1"/>
    <col min="6397" max="6406" width="11.6640625" style="271" customWidth="1"/>
    <col min="6407" max="6407" width="15" style="271" customWidth="1"/>
    <col min="6408" max="6408" width="18.33203125" style="271" customWidth="1"/>
    <col min="6409" max="6411" width="9.109375" style="271" customWidth="1"/>
    <col min="6412" max="6412" width="11.6640625" style="271" customWidth="1"/>
    <col min="6413" max="6413" width="13.109375" style="271" customWidth="1"/>
    <col min="6414" max="6416" width="12.109375" style="271" customWidth="1"/>
    <col min="6417" max="6417" width="27.33203125" style="271" customWidth="1"/>
    <col min="6418" max="6418" width="15" style="271" customWidth="1"/>
    <col min="6419" max="6419" width="39" style="271" bestFit="1" customWidth="1"/>
    <col min="6420" max="6420" width="22" style="271" customWidth="1"/>
    <col min="6421" max="6421" width="15.6640625" style="271" customWidth="1"/>
    <col min="6422" max="6615" width="9.109375" style="271"/>
    <col min="6616" max="6616" width="45.44140625" style="271" customWidth="1"/>
    <col min="6617" max="6617" width="16.5546875" style="271" customWidth="1"/>
    <col min="6618" max="6618" width="11.88671875" style="271" customWidth="1"/>
    <col min="6619" max="6646" width="9.109375" style="271" customWidth="1"/>
    <col min="6647" max="6649" width="13" style="271" customWidth="1"/>
    <col min="6650" max="6650" width="3.88671875" style="271" customWidth="1"/>
    <col min="6651" max="6651" width="12.33203125" style="271" customWidth="1"/>
    <col min="6652" max="6652" width="10.6640625" style="271" customWidth="1"/>
    <col min="6653" max="6662" width="11.6640625" style="271" customWidth="1"/>
    <col min="6663" max="6663" width="15" style="271" customWidth="1"/>
    <col min="6664" max="6664" width="18.33203125" style="271" customWidth="1"/>
    <col min="6665" max="6667" width="9.109375" style="271" customWidth="1"/>
    <col min="6668" max="6668" width="11.6640625" style="271" customWidth="1"/>
    <col min="6669" max="6669" width="13.109375" style="271" customWidth="1"/>
    <col min="6670" max="6672" width="12.109375" style="271" customWidth="1"/>
    <col min="6673" max="6673" width="27.33203125" style="271" customWidth="1"/>
    <col min="6674" max="6674" width="15" style="271" customWidth="1"/>
    <col min="6675" max="6675" width="39" style="271" bestFit="1" customWidth="1"/>
    <col min="6676" max="6676" width="22" style="271" customWidth="1"/>
    <col min="6677" max="6677" width="15.6640625" style="271" customWidth="1"/>
    <col min="6678" max="6871" width="9.109375" style="271"/>
    <col min="6872" max="6872" width="45.44140625" style="271" customWidth="1"/>
    <col min="6873" max="6873" width="16.5546875" style="271" customWidth="1"/>
    <col min="6874" max="6874" width="11.88671875" style="271" customWidth="1"/>
    <col min="6875" max="6902" width="9.109375" style="271" customWidth="1"/>
    <col min="6903" max="6905" width="13" style="271" customWidth="1"/>
    <col min="6906" max="6906" width="3.88671875" style="271" customWidth="1"/>
    <col min="6907" max="6907" width="12.33203125" style="271" customWidth="1"/>
    <col min="6908" max="6908" width="10.6640625" style="271" customWidth="1"/>
    <col min="6909" max="6918" width="11.6640625" style="271" customWidth="1"/>
    <col min="6919" max="6919" width="15" style="271" customWidth="1"/>
    <col min="6920" max="6920" width="18.33203125" style="271" customWidth="1"/>
    <col min="6921" max="6923" width="9.109375" style="271" customWidth="1"/>
    <col min="6924" max="6924" width="11.6640625" style="271" customWidth="1"/>
    <col min="6925" max="6925" width="13.109375" style="271" customWidth="1"/>
    <col min="6926" max="6928" width="12.109375" style="271" customWidth="1"/>
    <col min="6929" max="6929" width="27.33203125" style="271" customWidth="1"/>
    <col min="6930" max="6930" width="15" style="271" customWidth="1"/>
    <col min="6931" max="6931" width="39" style="271" bestFit="1" customWidth="1"/>
    <col min="6932" max="6932" width="22" style="271" customWidth="1"/>
    <col min="6933" max="6933" width="15.6640625" style="271" customWidth="1"/>
    <col min="6934" max="7127" width="9.109375" style="271"/>
    <col min="7128" max="7128" width="45.44140625" style="271" customWidth="1"/>
    <col min="7129" max="7129" width="16.5546875" style="271" customWidth="1"/>
    <col min="7130" max="7130" width="11.88671875" style="271" customWidth="1"/>
    <col min="7131" max="7158" width="9.109375" style="271" customWidth="1"/>
    <col min="7159" max="7161" width="13" style="271" customWidth="1"/>
    <col min="7162" max="7162" width="3.88671875" style="271" customWidth="1"/>
    <col min="7163" max="7163" width="12.33203125" style="271" customWidth="1"/>
    <col min="7164" max="7164" width="10.6640625" style="271" customWidth="1"/>
    <col min="7165" max="7174" width="11.6640625" style="271" customWidth="1"/>
    <col min="7175" max="7175" width="15" style="271" customWidth="1"/>
    <col min="7176" max="7176" width="18.33203125" style="271" customWidth="1"/>
    <col min="7177" max="7179" width="9.109375" style="271" customWidth="1"/>
    <col min="7180" max="7180" width="11.6640625" style="271" customWidth="1"/>
    <col min="7181" max="7181" width="13.109375" style="271" customWidth="1"/>
    <col min="7182" max="7184" width="12.109375" style="271" customWidth="1"/>
    <col min="7185" max="7185" width="27.33203125" style="271" customWidth="1"/>
    <col min="7186" max="7186" width="15" style="271" customWidth="1"/>
    <col min="7187" max="7187" width="39" style="271" bestFit="1" customWidth="1"/>
    <col min="7188" max="7188" width="22" style="271" customWidth="1"/>
    <col min="7189" max="7189" width="15.6640625" style="271" customWidth="1"/>
    <col min="7190" max="7383" width="9.109375" style="271"/>
    <col min="7384" max="7384" width="45.44140625" style="271" customWidth="1"/>
    <col min="7385" max="7385" width="16.5546875" style="271" customWidth="1"/>
    <col min="7386" max="7386" width="11.88671875" style="271" customWidth="1"/>
    <col min="7387" max="7414" width="9.109375" style="271" customWidth="1"/>
    <col min="7415" max="7417" width="13" style="271" customWidth="1"/>
    <col min="7418" max="7418" width="3.88671875" style="271" customWidth="1"/>
    <col min="7419" max="7419" width="12.33203125" style="271" customWidth="1"/>
    <col min="7420" max="7420" width="10.6640625" style="271" customWidth="1"/>
    <col min="7421" max="7430" width="11.6640625" style="271" customWidth="1"/>
    <col min="7431" max="7431" width="15" style="271" customWidth="1"/>
    <col min="7432" max="7432" width="18.33203125" style="271" customWidth="1"/>
    <col min="7433" max="7435" width="9.109375" style="271" customWidth="1"/>
    <col min="7436" max="7436" width="11.6640625" style="271" customWidth="1"/>
    <col min="7437" max="7437" width="13.109375" style="271" customWidth="1"/>
    <col min="7438" max="7440" width="12.109375" style="271" customWidth="1"/>
    <col min="7441" max="7441" width="27.33203125" style="271" customWidth="1"/>
    <col min="7442" max="7442" width="15" style="271" customWidth="1"/>
    <col min="7443" max="7443" width="39" style="271" bestFit="1" customWidth="1"/>
    <col min="7444" max="7444" width="22" style="271" customWidth="1"/>
    <col min="7445" max="7445" width="15.6640625" style="271" customWidth="1"/>
    <col min="7446" max="7639" width="9.109375" style="271"/>
    <col min="7640" max="7640" width="45.44140625" style="271" customWidth="1"/>
    <col min="7641" max="7641" width="16.5546875" style="271" customWidth="1"/>
    <col min="7642" max="7642" width="11.88671875" style="271" customWidth="1"/>
    <col min="7643" max="7670" width="9.109375" style="271" customWidth="1"/>
    <col min="7671" max="7673" width="13" style="271" customWidth="1"/>
    <col min="7674" max="7674" width="3.88671875" style="271" customWidth="1"/>
    <col min="7675" max="7675" width="12.33203125" style="271" customWidth="1"/>
    <col min="7676" max="7676" width="10.6640625" style="271" customWidth="1"/>
    <col min="7677" max="7686" width="11.6640625" style="271" customWidth="1"/>
    <col min="7687" max="7687" width="15" style="271" customWidth="1"/>
    <col min="7688" max="7688" width="18.33203125" style="271" customWidth="1"/>
    <col min="7689" max="7691" width="9.109375" style="271" customWidth="1"/>
    <col min="7692" max="7692" width="11.6640625" style="271" customWidth="1"/>
    <col min="7693" max="7693" width="13.109375" style="271" customWidth="1"/>
    <col min="7694" max="7696" width="12.109375" style="271" customWidth="1"/>
    <col min="7697" max="7697" width="27.33203125" style="271" customWidth="1"/>
    <col min="7698" max="7698" width="15" style="271" customWidth="1"/>
    <col min="7699" max="7699" width="39" style="271" bestFit="1" customWidth="1"/>
    <col min="7700" max="7700" width="22" style="271" customWidth="1"/>
    <col min="7701" max="7701" width="15.6640625" style="271" customWidth="1"/>
    <col min="7702" max="7895" width="9.109375" style="271"/>
    <col min="7896" max="7896" width="45.44140625" style="271" customWidth="1"/>
    <col min="7897" max="7897" width="16.5546875" style="271" customWidth="1"/>
    <col min="7898" max="7898" width="11.88671875" style="271" customWidth="1"/>
    <col min="7899" max="7926" width="9.109375" style="271" customWidth="1"/>
    <col min="7927" max="7929" width="13" style="271" customWidth="1"/>
    <col min="7930" max="7930" width="3.88671875" style="271" customWidth="1"/>
    <col min="7931" max="7931" width="12.33203125" style="271" customWidth="1"/>
    <col min="7932" max="7932" width="10.6640625" style="271" customWidth="1"/>
    <col min="7933" max="7942" width="11.6640625" style="271" customWidth="1"/>
    <col min="7943" max="7943" width="15" style="271" customWidth="1"/>
    <col min="7944" max="7944" width="18.33203125" style="271" customWidth="1"/>
    <col min="7945" max="7947" width="9.109375" style="271" customWidth="1"/>
    <col min="7948" max="7948" width="11.6640625" style="271" customWidth="1"/>
    <col min="7949" max="7949" width="13.109375" style="271" customWidth="1"/>
    <col min="7950" max="7952" width="12.109375" style="271" customWidth="1"/>
    <col min="7953" max="7953" width="27.33203125" style="271" customWidth="1"/>
    <col min="7954" max="7954" width="15" style="271" customWidth="1"/>
    <col min="7955" max="7955" width="39" style="271" bestFit="1" customWidth="1"/>
    <col min="7956" max="7956" width="22" style="271" customWidth="1"/>
    <col min="7957" max="7957" width="15.6640625" style="271" customWidth="1"/>
    <col min="7958" max="8151" width="9.109375" style="271"/>
    <col min="8152" max="8152" width="45.44140625" style="271" customWidth="1"/>
    <col min="8153" max="8153" width="16.5546875" style="271" customWidth="1"/>
    <col min="8154" max="8154" width="11.88671875" style="271" customWidth="1"/>
    <col min="8155" max="8182" width="9.109375" style="271" customWidth="1"/>
    <col min="8183" max="8185" width="13" style="271" customWidth="1"/>
    <col min="8186" max="8186" width="3.88671875" style="271" customWidth="1"/>
    <col min="8187" max="8187" width="12.33203125" style="271" customWidth="1"/>
    <col min="8188" max="8188" width="10.6640625" style="271" customWidth="1"/>
    <col min="8189" max="8198" width="11.6640625" style="271" customWidth="1"/>
    <col min="8199" max="8199" width="15" style="271" customWidth="1"/>
    <col min="8200" max="8200" width="18.33203125" style="271" customWidth="1"/>
    <col min="8201" max="8203" width="9.109375" style="271" customWidth="1"/>
    <col min="8204" max="8204" width="11.6640625" style="271" customWidth="1"/>
    <col min="8205" max="8205" width="13.109375" style="271" customWidth="1"/>
    <col min="8206" max="8208" width="12.109375" style="271" customWidth="1"/>
    <col min="8209" max="8209" width="27.33203125" style="271" customWidth="1"/>
    <col min="8210" max="8210" width="15" style="271" customWidth="1"/>
    <col min="8211" max="8211" width="39" style="271" bestFit="1" customWidth="1"/>
    <col min="8212" max="8212" width="22" style="271" customWidth="1"/>
    <col min="8213" max="8213" width="15.6640625" style="271" customWidth="1"/>
    <col min="8214" max="8407" width="9.109375" style="271"/>
    <col min="8408" max="8408" width="45.44140625" style="271" customWidth="1"/>
    <col min="8409" max="8409" width="16.5546875" style="271" customWidth="1"/>
    <col min="8410" max="8410" width="11.88671875" style="271" customWidth="1"/>
    <col min="8411" max="8438" width="9.109375" style="271" customWidth="1"/>
    <col min="8439" max="8441" width="13" style="271" customWidth="1"/>
    <col min="8442" max="8442" width="3.88671875" style="271" customWidth="1"/>
    <col min="8443" max="8443" width="12.33203125" style="271" customWidth="1"/>
    <col min="8444" max="8444" width="10.6640625" style="271" customWidth="1"/>
    <col min="8445" max="8454" width="11.6640625" style="271" customWidth="1"/>
    <col min="8455" max="8455" width="15" style="271" customWidth="1"/>
    <col min="8456" max="8456" width="18.33203125" style="271" customWidth="1"/>
    <col min="8457" max="8459" width="9.109375" style="271" customWidth="1"/>
    <col min="8460" max="8460" width="11.6640625" style="271" customWidth="1"/>
    <col min="8461" max="8461" width="13.109375" style="271" customWidth="1"/>
    <col min="8462" max="8464" width="12.109375" style="271" customWidth="1"/>
    <col min="8465" max="8465" width="27.33203125" style="271" customWidth="1"/>
    <col min="8466" max="8466" width="15" style="271" customWidth="1"/>
    <col min="8467" max="8467" width="39" style="271" bestFit="1" customWidth="1"/>
    <col min="8468" max="8468" width="22" style="271" customWidth="1"/>
    <col min="8469" max="8469" width="15.6640625" style="271" customWidth="1"/>
    <col min="8470" max="8663" width="9.109375" style="271"/>
    <col min="8664" max="8664" width="45.44140625" style="271" customWidth="1"/>
    <col min="8665" max="8665" width="16.5546875" style="271" customWidth="1"/>
    <col min="8666" max="8666" width="11.88671875" style="271" customWidth="1"/>
    <col min="8667" max="8694" width="9.109375" style="271" customWidth="1"/>
    <col min="8695" max="8697" width="13" style="271" customWidth="1"/>
    <col min="8698" max="8698" width="3.88671875" style="271" customWidth="1"/>
    <col min="8699" max="8699" width="12.33203125" style="271" customWidth="1"/>
    <col min="8700" max="8700" width="10.6640625" style="271" customWidth="1"/>
    <col min="8701" max="8710" width="11.6640625" style="271" customWidth="1"/>
    <col min="8711" max="8711" width="15" style="271" customWidth="1"/>
    <col min="8712" max="8712" width="18.33203125" style="271" customWidth="1"/>
    <col min="8713" max="8715" width="9.109375" style="271" customWidth="1"/>
    <col min="8716" max="8716" width="11.6640625" style="271" customWidth="1"/>
    <col min="8717" max="8717" width="13.109375" style="271" customWidth="1"/>
    <col min="8718" max="8720" width="12.109375" style="271" customWidth="1"/>
    <col min="8721" max="8721" width="27.33203125" style="271" customWidth="1"/>
    <col min="8722" max="8722" width="15" style="271" customWidth="1"/>
    <col min="8723" max="8723" width="39" style="271" bestFit="1" customWidth="1"/>
    <col min="8724" max="8724" width="22" style="271" customWidth="1"/>
    <col min="8725" max="8725" width="15.6640625" style="271" customWidth="1"/>
    <col min="8726" max="8919" width="9.109375" style="271"/>
    <col min="8920" max="8920" width="45.44140625" style="271" customWidth="1"/>
    <col min="8921" max="8921" width="16.5546875" style="271" customWidth="1"/>
    <col min="8922" max="8922" width="11.88671875" style="271" customWidth="1"/>
    <col min="8923" max="8950" width="9.109375" style="271" customWidth="1"/>
    <col min="8951" max="8953" width="13" style="271" customWidth="1"/>
    <col min="8954" max="8954" width="3.88671875" style="271" customWidth="1"/>
    <col min="8955" max="8955" width="12.33203125" style="271" customWidth="1"/>
    <col min="8956" max="8956" width="10.6640625" style="271" customWidth="1"/>
    <col min="8957" max="8966" width="11.6640625" style="271" customWidth="1"/>
    <col min="8967" max="8967" width="15" style="271" customWidth="1"/>
    <col min="8968" max="8968" width="18.33203125" style="271" customWidth="1"/>
    <col min="8969" max="8971" width="9.109375" style="271" customWidth="1"/>
    <col min="8972" max="8972" width="11.6640625" style="271" customWidth="1"/>
    <col min="8973" max="8973" width="13.109375" style="271" customWidth="1"/>
    <col min="8974" max="8976" width="12.109375" style="271" customWidth="1"/>
    <col min="8977" max="8977" width="27.33203125" style="271" customWidth="1"/>
    <col min="8978" max="8978" width="15" style="271" customWidth="1"/>
    <col min="8979" max="8979" width="39" style="271" bestFit="1" customWidth="1"/>
    <col min="8980" max="8980" width="22" style="271" customWidth="1"/>
    <col min="8981" max="8981" width="15.6640625" style="271" customWidth="1"/>
    <col min="8982" max="9175" width="9.109375" style="271"/>
    <col min="9176" max="9176" width="45.44140625" style="271" customWidth="1"/>
    <col min="9177" max="9177" width="16.5546875" style="271" customWidth="1"/>
    <col min="9178" max="9178" width="11.88671875" style="271" customWidth="1"/>
    <col min="9179" max="9206" width="9.109375" style="271" customWidth="1"/>
    <col min="9207" max="9209" width="13" style="271" customWidth="1"/>
    <col min="9210" max="9210" width="3.88671875" style="271" customWidth="1"/>
    <col min="9211" max="9211" width="12.33203125" style="271" customWidth="1"/>
    <col min="9212" max="9212" width="10.6640625" style="271" customWidth="1"/>
    <col min="9213" max="9222" width="11.6640625" style="271" customWidth="1"/>
    <col min="9223" max="9223" width="15" style="271" customWidth="1"/>
    <col min="9224" max="9224" width="18.33203125" style="271" customWidth="1"/>
    <col min="9225" max="9227" width="9.109375" style="271" customWidth="1"/>
    <col min="9228" max="9228" width="11.6640625" style="271" customWidth="1"/>
    <col min="9229" max="9229" width="13.109375" style="271" customWidth="1"/>
    <col min="9230" max="9232" width="12.109375" style="271" customWidth="1"/>
    <col min="9233" max="9233" width="27.33203125" style="271" customWidth="1"/>
    <col min="9234" max="9234" width="15" style="271" customWidth="1"/>
    <col min="9235" max="9235" width="39" style="271" bestFit="1" customWidth="1"/>
    <col min="9236" max="9236" width="22" style="271" customWidth="1"/>
    <col min="9237" max="9237" width="15.6640625" style="271" customWidth="1"/>
    <col min="9238" max="9431" width="9.109375" style="271"/>
    <col min="9432" max="9432" width="45.44140625" style="271" customWidth="1"/>
    <col min="9433" max="9433" width="16.5546875" style="271" customWidth="1"/>
    <col min="9434" max="9434" width="11.88671875" style="271" customWidth="1"/>
    <col min="9435" max="9462" width="9.109375" style="271" customWidth="1"/>
    <col min="9463" max="9465" width="13" style="271" customWidth="1"/>
    <col min="9466" max="9466" width="3.88671875" style="271" customWidth="1"/>
    <col min="9467" max="9467" width="12.33203125" style="271" customWidth="1"/>
    <col min="9468" max="9468" width="10.6640625" style="271" customWidth="1"/>
    <col min="9469" max="9478" width="11.6640625" style="271" customWidth="1"/>
    <col min="9479" max="9479" width="15" style="271" customWidth="1"/>
    <col min="9480" max="9480" width="18.33203125" style="271" customWidth="1"/>
    <col min="9481" max="9483" width="9.109375" style="271" customWidth="1"/>
    <col min="9484" max="9484" width="11.6640625" style="271" customWidth="1"/>
    <col min="9485" max="9485" width="13.109375" style="271" customWidth="1"/>
    <col min="9486" max="9488" width="12.109375" style="271" customWidth="1"/>
    <col min="9489" max="9489" width="27.33203125" style="271" customWidth="1"/>
    <col min="9490" max="9490" width="15" style="271" customWidth="1"/>
    <col min="9491" max="9491" width="39" style="271" bestFit="1" customWidth="1"/>
    <col min="9492" max="9492" width="22" style="271" customWidth="1"/>
    <col min="9493" max="9493" width="15.6640625" style="271" customWidth="1"/>
    <col min="9494" max="9687" width="9.109375" style="271"/>
    <col min="9688" max="9688" width="45.44140625" style="271" customWidth="1"/>
    <col min="9689" max="9689" width="16.5546875" style="271" customWidth="1"/>
    <col min="9690" max="9690" width="11.88671875" style="271" customWidth="1"/>
    <col min="9691" max="9718" width="9.109375" style="271" customWidth="1"/>
    <col min="9719" max="9721" width="13" style="271" customWidth="1"/>
    <col min="9722" max="9722" width="3.88671875" style="271" customWidth="1"/>
    <col min="9723" max="9723" width="12.33203125" style="271" customWidth="1"/>
    <col min="9724" max="9724" width="10.6640625" style="271" customWidth="1"/>
    <col min="9725" max="9734" width="11.6640625" style="271" customWidth="1"/>
    <col min="9735" max="9735" width="15" style="271" customWidth="1"/>
    <col min="9736" max="9736" width="18.33203125" style="271" customWidth="1"/>
    <col min="9737" max="9739" width="9.109375" style="271" customWidth="1"/>
    <col min="9740" max="9740" width="11.6640625" style="271" customWidth="1"/>
    <col min="9741" max="9741" width="13.109375" style="271" customWidth="1"/>
    <col min="9742" max="9744" width="12.109375" style="271" customWidth="1"/>
    <col min="9745" max="9745" width="27.33203125" style="271" customWidth="1"/>
    <col min="9746" max="9746" width="15" style="271" customWidth="1"/>
    <col min="9747" max="9747" width="39" style="271" bestFit="1" customWidth="1"/>
    <col min="9748" max="9748" width="22" style="271" customWidth="1"/>
    <col min="9749" max="9749" width="15.6640625" style="271" customWidth="1"/>
    <col min="9750" max="9943" width="9.109375" style="271"/>
    <col min="9944" max="9944" width="45.44140625" style="271" customWidth="1"/>
    <col min="9945" max="9945" width="16.5546875" style="271" customWidth="1"/>
    <col min="9946" max="9946" width="11.88671875" style="271" customWidth="1"/>
    <col min="9947" max="9974" width="9.109375" style="271" customWidth="1"/>
    <col min="9975" max="9977" width="13" style="271" customWidth="1"/>
    <col min="9978" max="9978" width="3.88671875" style="271" customWidth="1"/>
    <col min="9979" max="9979" width="12.33203125" style="271" customWidth="1"/>
    <col min="9980" max="9980" width="10.6640625" style="271" customWidth="1"/>
    <col min="9981" max="9990" width="11.6640625" style="271" customWidth="1"/>
    <col min="9991" max="9991" width="15" style="271" customWidth="1"/>
    <col min="9992" max="9992" width="18.33203125" style="271" customWidth="1"/>
    <col min="9993" max="9995" width="9.109375" style="271" customWidth="1"/>
    <col min="9996" max="9996" width="11.6640625" style="271" customWidth="1"/>
    <col min="9997" max="9997" width="13.109375" style="271" customWidth="1"/>
    <col min="9998" max="10000" width="12.109375" style="271" customWidth="1"/>
    <col min="10001" max="10001" width="27.33203125" style="271" customWidth="1"/>
    <col min="10002" max="10002" width="15" style="271" customWidth="1"/>
    <col min="10003" max="10003" width="39" style="271" bestFit="1" customWidth="1"/>
    <col min="10004" max="10004" width="22" style="271" customWidth="1"/>
    <col min="10005" max="10005" width="15.6640625" style="271" customWidth="1"/>
    <col min="10006" max="10199" width="9.109375" style="271"/>
    <col min="10200" max="10200" width="45.44140625" style="271" customWidth="1"/>
    <col min="10201" max="10201" width="16.5546875" style="271" customWidth="1"/>
    <col min="10202" max="10202" width="11.88671875" style="271" customWidth="1"/>
    <col min="10203" max="10230" width="9.109375" style="271" customWidth="1"/>
    <col min="10231" max="10233" width="13" style="271" customWidth="1"/>
    <col min="10234" max="10234" width="3.88671875" style="271" customWidth="1"/>
    <col min="10235" max="10235" width="12.33203125" style="271" customWidth="1"/>
    <col min="10236" max="10236" width="10.6640625" style="271" customWidth="1"/>
    <col min="10237" max="10246" width="11.6640625" style="271" customWidth="1"/>
    <col min="10247" max="10247" width="15" style="271" customWidth="1"/>
    <col min="10248" max="10248" width="18.33203125" style="271" customWidth="1"/>
    <col min="10249" max="10251" width="9.109375" style="271" customWidth="1"/>
    <col min="10252" max="10252" width="11.6640625" style="271" customWidth="1"/>
    <col min="10253" max="10253" width="13.109375" style="271" customWidth="1"/>
    <col min="10254" max="10256" width="12.109375" style="271" customWidth="1"/>
    <col min="10257" max="10257" width="27.33203125" style="271" customWidth="1"/>
    <col min="10258" max="10258" width="15" style="271" customWidth="1"/>
    <col min="10259" max="10259" width="39" style="271" bestFit="1" customWidth="1"/>
    <col min="10260" max="10260" width="22" style="271" customWidth="1"/>
    <col min="10261" max="10261" width="15.6640625" style="271" customWidth="1"/>
    <col min="10262" max="10455" width="9.109375" style="271"/>
    <col min="10456" max="10456" width="45.44140625" style="271" customWidth="1"/>
    <col min="10457" max="10457" width="16.5546875" style="271" customWidth="1"/>
    <col min="10458" max="10458" width="11.88671875" style="271" customWidth="1"/>
    <col min="10459" max="10486" width="9.109375" style="271" customWidth="1"/>
    <col min="10487" max="10489" width="13" style="271" customWidth="1"/>
    <col min="10490" max="10490" width="3.88671875" style="271" customWidth="1"/>
    <col min="10491" max="10491" width="12.33203125" style="271" customWidth="1"/>
    <col min="10492" max="10492" width="10.6640625" style="271" customWidth="1"/>
    <col min="10493" max="10502" width="11.6640625" style="271" customWidth="1"/>
    <col min="10503" max="10503" width="15" style="271" customWidth="1"/>
    <col min="10504" max="10504" width="18.33203125" style="271" customWidth="1"/>
    <col min="10505" max="10507" width="9.109375" style="271" customWidth="1"/>
    <col min="10508" max="10508" width="11.6640625" style="271" customWidth="1"/>
    <col min="10509" max="10509" width="13.109375" style="271" customWidth="1"/>
    <col min="10510" max="10512" width="12.109375" style="271" customWidth="1"/>
    <col min="10513" max="10513" width="27.33203125" style="271" customWidth="1"/>
    <col min="10514" max="10514" width="15" style="271" customWidth="1"/>
    <col min="10515" max="10515" width="39" style="271" bestFit="1" customWidth="1"/>
    <col min="10516" max="10516" width="22" style="271" customWidth="1"/>
    <col min="10517" max="10517" width="15.6640625" style="271" customWidth="1"/>
    <col min="10518" max="10711" width="9.109375" style="271"/>
    <col min="10712" max="10712" width="45.44140625" style="271" customWidth="1"/>
    <col min="10713" max="10713" width="16.5546875" style="271" customWidth="1"/>
    <col min="10714" max="10714" width="11.88671875" style="271" customWidth="1"/>
    <col min="10715" max="10742" width="9.109375" style="271" customWidth="1"/>
    <col min="10743" max="10745" width="13" style="271" customWidth="1"/>
    <col min="10746" max="10746" width="3.88671875" style="271" customWidth="1"/>
    <col min="10747" max="10747" width="12.33203125" style="271" customWidth="1"/>
    <col min="10748" max="10748" width="10.6640625" style="271" customWidth="1"/>
    <col min="10749" max="10758" width="11.6640625" style="271" customWidth="1"/>
    <col min="10759" max="10759" width="15" style="271" customWidth="1"/>
    <col min="10760" max="10760" width="18.33203125" style="271" customWidth="1"/>
    <col min="10761" max="10763" width="9.109375" style="271" customWidth="1"/>
    <col min="10764" max="10764" width="11.6640625" style="271" customWidth="1"/>
    <col min="10765" max="10765" width="13.109375" style="271" customWidth="1"/>
    <col min="10766" max="10768" width="12.109375" style="271" customWidth="1"/>
    <col min="10769" max="10769" width="27.33203125" style="271" customWidth="1"/>
    <col min="10770" max="10770" width="15" style="271" customWidth="1"/>
    <col min="10771" max="10771" width="39" style="271" bestFit="1" customWidth="1"/>
    <col min="10772" max="10772" width="22" style="271" customWidth="1"/>
    <col min="10773" max="10773" width="15.6640625" style="271" customWidth="1"/>
    <col min="10774" max="10967" width="9.109375" style="271"/>
    <col min="10968" max="10968" width="45.44140625" style="271" customWidth="1"/>
    <col min="10969" max="10969" width="16.5546875" style="271" customWidth="1"/>
    <col min="10970" max="10970" width="11.88671875" style="271" customWidth="1"/>
    <col min="10971" max="10998" width="9.109375" style="271" customWidth="1"/>
    <col min="10999" max="11001" width="13" style="271" customWidth="1"/>
    <col min="11002" max="11002" width="3.88671875" style="271" customWidth="1"/>
    <col min="11003" max="11003" width="12.33203125" style="271" customWidth="1"/>
    <col min="11004" max="11004" width="10.6640625" style="271" customWidth="1"/>
    <col min="11005" max="11014" width="11.6640625" style="271" customWidth="1"/>
    <col min="11015" max="11015" width="15" style="271" customWidth="1"/>
    <col min="11016" max="11016" width="18.33203125" style="271" customWidth="1"/>
    <col min="11017" max="11019" width="9.109375" style="271" customWidth="1"/>
    <col min="11020" max="11020" width="11.6640625" style="271" customWidth="1"/>
    <col min="11021" max="11021" width="13.109375" style="271" customWidth="1"/>
    <col min="11022" max="11024" width="12.109375" style="271" customWidth="1"/>
    <col min="11025" max="11025" width="27.33203125" style="271" customWidth="1"/>
    <col min="11026" max="11026" width="15" style="271" customWidth="1"/>
    <col min="11027" max="11027" width="39" style="271" bestFit="1" customWidth="1"/>
    <col min="11028" max="11028" width="22" style="271" customWidth="1"/>
    <col min="11029" max="11029" width="15.6640625" style="271" customWidth="1"/>
    <col min="11030" max="11223" width="9.109375" style="271"/>
    <col min="11224" max="11224" width="45.44140625" style="271" customWidth="1"/>
    <col min="11225" max="11225" width="16.5546875" style="271" customWidth="1"/>
    <col min="11226" max="11226" width="11.88671875" style="271" customWidth="1"/>
    <col min="11227" max="11254" width="9.109375" style="271" customWidth="1"/>
    <col min="11255" max="11257" width="13" style="271" customWidth="1"/>
    <col min="11258" max="11258" width="3.88671875" style="271" customWidth="1"/>
    <col min="11259" max="11259" width="12.33203125" style="271" customWidth="1"/>
    <col min="11260" max="11260" width="10.6640625" style="271" customWidth="1"/>
    <col min="11261" max="11270" width="11.6640625" style="271" customWidth="1"/>
    <col min="11271" max="11271" width="15" style="271" customWidth="1"/>
    <col min="11272" max="11272" width="18.33203125" style="271" customWidth="1"/>
    <col min="11273" max="11275" width="9.109375" style="271" customWidth="1"/>
    <col min="11276" max="11276" width="11.6640625" style="271" customWidth="1"/>
    <col min="11277" max="11277" width="13.109375" style="271" customWidth="1"/>
    <col min="11278" max="11280" width="12.109375" style="271" customWidth="1"/>
    <col min="11281" max="11281" width="27.33203125" style="271" customWidth="1"/>
    <col min="11282" max="11282" width="15" style="271" customWidth="1"/>
    <col min="11283" max="11283" width="39" style="271" bestFit="1" customWidth="1"/>
    <col min="11284" max="11284" width="22" style="271" customWidth="1"/>
    <col min="11285" max="11285" width="15.6640625" style="271" customWidth="1"/>
    <col min="11286" max="11479" width="9.109375" style="271"/>
    <col min="11480" max="11480" width="45.44140625" style="271" customWidth="1"/>
    <col min="11481" max="11481" width="16.5546875" style="271" customWidth="1"/>
    <col min="11482" max="11482" width="11.88671875" style="271" customWidth="1"/>
    <col min="11483" max="11510" width="9.109375" style="271" customWidth="1"/>
    <col min="11511" max="11513" width="13" style="271" customWidth="1"/>
    <col min="11514" max="11514" width="3.88671875" style="271" customWidth="1"/>
    <col min="11515" max="11515" width="12.33203125" style="271" customWidth="1"/>
    <col min="11516" max="11516" width="10.6640625" style="271" customWidth="1"/>
    <col min="11517" max="11526" width="11.6640625" style="271" customWidth="1"/>
    <col min="11527" max="11527" width="15" style="271" customWidth="1"/>
    <col min="11528" max="11528" width="18.33203125" style="271" customWidth="1"/>
    <col min="11529" max="11531" width="9.109375" style="271" customWidth="1"/>
    <col min="11532" max="11532" width="11.6640625" style="271" customWidth="1"/>
    <col min="11533" max="11533" width="13.109375" style="271" customWidth="1"/>
    <col min="11534" max="11536" width="12.109375" style="271" customWidth="1"/>
    <col min="11537" max="11537" width="27.33203125" style="271" customWidth="1"/>
    <col min="11538" max="11538" width="15" style="271" customWidth="1"/>
    <col min="11539" max="11539" width="39" style="271" bestFit="1" customWidth="1"/>
    <col min="11540" max="11540" width="22" style="271" customWidth="1"/>
    <col min="11541" max="11541" width="15.6640625" style="271" customWidth="1"/>
    <col min="11542" max="11735" width="9.109375" style="271"/>
    <col min="11736" max="11736" width="45.44140625" style="271" customWidth="1"/>
    <col min="11737" max="11737" width="16.5546875" style="271" customWidth="1"/>
    <col min="11738" max="11738" width="11.88671875" style="271" customWidth="1"/>
    <col min="11739" max="11766" width="9.109375" style="271" customWidth="1"/>
    <col min="11767" max="11769" width="13" style="271" customWidth="1"/>
    <col min="11770" max="11770" width="3.88671875" style="271" customWidth="1"/>
    <col min="11771" max="11771" width="12.33203125" style="271" customWidth="1"/>
    <col min="11772" max="11772" width="10.6640625" style="271" customWidth="1"/>
    <col min="11773" max="11782" width="11.6640625" style="271" customWidth="1"/>
    <col min="11783" max="11783" width="15" style="271" customWidth="1"/>
    <col min="11784" max="11784" width="18.33203125" style="271" customWidth="1"/>
    <col min="11785" max="11787" width="9.109375" style="271" customWidth="1"/>
    <col min="11788" max="11788" width="11.6640625" style="271" customWidth="1"/>
    <col min="11789" max="11789" width="13.109375" style="271" customWidth="1"/>
    <col min="11790" max="11792" width="12.109375" style="271" customWidth="1"/>
    <col min="11793" max="11793" width="27.33203125" style="271" customWidth="1"/>
    <col min="11794" max="11794" width="15" style="271" customWidth="1"/>
    <col min="11795" max="11795" width="39" style="271" bestFit="1" customWidth="1"/>
    <col min="11796" max="11796" width="22" style="271" customWidth="1"/>
    <col min="11797" max="11797" width="15.6640625" style="271" customWidth="1"/>
    <col min="11798" max="11991" width="9.109375" style="271"/>
    <col min="11992" max="11992" width="45.44140625" style="271" customWidth="1"/>
    <col min="11993" max="11993" width="16.5546875" style="271" customWidth="1"/>
    <col min="11994" max="11994" width="11.88671875" style="271" customWidth="1"/>
    <col min="11995" max="12022" width="9.109375" style="271" customWidth="1"/>
    <col min="12023" max="12025" width="13" style="271" customWidth="1"/>
    <col min="12026" max="12026" width="3.88671875" style="271" customWidth="1"/>
    <col min="12027" max="12027" width="12.33203125" style="271" customWidth="1"/>
    <col min="12028" max="12028" width="10.6640625" style="271" customWidth="1"/>
    <col min="12029" max="12038" width="11.6640625" style="271" customWidth="1"/>
    <col min="12039" max="12039" width="15" style="271" customWidth="1"/>
    <col min="12040" max="12040" width="18.33203125" style="271" customWidth="1"/>
    <col min="12041" max="12043" width="9.109375" style="271" customWidth="1"/>
    <col min="12044" max="12044" width="11.6640625" style="271" customWidth="1"/>
    <col min="12045" max="12045" width="13.109375" style="271" customWidth="1"/>
    <col min="12046" max="12048" width="12.109375" style="271" customWidth="1"/>
    <col min="12049" max="12049" width="27.33203125" style="271" customWidth="1"/>
    <col min="12050" max="12050" width="15" style="271" customWidth="1"/>
    <col min="12051" max="12051" width="39" style="271" bestFit="1" customWidth="1"/>
    <col min="12052" max="12052" width="22" style="271" customWidth="1"/>
    <col min="12053" max="12053" width="15.6640625" style="271" customWidth="1"/>
    <col min="12054" max="12247" width="9.109375" style="271"/>
    <col min="12248" max="12248" width="45.44140625" style="271" customWidth="1"/>
    <col min="12249" max="12249" width="16.5546875" style="271" customWidth="1"/>
    <col min="12250" max="12250" width="11.88671875" style="271" customWidth="1"/>
    <col min="12251" max="12278" width="9.109375" style="271" customWidth="1"/>
    <col min="12279" max="12281" width="13" style="271" customWidth="1"/>
    <col min="12282" max="12282" width="3.88671875" style="271" customWidth="1"/>
    <col min="12283" max="12283" width="12.33203125" style="271" customWidth="1"/>
    <col min="12284" max="12284" width="10.6640625" style="271" customWidth="1"/>
    <col min="12285" max="12294" width="11.6640625" style="271" customWidth="1"/>
    <col min="12295" max="12295" width="15" style="271" customWidth="1"/>
    <col min="12296" max="12296" width="18.33203125" style="271" customWidth="1"/>
    <col min="12297" max="12299" width="9.109375" style="271" customWidth="1"/>
    <col min="12300" max="12300" width="11.6640625" style="271" customWidth="1"/>
    <col min="12301" max="12301" width="13.109375" style="271" customWidth="1"/>
    <col min="12302" max="12304" width="12.109375" style="271" customWidth="1"/>
    <col min="12305" max="12305" width="27.33203125" style="271" customWidth="1"/>
    <col min="12306" max="12306" width="15" style="271" customWidth="1"/>
    <col min="12307" max="12307" width="39" style="271" bestFit="1" customWidth="1"/>
    <col min="12308" max="12308" width="22" style="271" customWidth="1"/>
    <col min="12309" max="12309" width="15.6640625" style="271" customWidth="1"/>
    <col min="12310" max="12503" width="9.109375" style="271"/>
    <col min="12504" max="12504" width="45.44140625" style="271" customWidth="1"/>
    <col min="12505" max="12505" width="16.5546875" style="271" customWidth="1"/>
    <col min="12506" max="12506" width="11.88671875" style="271" customWidth="1"/>
    <col min="12507" max="12534" width="9.109375" style="271" customWidth="1"/>
    <col min="12535" max="12537" width="13" style="271" customWidth="1"/>
    <col min="12538" max="12538" width="3.88671875" style="271" customWidth="1"/>
    <col min="12539" max="12539" width="12.33203125" style="271" customWidth="1"/>
    <col min="12540" max="12540" width="10.6640625" style="271" customWidth="1"/>
    <col min="12541" max="12550" width="11.6640625" style="271" customWidth="1"/>
    <col min="12551" max="12551" width="15" style="271" customWidth="1"/>
    <col min="12552" max="12552" width="18.33203125" style="271" customWidth="1"/>
    <col min="12553" max="12555" width="9.109375" style="271" customWidth="1"/>
    <col min="12556" max="12556" width="11.6640625" style="271" customWidth="1"/>
    <col min="12557" max="12557" width="13.109375" style="271" customWidth="1"/>
    <col min="12558" max="12560" width="12.109375" style="271" customWidth="1"/>
    <col min="12561" max="12561" width="27.33203125" style="271" customWidth="1"/>
    <col min="12562" max="12562" width="15" style="271" customWidth="1"/>
    <col min="12563" max="12563" width="39" style="271" bestFit="1" customWidth="1"/>
    <col min="12564" max="12564" width="22" style="271" customWidth="1"/>
    <col min="12565" max="12565" width="15.6640625" style="271" customWidth="1"/>
    <col min="12566" max="12759" width="9.109375" style="271"/>
    <col min="12760" max="12760" width="45.44140625" style="271" customWidth="1"/>
    <col min="12761" max="12761" width="16.5546875" style="271" customWidth="1"/>
    <col min="12762" max="12762" width="11.88671875" style="271" customWidth="1"/>
    <col min="12763" max="12790" width="9.109375" style="271" customWidth="1"/>
    <col min="12791" max="12793" width="13" style="271" customWidth="1"/>
    <col min="12794" max="12794" width="3.88671875" style="271" customWidth="1"/>
    <col min="12795" max="12795" width="12.33203125" style="271" customWidth="1"/>
    <col min="12796" max="12796" width="10.6640625" style="271" customWidth="1"/>
    <col min="12797" max="12806" width="11.6640625" style="271" customWidth="1"/>
    <col min="12807" max="12807" width="15" style="271" customWidth="1"/>
    <col min="12808" max="12808" width="18.33203125" style="271" customWidth="1"/>
    <col min="12809" max="12811" width="9.109375" style="271" customWidth="1"/>
    <col min="12812" max="12812" width="11.6640625" style="271" customWidth="1"/>
    <col min="12813" max="12813" width="13.109375" style="271" customWidth="1"/>
    <col min="12814" max="12816" width="12.109375" style="271" customWidth="1"/>
    <col min="12817" max="12817" width="27.33203125" style="271" customWidth="1"/>
    <col min="12818" max="12818" width="15" style="271" customWidth="1"/>
    <col min="12819" max="12819" width="39" style="271" bestFit="1" customWidth="1"/>
    <col min="12820" max="12820" width="22" style="271" customWidth="1"/>
    <col min="12821" max="12821" width="15.6640625" style="271" customWidth="1"/>
    <col min="12822" max="13015" width="9.109375" style="271"/>
    <col min="13016" max="13016" width="45.44140625" style="271" customWidth="1"/>
    <col min="13017" max="13017" width="16.5546875" style="271" customWidth="1"/>
    <col min="13018" max="13018" width="11.88671875" style="271" customWidth="1"/>
    <col min="13019" max="13046" width="9.109375" style="271" customWidth="1"/>
    <col min="13047" max="13049" width="13" style="271" customWidth="1"/>
    <col min="13050" max="13050" width="3.88671875" style="271" customWidth="1"/>
    <col min="13051" max="13051" width="12.33203125" style="271" customWidth="1"/>
    <col min="13052" max="13052" width="10.6640625" style="271" customWidth="1"/>
    <col min="13053" max="13062" width="11.6640625" style="271" customWidth="1"/>
    <col min="13063" max="13063" width="15" style="271" customWidth="1"/>
    <col min="13064" max="13064" width="18.33203125" style="271" customWidth="1"/>
    <col min="13065" max="13067" width="9.109375" style="271" customWidth="1"/>
    <col min="13068" max="13068" width="11.6640625" style="271" customWidth="1"/>
    <col min="13069" max="13069" width="13.109375" style="271" customWidth="1"/>
    <col min="13070" max="13072" width="12.109375" style="271" customWidth="1"/>
    <col min="13073" max="13073" width="27.33203125" style="271" customWidth="1"/>
    <col min="13074" max="13074" width="15" style="271" customWidth="1"/>
    <col min="13075" max="13075" width="39" style="271" bestFit="1" customWidth="1"/>
    <col min="13076" max="13076" width="22" style="271" customWidth="1"/>
    <col min="13077" max="13077" width="15.6640625" style="271" customWidth="1"/>
    <col min="13078" max="13271" width="9.109375" style="271"/>
    <col min="13272" max="13272" width="45.44140625" style="271" customWidth="1"/>
    <col min="13273" max="13273" width="16.5546875" style="271" customWidth="1"/>
    <col min="13274" max="13274" width="11.88671875" style="271" customWidth="1"/>
    <col min="13275" max="13302" width="9.109375" style="271" customWidth="1"/>
    <col min="13303" max="13305" width="13" style="271" customWidth="1"/>
    <col min="13306" max="13306" width="3.88671875" style="271" customWidth="1"/>
    <col min="13307" max="13307" width="12.33203125" style="271" customWidth="1"/>
    <col min="13308" max="13308" width="10.6640625" style="271" customWidth="1"/>
    <col min="13309" max="13318" width="11.6640625" style="271" customWidth="1"/>
    <col min="13319" max="13319" width="15" style="271" customWidth="1"/>
    <col min="13320" max="13320" width="18.33203125" style="271" customWidth="1"/>
    <col min="13321" max="13323" width="9.109375" style="271" customWidth="1"/>
    <col min="13324" max="13324" width="11.6640625" style="271" customWidth="1"/>
    <col min="13325" max="13325" width="13.109375" style="271" customWidth="1"/>
    <col min="13326" max="13328" width="12.109375" style="271" customWidth="1"/>
    <col min="13329" max="13329" width="27.33203125" style="271" customWidth="1"/>
    <col min="13330" max="13330" width="15" style="271" customWidth="1"/>
    <col min="13331" max="13331" width="39" style="271" bestFit="1" customWidth="1"/>
    <col min="13332" max="13332" width="22" style="271" customWidth="1"/>
    <col min="13333" max="13333" width="15.6640625" style="271" customWidth="1"/>
    <col min="13334" max="13527" width="9.109375" style="271"/>
    <col min="13528" max="13528" width="45.44140625" style="271" customWidth="1"/>
    <col min="13529" max="13529" width="16.5546875" style="271" customWidth="1"/>
    <col min="13530" max="13530" width="11.88671875" style="271" customWidth="1"/>
    <col min="13531" max="13558" width="9.109375" style="271" customWidth="1"/>
    <col min="13559" max="13561" width="13" style="271" customWidth="1"/>
    <col min="13562" max="13562" width="3.88671875" style="271" customWidth="1"/>
    <col min="13563" max="13563" width="12.33203125" style="271" customWidth="1"/>
    <col min="13564" max="13564" width="10.6640625" style="271" customWidth="1"/>
    <col min="13565" max="13574" width="11.6640625" style="271" customWidth="1"/>
    <col min="13575" max="13575" width="15" style="271" customWidth="1"/>
    <col min="13576" max="13576" width="18.33203125" style="271" customWidth="1"/>
    <col min="13577" max="13579" width="9.109375" style="271" customWidth="1"/>
    <col min="13580" max="13580" width="11.6640625" style="271" customWidth="1"/>
    <col min="13581" max="13581" width="13.109375" style="271" customWidth="1"/>
    <col min="13582" max="13584" width="12.109375" style="271" customWidth="1"/>
    <col min="13585" max="13585" width="27.33203125" style="271" customWidth="1"/>
    <col min="13586" max="13586" width="15" style="271" customWidth="1"/>
    <col min="13587" max="13587" width="39" style="271" bestFit="1" customWidth="1"/>
    <col min="13588" max="13588" width="22" style="271" customWidth="1"/>
    <col min="13589" max="13589" width="15.6640625" style="271" customWidth="1"/>
    <col min="13590" max="13783" width="9.109375" style="271"/>
    <col min="13784" max="13784" width="45.44140625" style="271" customWidth="1"/>
    <col min="13785" max="13785" width="16.5546875" style="271" customWidth="1"/>
    <col min="13786" max="13786" width="11.88671875" style="271" customWidth="1"/>
    <col min="13787" max="13814" width="9.109375" style="271" customWidth="1"/>
    <col min="13815" max="13817" width="13" style="271" customWidth="1"/>
    <col min="13818" max="13818" width="3.88671875" style="271" customWidth="1"/>
    <col min="13819" max="13819" width="12.33203125" style="271" customWidth="1"/>
    <col min="13820" max="13820" width="10.6640625" style="271" customWidth="1"/>
    <col min="13821" max="13830" width="11.6640625" style="271" customWidth="1"/>
    <col min="13831" max="13831" width="15" style="271" customWidth="1"/>
    <col min="13832" max="13832" width="18.33203125" style="271" customWidth="1"/>
    <col min="13833" max="13835" width="9.109375" style="271" customWidth="1"/>
    <col min="13836" max="13836" width="11.6640625" style="271" customWidth="1"/>
    <col min="13837" max="13837" width="13.109375" style="271" customWidth="1"/>
    <col min="13838" max="13840" width="12.109375" style="271" customWidth="1"/>
    <col min="13841" max="13841" width="27.33203125" style="271" customWidth="1"/>
    <col min="13842" max="13842" width="15" style="271" customWidth="1"/>
    <col min="13843" max="13843" width="39" style="271" bestFit="1" customWidth="1"/>
    <col min="13844" max="13844" width="22" style="271" customWidth="1"/>
    <col min="13845" max="13845" width="15.6640625" style="271" customWidth="1"/>
    <col min="13846" max="14039" width="9.109375" style="271"/>
    <col min="14040" max="14040" width="45.44140625" style="271" customWidth="1"/>
    <col min="14041" max="14041" width="16.5546875" style="271" customWidth="1"/>
    <col min="14042" max="14042" width="11.88671875" style="271" customWidth="1"/>
    <col min="14043" max="14070" width="9.109375" style="271" customWidth="1"/>
    <col min="14071" max="14073" width="13" style="271" customWidth="1"/>
    <col min="14074" max="14074" width="3.88671875" style="271" customWidth="1"/>
    <col min="14075" max="14075" width="12.33203125" style="271" customWidth="1"/>
    <col min="14076" max="14076" width="10.6640625" style="271" customWidth="1"/>
    <col min="14077" max="14086" width="11.6640625" style="271" customWidth="1"/>
    <col min="14087" max="14087" width="15" style="271" customWidth="1"/>
    <col min="14088" max="14088" width="18.33203125" style="271" customWidth="1"/>
    <col min="14089" max="14091" width="9.109375" style="271" customWidth="1"/>
    <col min="14092" max="14092" width="11.6640625" style="271" customWidth="1"/>
    <col min="14093" max="14093" width="13.109375" style="271" customWidth="1"/>
    <col min="14094" max="14096" width="12.109375" style="271" customWidth="1"/>
    <col min="14097" max="14097" width="27.33203125" style="271" customWidth="1"/>
    <col min="14098" max="14098" width="15" style="271" customWidth="1"/>
    <col min="14099" max="14099" width="39" style="271" bestFit="1" customWidth="1"/>
    <col min="14100" max="14100" width="22" style="271" customWidth="1"/>
    <col min="14101" max="14101" width="15.6640625" style="271" customWidth="1"/>
    <col min="14102" max="14295" width="9.109375" style="271"/>
    <col min="14296" max="14296" width="45.44140625" style="271" customWidth="1"/>
    <col min="14297" max="14297" width="16.5546875" style="271" customWidth="1"/>
    <col min="14298" max="14298" width="11.88671875" style="271" customWidth="1"/>
    <col min="14299" max="14326" width="9.109375" style="271" customWidth="1"/>
    <col min="14327" max="14329" width="13" style="271" customWidth="1"/>
    <col min="14330" max="14330" width="3.88671875" style="271" customWidth="1"/>
    <col min="14331" max="14331" width="12.33203125" style="271" customWidth="1"/>
    <col min="14332" max="14332" width="10.6640625" style="271" customWidth="1"/>
    <col min="14333" max="14342" width="11.6640625" style="271" customWidth="1"/>
    <col min="14343" max="14343" width="15" style="271" customWidth="1"/>
    <col min="14344" max="14344" width="18.33203125" style="271" customWidth="1"/>
    <col min="14345" max="14347" width="9.109375" style="271" customWidth="1"/>
    <col min="14348" max="14348" width="11.6640625" style="271" customWidth="1"/>
    <col min="14349" max="14349" width="13.109375" style="271" customWidth="1"/>
    <col min="14350" max="14352" width="12.109375" style="271" customWidth="1"/>
    <col min="14353" max="14353" width="27.33203125" style="271" customWidth="1"/>
    <col min="14354" max="14354" width="15" style="271" customWidth="1"/>
    <col min="14355" max="14355" width="39" style="271" bestFit="1" customWidth="1"/>
    <col min="14356" max="14356" width="22" style="271" customWidth="1"/>
    <col min="14357" max="14357" width="15.6640625" style="271" customWidth="1"/>
    <col min="14358" max="14551" width="9.109375" style="271"/>
    <col min="14552" max="14552" width="45.44140625" style="271" customWidth="1"/>
    <col min="14553" max="14553" width="16.5546875" style="271" customWidth="1"/>
    <col min="14554" max="14554" width="11.88671875" style="271" customWidth="1"/>
    <col min="14555" max="14582" width="9.109375" style="271" customWidth="1"/>
    <col min="14583" max="14585" width="13" style="271" customWidth="1"/>
    <col min="14586" max="14586" width="3.88671875" style="271" customWidth="1"/>
    <col min="14587" max="14587" width="12.33203125" style="271" customWidth="1"/>
    <col min="14588" max="14588" width="10.6640625" style="271" customWidth="1"/>
    <col min="14589" max="14598" width="11.6640625" style="271" customWidth="1"/>
    <col min="14599" max="14599" width="15" style="271" customWidth="1"/>
    <col min="14600" max="14600" width="18.33203125" style="271" customWidth="1"/>
    <col min="14601" max="14603" width="9.109375" style="271" customWidth="1"/>
    <col min="14604" max="14604" width="11.6640625" style="271" customWidth="1"/>
    <col min="14605" max="14605" width="13.109375" style="271" customWidth="1"/>
    <col min="14606" max="14608" width="12.109375" style="271" customWidth="1"/>
    <col min="14609" max="14609" width="27.33203125" style="271" customWidth="1"/>
    <col min="14610" max="14610" width="15" style="271" customWidth="1"/>
    <col min="14611" max="14611" width="39" style="271" bestFit="1" customWidth="1"/>
    <col min="14612" max="14612" width="22" style="271" customWidth="1"/>
    <col min="14613" max="14613" width="15.6640625" style="271" customWidth="1"/>
    <col min="14614" max="14807" width="9.109375" style="271"/>
    <col min="14808" max="14808" width="45.44140625" style="271" customWidth="1"/>
    <col min="14809" max="14809" width="16.5546875" style="271" customWidth="1"/>
    <col min="14810" max="14810" width="11.88671875" style="271" customWidth="1"/>
    <col min="14811" max="14838" width="9.109375" style="271" customWidth="1"/>
    <col min="14839" max="14841" width="13" style="271" customWidth="1"/>
    <col min="14842" max="14842" width="3.88671875" style="271" customWidth="1"/>
    <col min="14843" max="14843" width="12.33203125" style="271" customWidth="1"/>
    <col min="14844" max="14844" width="10.6640625" style="271" customWidth="1"/>
    <col min="14845" max="14854" width="11.6640625" style="271" customWidth="1"/>
    <col min="14855" max="14855" width="15" style="271" customWidth="1"/>
    <col min="14856" max="14856" width="18.33203125" style="271" customWidth="1"/>
    <col min="14857" max="14859" width="9.109375" style="271" customWidth="1"/>
    <col min="14860" max="14860" width="11.6640625" style="271" customWidth="1"/>
    <col min="14861" max="14861" width="13.109375" style="271" customWidth="1"/>
    <col min="14862" max="14864" width="12.109375" style="271" customWidth="1"/>
    <col min="14865" max="14865" width="27.33203125" style="271" customWidth="1"/>
    <col min="14866" max="14866" width="15" style="271" customWidth="1"/>
    <col min="14867" max="14867" width="39" style="271" bestFit="1" customWidth="1"/>
    <col min="14868" max="14868" width="22" style="271" customWidth="1"/>
    <col min="14869" max="14869" width="15.6640625" style="271" customWidth="1"/>
    <col min="14870" max="15063" width="9.109375" style="271"/>
    <col min="15064" max="15064" width="45.44140625" style="271" customWidth="1"/>
    <col min="15065" max="15065" width="16.5546875" style="271" customWidth="1"/>
    <col min="15066" max="15066" width="11.88671875" style="271" customWidth="1"/>
    <col min="15067" max="15094" width="9.109375" style="271" customWidth="1"/>
    <col min="15095" max="15097" width="13" style="271" customWidth="1"/>
    <col min="15098" max="15098" width="3.88671875" style="271" customWidth="1"/>
    <col min="15099" max="15099" width="12.33203125" style="271" customWidth="1"/>
    <col min="15100" max="15100" width="10.6640625" style="271" customWidth="1"/>
    <col min="15101" max="15110" width="11.6640625" style="271" customWidth="1"/>
    <col min="15111" max="15111" width="15" style="271" customWidth="1"/>
    <col min="15112" max="15112" width="18.33203125" style="271" customWidth="1"/>
    <col min="15113" max="15115" width="9.109375" style="271" customWidth="1"/>
    <col min="15116" max="15116" width="11.6640625" style="271" customWidth="1"/>
    <col min="15117" max="15117" width="13.109375" style="271" customWidth="1"/>
    <col min="15118" max="15120" width="12.109375" style="271" customWidth="1"/>
    <col min="15121" max="15121" width="27.33203125" style="271" customWidth="1"/>
    <col min="15122" max="15122" width="15" style="271" customWidth="1"/>
    <col min="15123" max="15123" width="39" style="271" bestFit="1" customWidth="1"/>
    <col min="15124" max="15124" width="22" style="271" customWidth="1"/>
    <col min="15125" max="15125" width="15.6640625" style="271" customWidth="1"/>
    <col min="15126" max="15319" width="9.109375" style="271"/>
    <col min="15320" max="15320" width="45.44140625" style="271" customWidth="1"/>
    <col min="15321" max="15321" width="16.5546875" style="271" customWidth="1"/>
    <col min="15322" max="15322" width="11.88671875" style="271" customWidth="1"/>
    <col min="15323" max="15350" width="9.109375" style="271" customWidth="1"/>
    <col min="15351" max="15353" width="13" style="271" customWidth="1"/>
    <col min="15354" max="15354" width="3.88671875" style="271" customWidth="1"/>
    <col min="15355" max="15355" width="12.33203125" style="271" customWidth="1"/>
    <col min="15356" max="15356" width="10.6640625" style="271" customWidth="1"/>
    <col min="15357" max="15366" width="11.6640625" style="271" customWidth="1"/>
    <col min="15367" max="15367" width="15" style="271" customWidth="1"/>
    <col min="15368" max="15368" width="18.33203125" style="271" customWidth="1"/>
    <col min="15369" max="15371" width="9.109375" style="271" customWidth="1"/>
    <col min="15372" max="15372" width="11.6640625" style="271" customWidth="1"/>
    <col min="15373" max="15373" width="13.109375" style="271" customWidth="1"/>
    <col min="15374" max="15376" width="12.109375" style="271" customWidth="1"/>
    <col min="15377" max="15377" width="27.33203125" style="271" customWidth="1"/>
    <col min="15378" max="15378" width="15" style="271" customWidth="1"/>
    <col min="15379" max="15379" width="39" style="271" bestFit="1" customWidth="1"/>
    <col min="15380" max="15380" width="22" style="271" customWidth="1"/>
    <col min="15381" max="15381" width="15.6640625" style="271" customWidth="1"/>
    <col min="15382" max="15575" width="9.109375" style="271"/>
    <col min="15576" max="15576" width="45.44140625" style="271" customWidth="1"/>
    <col min="15577" max="15577" width="16.5546875" style="271" customWidth="1"/>
    <col min="15578" max="15578" width="11.88671875" style="271" customWidth="1"/>
    <col min="15579" max="15606" width="9.109375" style="271" customWidth="1"/>
    <col min="15607" max="15609" width="13" style="271" customWidth="1"/>
    <col min="15610" max="15610" width="3.88671875" style="271" customWidth="1"/>
    <col min="15611" max="15611" width="12.33203125" style="271" customWidth="1"/>
    <col min="15612" max="15612" width="10.6640625" style="271" customWidth="1"/>
    <col min="15613" max="15622" width="11.6640625" style="271" customWidth="1"/>
    <col min="15623" max="15623" width="15" style="271" customWidth="1"/>
    <col min="15624" max="15624" width="18.33203125" style="271" customWidth="1"/>
    <col min="15625" max="15627" width="9.109375" style="271" customWidth="1"/>
    <col min="15628" max="15628" width="11.6640625" style="271" customWidth="1"/>
    <col min="15629" max="15629" width="13.109375" style="271" customWidth="1"/>
    <col min="15630" max="15632" width="12.109375" style="271" customWidth="1"/>
    <col min="15633" max="15633" width="27.33203125" style="271" customWidth="1"/>
    <col min="15634" max="15634" width="15" style="271" customWidth="1"/>
    <col min="15635" max="15635" width="39" style="271" bestFit="1" customWidth="1"/>
    <col min="15636" max="15636" width="22" style="271" customWidth="1"/>
    <col min="15637" max="15637" width="15.6640625" style="271" customWidth="1"/>
    <col min="15638" max="15831" width="9.109375" style="271"/>
    <col min="15832" max="15832" width="45.44140625" style="271" customWidth="1"/>
    <col min="15833" max="15833" width="16.5546875" style="271" customWidth="1"/>
    <col min="15834" max="15834" width="11.88671875" style="271" customWidth="1"/>
    <col min="15835" max="15862" width="9.109375" style="271" customWidth="1"/>
    <col min="15863" max="15865" width="13" style="271" customWidth="1"/>
    <col min="15866" max="15866" width="3.88671875" style="271" customWidth="1"/>
    <col min="15867" max="15867" width="12.33203125" style="271" customWidth="1"/>
    <col min="15868" max="15868" width="10.6640625" style="271" customWidth="1"/>
    <col min="15869" max="15878" width="11.6640625" style="271" customWidth="1"/>
    <col min="15879" max="15879" width="15" style="271" customWidth="1"/>
    <col min="15880" max="15880" width="18.33203125" style="271" customWidth="1"/>
    <col min="15881" max="15883" width="9.109375" style="271" customWidth="1"/>
    <col min="15884" max="15884" width="11.6640625" style="271" customWidth="1"/>
    <col min="15885" max="15885" width="13.109375" style="271" customWidth="1"/>
    <col min="15886" max="15888" width="12.109375" style="271" customWidth="1"/>
    <col min="15889" max="15889" width="27.33203125" style="271" customWidth="1"/>
    <col min="15890" max="15890" width="15" style="271" customWidth="1"/>
    <col min="15891" max="15891" width="39" style="271" bestFit="1" customWidth="1"/>
    <col min="15892" max="15892" width="22" style="271" customWidth="1"/>
    <col min="15893" max="15893" width="15.6640625" style="271" customWidth="1"/>
    <col min="15894" max="16087" width="9.109375" style="271"/>
    <col min="16088" max="16088" width="45.44140625" style="271" customWidth="1"/>
    <col min="16089" max="16089" width="16.5546875" style="271" customWidth="1"/>
    <col min="16090" max="16090" width="11.88671875" style="271" customWidth="1"/>
    <col min="16091" max="16118" width="9.109375" style="271" customWidth="1"/>
    <col min="16119" max="16121" width="13" style="271" customWidth="1"/>
    <col min="16122" max="16122" width="3.88671875" style="271" customWidth="1"/>
    <col min="16123" max="16123" width="12.33203125" style="271" customWidth="1"/>
    <col min="16124" max="16124" width="10.6640625" style="271" customWidth="1"/>
    <col min="16125" max="16134" width="11.6640625" style="271" customWidth="1"/>
    <col min="16135" max="16135" width="15" style="271" customWidth="1"/>
    <col min="16136" max="16136" width="18.33203125" style="271" customWidth="1"/>
    <col min="16137" max="16139" width="9.109375" style="271" customWidth="1"/>
    <col min="16140" max="16140" width="11.6640625" style="271" customWidth="1"/>
    <col min="16141" max="16141" width="13.109375" style="271" customWidth="1"/>
    <col min="16142" max="16144" width="12.109375" style="271" customWidth="1"/>
    <col min="16145" max="16145" width="27.33203125" style="271" customWidth="1"/>
    <col min="16146" max="16146" width="15" style="271" customWidth="1"/>
    <col min="16147" max="16147" width="39" style="271" bestFit="1" customWidth="1"/>
    <col min="16148" max="16148" width="22" style="271" customWidth="1"/>
    <col min="16149" max="16149" width="15.6640625" style="271" customWidth="1"/>
    <col min="16150" max="16384" width="9.109375" style="271"/>
  </cols>
  <sheetData>
    <row r="1" spans="1:51" ht="24.75" customHeight="1" thickBot="1" x14ac:dyDescent="0.35">
      <c r="A1" s="296" t="s">
        <v>3526</v>
      </c>
    </row>
    <row r="2" spans="1:51" ht="24.75" customHeight="1" thickBot="1" x14ac:dyDescent="0.35">
      <c r="C2" s="296"/>
      <c r="D2" s="350">
        <v>2018</v>
      </c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2"/>
      <c r="P2" s="350">
        <v>2019</v>
      </c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2"/>
      <c r="AB2" s="350">
        <v>2020</v>
      </c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2"/>
      <c r="AN2" s="350">
        <v>2021</v>
      </c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2"/>
    </row>
    <row r="3" spans="1:51" s="294" customFormat="1" ht="15" thickBot="1" x14ac:dyDescent="0.35">
      <c r="A3" s="295" t="s">
        <v>3527</v>
      </c>
      <c r="B3" s="295" t="s">
        <v>3528</v>
      </c>
      <c r="C3" s="295" t="s">
        <v>3529</v>
      </c>
      <c r="D3" s="267">
        <v>43101</v>
      </c>
      <c r="E3" s="267">
        <v>43132</v>
      </c>
      <c r="F3" s="267">
        <v>43160</v>
      </c>
      <c r="G3" s="267">
        <v>43191</v>
      </c>
      <c r="H3" s="267">
        <v>43221</v>
      </c>
      <c r="I3" s="267">
        <v>43252</v>
      </c>
      <c r="J3" s="267">
        <v>43282</v>
      </c>
      <c r="K3" s="267">
        <v>43313</v>
      </c>
      <c r="L3" s="267">
        <v>43344</v>
      </c>
      <c r="M3" s="267">
        <v>43374</v>
      </c>
      <c r="N3" s="267">
        <v>43405</v>
      </c>
      <c r="O3" s="267">
        <v>43435</v>
      </c>
      <c r="P3" s="267">
        <v>43466</v>
      </c>
      <c r="Q3" s="267">
        <v>43497</v>
      </c>
      <c r="R3" s="267">
        <v>43525</v>
      </c>
      <c r="S3" s="267">
        <v>43556</v>
      </c>
      <c r="T3" s="267">
        <v>43586</v>
      </c>
      <c r="U3" s="267">
        <v>43617</v>
      </c>
      <c r="V3" s="267">
        <v>43647</v>
      </c>
      <c r="W3" s="267">
        <v>43678</v>
      </c>
      <c r="X3" s="267">
        <v>43709</v>
      </c>
      <c r="Y3" s="267">
        <v>43739</v>
      </c>
      <c r="Z3" s="267">
        <v>43770</v>
      </c>
      <c r="AA3" s="267">
        <v>43800</v>
      </c>
      <c r="AB3" s="267">
        <v>43831</v>
      </c>
      <c r="AC3" s="267">
        <v>43862</v>
      </c>
      <c r="AD3" s="267">
        <v>43891</v>
      </c>
      <c r="AE3" s="267">
        <v>43922</v>
      </c>
      <c r="AF3" s="267">
        <v>43952</v>
      </c>
      <c r="AG3" s="267">
        <v>43983</v>
      </c>
      <c r="AH3" s="267">
        <v>44013</v>
      </c>
      <c r="AI3" s="267">
        <v>44044</v>
      </c>
      <c r="AJ3" s="267">
        <v>44075</v>
      </c>
      <c r="AK3" s="267">
        <v>44105</v>
      </c>
      <c r="AL3" s="267">
        <v>44136</v>
      </c>
      <c r="AM3" s="267">
        <v>44166</v>
      </c>
      <c r="AN3" s="267">
        <v>44197</v>
      </c>
      <c r="AO3" s="267">
        <v>44228</v>
      </c>
      <c r="AP3" s="267">
        <v>44256</v>
      </c>
      <c r="AQ3" s="267">
        <v>44287</v>
      </c>
      <c r="AR3" s="267">
        <v>44317</v>
      </c>
      <c r="AS3" s="267">
        <v>44348</v>
      </c>
      <c r="AT3" s="267">
        <v>44378</v>
      </c>
      <c r="AU3" s="267">
        <v>44409</v>
      </c>
      <c r="AV3" s="267">
        <v>44440</v>
      </c>
      <c r="AW3" s="267">
        <v>44470</v>
      </c>
      <c r="AX3" s="267">
        <v>44501</v>
      </c>
      <c r="AY3" s="267">
        <v>44531</v>
      </c>
    </row>
    <row r="4" spans="1:51" ht="12.75" hidden="1" customHeight="1" x14ac:dyDescent="0.25">
      <c r="A4" s="292">
        <v>148</v>
      </c>
      <c r="B4" s="293" t="s">
        <v>336</v>
      </c>
      <c r="C4" s="292" t="s">
        <v>337</v>
      </c>
      <c r="D4" s="284">
        <v>1975.1438196731328</v>
      </c>
      <c r="E4" s="284">
        <v>2134.239967167402</v>
      </c>
      <c r="F4" s="284">
        <v>2228.7902161130723</v>
      </c>
      <c r="G4" s="284">
        <v>1825.0461145217296</v>
      </c>
      <c r="H4" s="291">
        <v>1961.6146470499452</v>
      </c>
      <c r="I4" s="291">
        <v>1533.6608164632933</v>
      </c>
      <c r="J4" s="291">
        <v>1265.7360650042874</v>
      </c>
      <c r="K4" s="291">
        <v>1295.0026289451575</v>
      </c>
      <c r="L4" s="291">
        <v>1709.4099905985272</v>
      </c>
      <c r="M4" s="291">
        <v>2202.9971040595424</v>
      </c>
      <c r="N4" s="291">
        <v>2397.3098492270601</v>
      </c>
      <c r="O4" s="291">
        <v>2538.1491007032364</v>
      </c>
      <c r="P4" s="291">
        <v>3230.6199311116939</v>
      </c>
      <c r="Q4" s="291">
        <v>3388.9496748040028</v>
      </c>
      <c r="R4" s="291">
        <v>2918.4481153276383</v>
      </c>
      <c r="S4" s="291">
        <v>2680.984840731187</v>
      </c>
      <c r="T4" s="291">
        <v>2876.1288379242646</v>
      </c>
      <c r="U4" s="291">
        <v>2160.7082427838809</v>
      </c>
      <c r="V4" s="291">
        <v>1890.8029506744133</v>
      </c>
      <c r="W4" s="291">
        <v>1853.866381857049</v>
      </c>
      <c r="X4" s="291">
        <v>1806.2579961756451</v>
      </c>
      <c r="Y4" s="291">
        <v>2355.5998003718219</v>
      </c>
      <c r="Z4" s="291">
        <v>3008.4160997461968</v>
      </c>
      <c r="AA4" s="291">
        <v>3727.1104095931028</v>
      </c>
      <c r="AB4" s="291">
        <v>3961.348441877225</v>
      </c>
      <c r="AC4" s="291">
        <v>3453.9733047727113</v>
      </c>
      <c r="AD4" s="291">
        <v>3387.2712122843236</v>
      </c>
      <c r="AE4" s="291">
        <v>2701.308206738614</v>
      </c>
      <c r="AF4" s="291">
        <v>2382.7481797620908</v>
      </c>
      <c r="AG4" s="291">
        <v>2127.372049570271</v>
      </c>
      <c r="AH4" s="291">
        <v>2032.7024474466148</v>
      </c>
      <c r="AI4" s="291">
        <v>1931.8340368519696</v>
      </c>
      <c r="AJ4" s="291">
        <v>1926.7955728915526</v>
      </c>
      <c r="AK4" s="291">
        <v>2078.7520107712985</v>
      </c>
      <c r="AL4" s="291">
        <v>2686.5437472239005</v>
      </c>
      <c r="AM4" s="291">
        <v>3062.0508836871177</v>
      </c>
      <c r="AN4" s="291">
        <v>3201.1305801547592</v>
      </c>
      <c r="AO4" s="291">
        <v>2780.4405287047075</v>
      </c>
      <c r="AP4" s="291">
        <v>2817.7178230700983</v>
      </c>
      <c r="AQ4" s="291">
        <v>2263.3154410943835</v>
      </c>
      <c r="AR4" s="291">
        <v>2209.4964215806817</v>
      </c>
      <c r="AS4" s="291">
        <v>1897.3890795749458</v>
      </c>
      <c r="AT4" s="291">
        <v>1773.4255430988542</v>
      </c>
      <c r="AU4" s="291">
        <v>1801.6546615354578</v>
      </c>
      <c r="AV4" s="291">
        <v>1951.780705820699</v>
      </c>
      <c r="AW4" s="291">
        <v>2299.428776088992</v>
      </c>
      <c r="AX4" s="291">
        <v>2531.0493753200308</v>
      </c>
      <c r="AY4" s="291">
        <v>3302.4752415243397</v>
      </c>
    </row>
    <row r="5" spans="1:51" ht="12.75" hidden="1" customHeight="1" x14ac:dyDescent="0.25">
      <c r="A5" s="59">
        <v>44</v>
      </c>
      <c r="B5" s="39" t="s">
        <v>3545</v>
      </c>
      <c r="C5" s="59" t="s">
        <v>117</v>
      </c>
      <c r="D5" s="284">
        <v>1916.0816872271669</v>
      </c>
      <c r="E5" s="284">
        <v>2205.213073518265</v>
      </c>
      <c r="F5" s="284">
        <v>2411.7479854440758</v>
      </c>
      <c r="G5" s="284">
        <v>2044.0117664802146</v>
      </c>
      <c r="H5" s="284">
        <v>2148.5502065188211</v>
      </c>
      <c r="I5" s="284">
        <v>1605.7882937514764</v>
      </c>
      <c r="J5" s="284">
        <v>1213.4876947680657</v>
      </c>
      <c r="K5" s="284">
        <v>1323.7768418087419</v>
      </c>
      <c r="L5" s="284">
        <v>1149.5913824129475</v>
      </c>
      <c r="M5" s="284">
        <v>1242.6052519716643</v>
      </c>
      <c r="N5" s="284">
        <v>1530.1339589757602</v>
      </c>
      <c r="O5" s="284">
        <v>2320.3192708224969</v>
      </c>
      <c r="P5" s="284">
        <v>2275.9758859025924</v>
      </c>
      <c r="Q5" s="284">
        <v>1855.6867883296625</v>
      </c>
      <c r="R5" s="284">
        <v>1864.1737003818039</v>
      </c>
      <c r="S5" s="284">
        <v>1523.7361095836866</v>
      </c>
      <c r="T5" s="284">
        <v>1546.4361364719862</v>
      </c>
      <c r="U5" s="284">
        <v>1165.5158482097377</v>
      </c>
      <c r="V5" s="284">
        <v>964.22674053933088</v>
      </c>
      <c r="W5" s="284">
        <v>1038.3959154020345</v>
      </c>
      <c r="X5" s="284">
        <v>1076.2273495621678</v>
      </c>
      <c r="Y5" s="284">
        <v>1259.2469345154802</v>
      </c>
      <c r="Z5" s="284">
        <v>1510.8285908685209</v>
      </c>
      <c r="AA5" s="284">
        <v>1777.902941117231</v>
      </c>
      <c r="AB5" s="284">
        <v>1653.0145969244211</v>
      </c>
      <c r="AC5" s="284">
        <v>1494.4294060768248</v>
      </c>
      <c r="AD5" s="284">
        <v>1560.6231340133556</v>
      </c>
      <c r="AE5" s="284">
        <v>1268.2084154151992</v>
      </c>
      <c r="AF5" s="284">
        <v>1100.2277452862377</v>
      </c>
      <c r="AG5" s="284">
        <v>988.2310283442622</v>
      </c>
      <c r="AH5" s="284">
        <v>909.52794504711051</v>
      </c>
      <c r="AI5" s="284">
        <v>791.47852641910208</v>
      </c>
      <c r="AJ5" s="284">
        <v>757.96538211128222</v>
      </c>
      <c r="AK5" s="284">
        <v>761.55400643451219</v>
      </c>
      <c r="AL5" s="284">
        <v>986.62931763717086</v>
      </c>
      <c r="AM5" s="284">
        <v>1016.4319137008367</v>
      </c>
      <c r="AN5" s="284">
        <v>988.76829634491082</v>
      </c>
      <c r="AO5" s="284">
        <v>798.37861728909331</v>
      </c>
      <c r="AP5" s="284">
        <v>1543.7431792713905</v>
      </c>
      <c r="AQ5" s="284">
        <v>1335.0344256068765</v>
      </c>
      <c r="AR5" s="284">
        <v>1435.0707916494966</v>
      </c>
      <c r="AS5" s="284">
        <v>1123.8288712312471</v>
      </c>
      <c r="AT5" s="284">
        <v>1091.1458464013415</v>
      </c>
      <c r="AU5" s="284">
        <v>1162.5062442175799</v>
      </c>
      <c r="AV5" s="284">
        <v>1295.6413734852506</v>
      </c>
      <c r="AW5" s="284">
        <v>1684.1268288800345</v>
      </c>
      <c r="AX5" s="284">
        <v>1947.1365808035689</v>
      </c>
      <c r="AY5" s="284">
        <v>2673.5203927931566</v>
      </c>
    </row>
    <row r="6" spans="1:51" ht="12.75" hidden="1" customHeight="1" x14ac:dyDescent="0.25">
      <c r="A6" s="338">
        <v>1</v>
      </c>
      <c r="B6" s="339" t="s">
        <v>5</v>
      </c>
      <c r="C6" s="338" t="s">
        <v>6</v>
      </c>
      <c r="D6" s="284">
        <v>2962.3527072117049</v>
      </c>
      <c r="E6" s="284">
        <v>3200.9676873171011</v>
      </c>
      <c r="F6" s="284">
        <v>3342.7756828371939</v>
      </c>
      <c r="G6" s="284">
        <v>2737.2337367485275</v>
      </c>
      <c r="H6" s="340">
        <v>2942.061434876272</v>
      </c>
      <c r="I6" s="340">
        <v>2300.2093449308481</v>
      </c>
      <c r="J6" s="340">
        <v>1898.3714610723669</v>
      </c>
      <c r="K6" s="340">
        <v>1942.2659279245929</v>
      </c>
      <c r="L6" s="340">
        <v>2563.8008042484239</v>
      </c>
      <c r="M6" s="340">
        <v>3304.0907554115879</v>
      </c>
      <c r="N6" s="340">
        <v>3595.5241593791002</v>
      </c>
      <c r="O6" s="340">
        <v>3806.7571509903973</v>
      </c>
      <c r="P6" s="340">
        <v>4845.33612366749</v>
      </c>
      <c r="Q6" s="340">
        <v>5082.8016389314198</v>
      </c>
      <c r="R6" s="340">
        <v>4377.1357757271908</v>
      </c>
      <c r="S6" s="340">
        <v>4020.9845084839944</v>
      </c>
      <c r="T6" s="340">
        <v>4313.6646377095703</v>
      </c>
      <c r="U6" s="340">
        <v>3240.6652359951904</v>
      </c>
      <c r="V6" s="340">
        <v>2835.8569051752274</v>
      </c>
      <c r="W6" s="340">
        <v>2780.4588407196784</v>
      </c>
      <c r="X6" s="340">
        <v>2709.0550123986482</v>
      </c>
      <c r="Y6" s="340">
        <v>3532.9667522102918</v>
      </c>
      <c r="Z6" s="340">
        <v>4512.0712166556414</v>
      </c>
      <c r="AA6" s="340">
        <v>5589.9805887361836</v>
      </c>
      <c r="AB6" s="340">
        <v>5941.2945852955054</v>
      </c>
      <c r="AC6" s="340">
        <v>5180.325132842062</v>
      </c>
      <c r="AD6" s="340">
        <v>5080.2842536455482</v>
      </c>
      <c r="AE6" s="340">
        <v>4051.4658221544696</v>
      </c>
      <c r="AF6" s="340">
        <v>3573.6843315491383</v>
      </c>
      <c r="AG6" s="340">
        <v>3190.667073212891</v>
      </c>
      <c r="AH6" s="340">
        <v>3048.6800698623811</v>
      </c>
      <c r="AI6" s="340">
        <v>2897.3959931177128</v>
      </c>
      <c r="AJ6" s="340">
        <v>2889.8392232234573</v>
      </c>
      <c r="AK6" s="340">
        <v>3117.7459511526708</v>
      </c>
      <c r="AL6" s="340">
        <v>4029.3218465217642</v>
      </c>
      <c r="AM6" s="340">
        <v>4592.5135347418236</v>
      </c>
      <c r="AN6" s="340">
        <v>4801.1075172383898</v>
      </c>
      <c r="AO6" s="340">
        <v>4170.1497609488606</v>
      </c>
      <c r="AP6" s="340">
        <v>4226.0588511026681</v>
      </c>
      <c r="AQ6" s="340">
        <v>3394.5571747325066</v>
      </c>
      <c r="AR6" s="340">
        <v>3313.8385371488002</v>
      </c>
      <c r="AS6" s="340">
        <v>3313.8385371488002</v>
      </c>
      <c r="AT6" s="340">
        <v>2659.81236723647</v>
      </c>
      <c r="AU6" s="340">
        <v>2702.1508565099807</v>
      </c>
      <c r="AV6" s="340">
        <v>2927.3123304653136</v>
      </c>
      <c r="AW6" s="340">
        <v>3448.7205397604894</v>
      </c>
      <c r="AX6" s="340">
        <v>3796.1088678122746</v>
      </c>
      <c r="AY6" s="340">
        <v>4953.1058826127737</v>
      </c>
    </row>
    <row r="7" spans="1:51" ht="12.75" hidden="1" customHeight="1" x14ac:dyDescent="0.25">
      <c r="A7" s="59">
        <v>37</v>
      </c>
      <c r="B7" s="39" t="s">
        <v>3543</v>
      </c>
      <c r="C7" s="59" t="s">
        <v>99</v>
      </c>
      <c r="D7" s="284">
        <v>8073.9154877413221</v>
      </c>
      <c r="E7" s="284">
        <v>9292.2468320307453</v>
      </c>
      <c r="F7" s="284">
        <v>10162.536149690399</v>
      </c>
      <c r="G7" s="284">
        <v>8612.9826136966367</v>
      </c>
      <c r="H7" s="284">
        <v>9053.4828991064187</v>
      </c>
      <c r="I7" s="284">
        <v>6766.4124454505336</v>
      </c>
      <c r="J7" s="284">
        <v>5113.3504162601057</v>
      </c>
      <c r="K7" s="284">
        <v>5578.0828221681868</v>
      </c>
      <c r="L7" s="284">
        <v>4844.1064537648981</v>
      </c>
      <c r="M7" s="284">
        <v>5236.0449222608086</v>
      </c>
      <c r="N7" s="284">
        <v>6447.6229547246076</v>
      </c>
      <c r="O7" s="284">
        <v>9777.2771495505331</v>
      </c>
      <c r="P7" s="284">
        <v>9590.4246031949533</v>
      </c>
      <c r="Q7" s="284">
        <v>7819.425654223427</v>
      </c>
      <c r="R7" s="284">
        <v>7855.1874962772708</v>
      </c>
      <c r="S7" s="284">
        <v>6420.6639291051652</v>
      </c>
      <c r="T7" s="284">
        <v>6516.3164787262704</v>
      </c>
      <c r="U7" s="284">
        <v>4911.2083899129202</v>
      </c>
      <c r="V7" s="284">
        <v>4063.0236518782885</v>
      </c>
      <c r="W7" s="284">
        <v>4375.5550296524671</v>
      </c>
      <c r="X7" s="284">
        <v>4534.9677541856208</v>
      </c>
      <c r="Y7" s="284">
        <v>5306.1690403129105</v>
      </c>
      <c r="Z7" s="284">
        <v>6366.2746950983956</v>
      </c>
      <c r="AA7" s="284">
        <v>7491.6629012619978</v>
      </c>
      <c r="AB7" s="284">
        <v>6965.4129281327723</v>
      </c>
      <c r="AC7" s="284">
        <v>6297.1724052750333</v>
      </c>
      <c r="AD7" s="284">
        <v>6576.097134184427</v>
      </c>
      <c r="AE7" s="284">
        <v>5343.9306033567309</v>
      </c>
      <c r="AF7" s="284">
        <v>4636.09975082242</v>
      </c>
      <c r="AG7" s="284">
        <v>4164.1720488241945</v>
      </c>
      <c r="AH7" s="284">
        <v>3832.5358522038728</v>
      </c>
      <c r="AI7" s="284">
        <v>3335.1034954660795</v>
      </c>
      <c r="AJ7" s="284">
        <v>3193.8870240214901</v>
      </c>
      <c r="AK7" s="284">
        <v>3209.0086389798485</v>
      </c>
      <c r="AL7" s="284">
        <v>4157.4228183654559</v>
      </c>
      <c r="AM7" s="284">
        <v>4283.0039162577623</v>
      </c>
      <c r="AN7" s="284">
        <v>4166.4359692303142</v>
      </c>
      <c r="AO7" s="284">
        <v>3364.1788480011096</v>
      </c>
      <c r="AP7" s="284">
        <v>6504.9689933895779</v>
      </c>
      <c r="AQ7" s="284">
        <v>5625.5196202902125</v>
      </c>
      <c r="AR7" s="284">
        <v>6047.0492296555112</v>
      </c>
      <c r="AS7" s="284">
        <v>4735.5493189518984</v>
      </c>
      <c r="AT7" s="284">
        <v>4597.8307748420802</v>
      </c>
      <c r="AU7" s="284">
        <v>4898.5266298156166</v>
      </c>
      <c r="AV7" s="284">
        <v>5459.5266066549393</v>
      </c>
      <c r="AW7" s="284">
        <v>7096.5125222258339</v>
      </c>
      <c r="AX7" s="284">
        <v>8204.7734714526105</v>
      </c>
      <c r="AY7" s="284">
        <v>11265.583221246958</v>
      </c>
    </row>
    <row r="8" spans="1:51" ht="12.75" hidden="1" customHeight="1" x14ac:dyDescent="0.25">
      <c r="A8" s="59">
        <v>14</v>
      </c>
      <c r="B8" s="33" t="s">
        <v>50</v>
      </c>
      <c r="C8" s="59" t="s">
        <v>51</v>
      </c>
      <c r="D8" s="284">
        <v>0</v>
      </c>
      <c r="E8" s="284">
        <v>0</v>
      </c>
      <c r="F8" s="284">
        <v>0</v>
      </c>
      <c r="G8" s="284">
        <v>0</v>
      </c>
      <c r="H8" s="284">
        <v>0</v>
      </c>
      <c r="I8" s="284">
        <v>0</v>
      </c>
      <c r="J8" s="284">
        <v>0</v>
      </c>
      <c r="K8" s="284">
        <v>0</v>
      </c>
      <c r="L8" s="284">
        <v>0</v>
      </c>
      <c r="M8" s="284">
        <v>0</v>
      </c>
      <c r="N8" s="284">
        <v>0</v>
      </c>
      <c r="O8" s="284">
        <v>0</v>
      </c>
      <c r="P8" s="284">
        <v>0</v>
      </c>
      <c r="Q8" s="284">
        <v>0</v>
      </c>
      <c r="R8" s="284">
        <v>0</v>
      </c>
      <c r="S8" s="284">
        <v>0</v>
      </c>
      <c r="T8" s="284">
        <v>0</v>
      </c>
      <c r="U8" s="284">
        <v>0</v>
      </c>
      <c r="V8" s="284">
        <v>0</v>
      </c>
      <c r="W8" s="284">
        <v>0</v>
      </c>
      <c r="X8" s="284">
        <v>0</v>
      </c>
      <c r="Y8" s="284">
        <v>0</v>
      </c>
      <c r="Z8" s="284">
        <v>0</v>
      </c>
      <c r="AA8" s="284">
        <v>0</v>
      </c>
      <c r="AB8" s="284">
        <v>0</v>
      </c>
      <c r="AC8" s="284">
        <v>0</v>
      </c>
      <c r="AD8" s="284">
        <v>0</v>
      </c>
      <c r="AE8" s="284">
        <v>0</v>
      </c>
      <c r="AF8" s="284">
        <v>0</v>
      </c>
      <c r="AG8" s="284">
        <v>0</v>
      </c>
      <c r="AH8" s="284">
        <v>0</v>
      </c>
      <c r="AI8" s="284">
        <v>0</v>
      </c>
      <c r="AJ8" s="284">
        <v>0</v>
      </c>
      <c r="AK8" s="284">
        <v>0</v>
      </c>
      <c r="AL8" s="284">
        <v>0</v>
      </c>
      <c r="AM8" s="284">
        <v>0</v>
      </c>
      <c r="AN8" s="284">
        <v>0</v>
      </c>
      <c r="AO8" s="284">
        <v>0</v>
      </c>
      <c r="AP8" s="284">
        <v>0</v>
      </c>
      <c r="AQ8" s="284">
        <v>0</v>
      </c>
      <c r="AR8" s="284">
        <v>0</v>
      </c>
      <c r="AS8" s="284">
        <v>0</v>
      </c>
      <c r="AT8" s="284">
        <v>0</v>
      </c>
      <c r="AU8" s="284">
        <v>0</v>
      </c>
      <c r="AV8" s="284">
        <v>0</v>
      </c>
      <c r="AW8" s="284">
        <v>0</v>
      </c>
      <c r="AX8" s="284">
        <v>0</v>
      </c>
      <c r="AY8" s="284">
        <v>0</v>
      </c>
    </row>
    <row r="9" spans="1:51" ht="12.75" hidden="1" customHeight="1" x14ac:dyDescent="0.25">
      <c r="A9" s="59">
        <v>46</v>
      </c>
      <c r="B9" s="39" t="s">
        <v>3546</v>
      </c>
      <c r="C9" s="59" t="s">
        <v>123</v>
      </c>
      <c r="D9" s="284">
        <v>201.06277437554698</v>
      </c>
      <c r="E9" s="284">
        <v>231.40258664673644</v>
      </c>
      <c r="F9" s="284">
        <v>253.07519208628176</v>
      </c>
      <c r="G9" s="284">
        <v>214.48703328484467</v>
      </c>
      <c r="H9" s="284">
        <v>225.45670588448786</v>
      </c>
      <c r="I9" s="284">
        <v>168.50234076850685</v>
      </c>
      <c r="J9" s="284">
        <v>127.33653487066992</v>
      </c>
      <c r="K9" s="284">
        <v>138.90965413553872</v>
      </c>
      <c r="L9" s="284">
        <v>120.63161726714216</v>
      </c>
      <c r="M9" s="284">
        <v>130.39196662674837</v>
      </c>
      <c r="N9" s="284">
        <v>160.56360279875219</v>
      </c>
      <c r="O9" s="284">
        <v>243.48117991970898</v>
      </c>
      <c r="P9" s="284">
        <v>238.82803592452723</v>
      </c>
      <c r="Q9" s="284">
        <v>194.72527529530907</v>
      </c>
      <c r="R9" s="284">
        <v>195.61584384176501</v>
      </c>
      <c r="S9" s="284">
        <v>159.89224867153393</v>
      </c>
      <c r="T9" s="284">
        <v>162.27426109563154</v>
      </c>
      <c r="U9" s="284">
        <v>122.30264063472345</v>
      </c>
      <c r="V9" s="284">
        <v>101.18050022203656</v>
      </c>
      <c r="W9" s="284">
        <v>108.96339391099036</v>
      </c>
      <c r="X9" s="284">
        <v>112.93321062681623</v>
      </c>
      <c r="Y9" s="284">
        <v>132.13825066298841</v>
      </c>
      <c r="Z9" s="284">
        <v>158.53780666602054</v>
      </c>
      <c r="AA9" s="284">
        <v>186.56307833555024</v>
      </c>
      <c r="AB9" s="284">
        <v>173.45800189858852</v>
      </c>
      <c r="AC9" s="284">
        <v>156.8169689722543</v>
      </c>
      <c r="AD9" s="284">
        <v>163.76296437208464</v>
      </c>
      <c r="AE9" s="284">
        <v>133.07861778001796</v>
      </c>
      <c r="AF9" s="284">
        <v>115.45167640129782</v>
      </c>
      <c r="AG9" s="284">
        <v>103.69937440946906</v>
      </c>
      <c r="AH9" s="284">
        <v>95.440718014430402</v>
      </c>
      <c r="AI9" s="284">
        <v>83.053279743405511</v>
      </c>
      <c r="AJ9" s="284">
        <v>79.536599939252966</v>
      </c>
      <c r="AK9" s="284">
        <v>79.913169877492038</v>
      </c>
      <c r="AL9" s="284">
        <v>103.53129994758072</v>
      </c>
      <c r="AM9" s="284">
        <v>106.65861580686745</v>
      </c>
      <c r="AN9" s="284">
        <v>103.75575227452237</v>
      </c>
      <c r="AO9" s="284">
        <v>83.777336250501264</v>
      </c>
      <c r="AP9" s="284">
        <v>161.99167739910351</v>
      </c>
      <c r="AQ9" s="284">
        <v>140.09096130334203</v>
      </c>
      <c r="AR9" s="284">
        <v>150.58821172280827</v>
      </c>
      <c r="AS9" s="284">
        <v>117.92824506354383</v>
      </c>
      <c r="AT9" s="284">
        <v>114.49867330202079</v>
      </c>
      <c r="AU9" s="284">
        <v>121.98682981492971</v>
      </c>
      <c r="AV9" s="284">
        <v>135.95727723157543</v>
      </c>
      <c r="AW9" s="284">
        <v>176.72274354071746</v>
      </c>
      <c r="AX9" s="284">
        <v>204.32149925248299</v>
      </c>
      <c r="AY9" s="284">
        <v>280.54410785716351</v>
      </c>
    </row>
    <row r="10" spans="1:51" ht="12.75" hidden="1" customHeight="1" x14ac:dyDescent="0.25">
      <c r="A10" s="59">
        <v>327</v>
      </c>
      <c r="B10" s="221" t="s">
        <v>3632</v>
      </c>
      <c r="C10" s="59" t="s">
        <v>558</v>
      </c>
      <c r="D10" s="284">
        <v>2811.7589572602137</v>
      </c>
      <c r="E10" s="284">
        <v>3038.2437394451558</v>
      </c>
      <c r="F10" s="284">
        <v>3172.8428034404892</v>
      </c>
      <c r="G10" s="284">
        <v>2598.0841034495666</v>
      </c>
      <c r="H10" s="284">
        <v>2792.4992092212769</v>
      </c>
      <c r="I10" s="284">
        <v>2183.2762227933954</v>
      </c>
      <c r="J10" s="284">
        <v>1801.8661136747355</v>
      </c>
      <c r="K10" s="284">
        <v>1843.5291675188798</v>
      </c>
      <c r="L10" s="284">
        <v>2433.4677833692776</v>
      </c>
      <c r="M10" s="284">
        <v>3136.1244576016875</v>
      </c>
      <c r="N10" s="284">
        <v>3412.7425936040609</v>
      </c>
      <c r="O10" s="284">
        <v>3613.2373742512223</v>
      </c>
      <c r="P10" s="284">
        <v>4599.0192908129329</v>
      </c>
      <c r="Q10" s="284">
        <v>4824.4130421911177</v>
      </c>
      <c r="R10" s="284">
        <v>4154.6203106008161</v>
      </c>
      <c r="S10" s="284">
        <v>3816.5742996134195</v>
      </c>
      <c r="T10" s="284">
        <v>4094.3757825221451</v>
      </c>
      <c r="U10" s="284">
        <v>3075.9232290633759</v>
      </c>
      <c r="V10" s="284">
        <v>2691.693678211569</v>
      </c>
      <c r="W10" s="284">
        <v>2639.1118220509024</v>
      </c>
      <c r="X10" s="284">
        <v>2571.3378688090879</v>
      </c>
      <c r="Y10" s="284">
        <v>3353.3653460799355</v>
      </c>
      <c r="Z10" s="284">
        <v>4282.6961922332712</v>
      </c>
      <c r="AA10" s="284">
        <v>5305.8091134879905</v>
      </c>
      <c r="AB10" s="284">
        <v>5639.2637606107937</v>
      </c>
      <c r="AC10" s="284">
        <v>4916.9788453377196</v>
      </c>
      <c r="AD10" s="284">
        <v>4822.023630353292</v>
      </c>
      <c r="AE10" s="284">
        <v>3845.5060694642439</v>
      </c>
      <c r="AF10" s="284">
        <v>3392.0130122222017</v>
      </c>
      <c r="AG10" s="284">
        <v>3028.4667659260044</v>
      </c>
      <c r="AH10" s="284">
        <v>2893.6977941174086</v>
      </c>
      <c r="AI10" s="284">
        <v>2750.1043736438405</v>
      </c>
      <c r="AJ10" s="284">
        <v>2742.9317586522498</v>
      </c>
      <c r="AK10" s="284">
        <v>2959.2526518783634</v>
      </c>
      <c r="AL10" s="284">
        <v>3824.4878018950135</v>
      </c>
      <c r="AM10" s="284">
        <v>4359.0491558324265</v>
      </c>
      <c r="AN10" s="284">
        <v>4557.0390836649422</v>
      </c>
      <c r="AO10" s="284">
        <v>3958.1566080633952</v>
      </c>
      <c r="AP10" s="284">
        <v>4011.2235114910441</v>
      </c>
      <c r="AQ10" s="284">
        <v>3221.991938620271</v>
      </c>
      <c r="AR10" s="284">
        <v>3145.3767024631106</v>
      </c>
      <c r="AS10" s="284">
        <v>2701.0695053008631</v>
      </c>
      <c r="AT10" s="284">
        <v>2524.5985159032475</v>
      </c>
      <c r="AU10" s="284">
        <v>2564.7846916283215</v>
      </c>
      <c r="AV10" s="284">
        <v>2778.4998882295126</v>
      </c>
      <c r="AW10" s="284">
        <v>3273.401862361638</v>
      </c>
      <c r="AX10" s="284">
        <v>3603.130405714815</v>
      </c>
      <c r="AY10" s="284">
        <v>4701.3104812908532</v>
      </c>
    </row>
    <row r="11" spans="1:51" ht="12.75" hidden="1" customHeight="1" x14ac:dyDescent="0.25">
      <c r="A11" s="59">
        <v>32</v>
      </c>
      <c r="B11" s="39" t="s">
        <v>92</v>
      </c>
      <c r="C11" s="59" t="s">
        <v>93</v>
      </c>
      <c r="D11" s="284">
        <v>42.670093684537115</v>
      </c>
      <c r="E11" s="284">
        <v>0</v>
      </c>
      <c r="F11" s="284">
        <v>0</v>
      </c>
      <c r="G11" s="284">
        <v>73.384467241797765</v>
      </c>
      <c r="H11" s="284">
        <v>0</v>
      </c>
      <c r="I11" s="284">
        <v>0</v>
      </c>
      <c r="J11" s="284">
        <v>0</v>
      </c>
      <c r="K11" s="284">
        <v>0</v>
      </c>
      <c r="L11" s="284">
        <v>0</v>
      </c>
      <c r="M11" s="284">
        <v>0</v>
      </c>
      <c r="N11" s="284">
        <v>0</v>
      </c>
      <c r="O11" s="284">
        <v>0</v>
      </c>
      <c r="P11" s="284">
        <v>0</v>
      </c>
      <c r="Q11" s="284">
        <v>0</v>
      </c>
      <c r="R11" s="284">
        <v>0</v>
      </c>
      <c r="S11" s="284">
        <v>0</v>
      </c>
      <c r="T11" s="284">
        <v>0</v>
      </c>
      <c r="U11" s="284">
        <v>0</v>
      </c>
      <c r="V11" s="284">
        <v>0</v>
      </c>
      <c r="W11" s="284">
        <v>0</v>
      </c>
      <c r="X11" s="284">
        <v>0</v>
      </c>
      <c r="Y11" s="284">
        <v>0</v>
      </c>
      <c r="Z11" s="284">
        <v>0</v>
      </c>
      <c r="AA11" s="284">
        <v>0</v>
      </c>
      <c r="AB11" s="284">
        <v>0</v>
      </c>
      <c r="AC11" s="284">
        <v>0</v>
      </c>
      <c r="AD11" s="284">
        <v>0</v>
      </c>
      <c r="AE11" s="284">
        <v>0</v>
      </c>
      <c r="AF11" s="284">
        <v>0</v>
      </c>
      <c r="AG11" s="284">
        <v>0</v>
      </c>
      <c r="AH11" s="284">
        <v>0</v>
      </c>
      <c r="AI11" s="284">
        <v>0</v>
      </c>
      <c r="AJ11" s="284">
        <v>0</v>
      </c>
      <c r="AK11" s="284">
        <v>0</v>
      </c>
      <c r="AL11" s="284">
        <v>0</v>
      </c>
      <c r="AM11" s="284">
        <v>0</v>
      </c>
      <c r="AN11" s="284">
        <v>0</v>
      </c>
      <c r="AO11" s="284">
        <v>0</v>
      </c>
      <c r="AP11" s="284">
        <v>0</v>
      </c>
      <c r="AQ11" s="284">
        <v>0</v>
      </c>
      <c r="AR11" s="284">
        <v>0</v>
      </c>
      <c r="AS11" s="284">
        <v>0</v>
      </c>
      <c r="AT11" s="284">
        <v>0</v>
      </c>
      <c r="AU11" s="284">
        <v>0</v>
      </c>
      <c r="AV11" s="284">
        <v>0</v>
      </c>
      <c r="AW11" s="284">
        <v>0</v>
      </c>
      <c r="AX11" s="284">
        <v>0</v>
      </c>
      <c r="AY11" s="284">
        <v>0</v>
      </c>
    </row>
    <row r="12" spans="1:51" ht="12.75" hidden="1" customHeight="1" x14ac:dyDescent="0.25">
      <c r="A12" s="59">
        <v>110</v>
      </c>
      <c r="B12" s="39" t="s">
        <v>258</v>
      </c>
      <c r="C12" s="347" t="s">
        <v>259</v>
      </c>
      <c r="D12" s="284">
        <v>0</v>
      </c>
      <c r="E12" s="284">
        <v>0</v>
      </c>
      <c r="F12" s="284">
        <v>0</v>
      </c>
      <c r="G12" s="284">
        <v>0</v>
      </c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>
        <v>0</v>
      </c>
      <c r="U12" s="284">
        <v>0</v>
      </c>
      <c r="V12" s="284">
        <v>0</v>
      </c>
      <c r="W12" s="284"/>
      <c r="X12" s="284"/>
      <c r="Y12" s="284"/>
      <c r="Z12" s="284"/>
      <c r="AA12" s="284"/>
      <c r="AB12" s="284">
        <v>0</v>
      </c>
      <c r="AC12" s="284">
        <v>0</v>
      </c>
      <c r="AD12" s="284">
        <v>0</v>
      </c>
      <c r="AE12" s="284">
        <v>0</v>
      </c>
      <c r="AF12" s="284">
        <v>0</v>
      </c>
      <c r="AG12" s="284">
        <v>0</v>
      </c>
      <c r="AH12" s="284">
        <v>0</v>
      </c>
      <c r="AI12" s="284">
        <v>0</v>
      </c>
      <c r="AJ12" s="284">
        <v>0</v>
      </c>
      <c r="AK12" s="284">
        <v>0</v>
      </c>
      <c r="AL12" s="284">
        <v>0</v>
      </c>
      <c r="AM12" s="284">
        <v>0</v>
      </c>
      <c r="AN12" s="284">
        <v>0</v>
      </c>
      <c r="AO12" s="284">
        <v>0</v>
      </c>
      <c r="AP12" s="284">
        <v>0</v>
      </c>
      <c r="AQ12" s="284">
        <v>0</v>
      </c>
      <c r="AR12" s="284">
        <v>0</v>
      </c>
      <c r="AS12" s="284">
        <v>0</v>
      </c>
      <c r="AT12" s="284">
        <v>0</v>
      </c>
      <c r="AU12" s="284">
        <v>0</v>
      </c>
      <c r="AV12" s="284">
        <v>0</v>
      </c>
      <c r="AW12" s="284">
        <v>0</v>
      </c>
      <c r="AX12" s="284">
        <v>0</v>
      </c>
      <c r="AY12" s="284">
        <v>0</v>
      </c>
    </row>
    <row r="13" spans="1:51" ht="12.75" hidden="1" customHeight="1" x14ac:dyDescent="0.25">
      <c r="A13" s="59">
        <v>73</v>
      </c>
      <c r="B13" s="221" t="s">
        <v>3552</v>
      </c>
      <c r="C13" s="59" t="s">
        <v>174</v>
      </c>
      <c r="D13" s="284">
        <v>477.73468610399283</v>
      </c>
      <c r="E13" s="284">
        <v>214.13232007896133</v>
      </c>
      <c r="F13" s="284">
        <v>204.0311139033287</v>
      </c>
      <c r="G13" s="284">
        <v>148.73673131660533</v>
      </c>
      <c r="H13" s="284">
        <v>44</v>
      </c>
      <c r="I13" s="284">
        <v>47</v>
      </c>
      <c r="J13" s="284">
        <v>57</v>
      </c>
      <c r="K13" s="284">
        <v>65</v>
      </c>
      <c r="L13" s="284">
        <v>75</v>
      </c>
      <c r="M13" s="284">
        <v>0</v>
      </c>
      <c r="N13" s="284">
        <v>122</v>
      </c>
      <c r="O13" s="284">
        <v>67</v>
      </c>
      <c r="P13" s="284">
        <v>86</v>
      </c>
      <c r="Q13" s="284">
        <v>79</v>
      </c>
      <c r="R13" s="284">
        <v>64</v>
      </c>
      <c r="S13" s="284">
        <v>43</v>
      </c>
      <c r="T13" s="284">
        <v>44</v>
      </c>
      <c r="U13" s="284">
        <v>40</v>
      </c>
      <c r="V13" s="284">
        <v>57</v>
      </c>
      <c r="W13" s="284">
        <v>66</v>
      </c>
      <c r="X13" s="284">
        <v>48</v>
      </c>
      <c r="Y13" s="284">
        <v>0</v>
      </c>
      <c r="Z13" s="284">
        <v>55</v>
      </c>
      <c r="AA13" s="284">
        <v>53</v>
      </c>
      <c r="AB13" s="284">
        <v>0</v>
      </c>
      <c r="AC13" s="284">
        <v>50</v>
      </c>
      <c r="AD13" s="284">
        <v>0</v>
      </c>
      <c r="AE13" s="284">
        <v>32</v>
      </c>
      <c r="AF13" s="284">
        <v>16</v>
      </c>
      <c r="AG13" s="284">
        <v>29</v>
      </c>
      <c r="AH13" s="284">
        <v>28</v>
      </c>
      <c r="AI13" s="284">
        <v>15</v>
      </c>
      <c r="AJ13" s="284">
        <v>20</v>
      </c>
      <c r="AK13" s="284">
        <v>0</v>
      </c>
      <c r="AL13" s="284">
        <v>0</v>
      </c>
      <c r="AM13" s="284">
        <v>100</v>
      </c>
      <c r="AN13" s="284">
        <v>16</v>
      </c>
      <c r="AO13" s="284">
        <v>13</v>
      </c>
      <c r="AP13" s="284">
        <v>12</v>
      </c>
      <c r="AQ13" s="284">
        <v>12</v>
      </c>
      <c r="AR13" s="284">
        <v>10</v>
      </c>
      <c r="AS13" s="284">
        <v>10</v>
      </c>
      <c r="AT13" s="284">
        <v>23</v>
      </c>
      <c r="AU13" s="284">
        <v>31</v>
      </c>
      <c r="AV13" s="284">
        <v>35</v>
      </c>
      <c r="AW13" s="284">
        <v>19</v>
      </c>
      <c r="AX13" s="284">
        <v>23</v>
      </c>
      <c r="AY13" s="284">
        <v>48</v>
      </c>
    </row>
    <row r="14" spans="1:51" ht="12.75" hidden="1" customHeight="1" x14ac:dyDescent="0.25">
      <c r="A14" s="59">
        <v>23</v>
      </c>
      <c r="B14" s="39" t="s">
        <v>71</v>
      </c>
      <c r="C14" s="59" t="s">
        <v>72</v>
      </c>
      <c r="D14" s="284">
        <v>901.99590285927002</v>
      </c>
      <c r="E14" s="284">
        <v>943.75261971545717</v>
      </c>
      <c r="F14" s="284">
        <v>984.07607373328517</v>
      </c>
      <c r="G14" s="284">
        <v>815.41953188795787</v>
      </c>
      <c r="H14" s="284">
        <v>840.11679395708279</v>
      </c>
      <c r="I14" s="284">
        <v>657.05166094353376</v>
      </c>
      <c r="J14" s="284">
        <v>542.44191391491415</v>
      </c>
      <c r="K14" s="284">
        <v>554.96122566716667</v>
      </c>
      <c r="L14" s="284">
        <v>732.23160709796718</v>
      </c>
      <c r="M14" s="284">
        <v>942.37258568354991</v>
      </c>
      <c r="N14" s="284">
        <v>1027.4934412477039</v>
      </c>
      <c r="O14" s="284">
        <v>1085.7400250197686</v>
      </c>
      <c r="P14" s="284">
        <v>1382.9571765357407</v>
      </c>
      <c r="Q14" s="284">
        <v>1450.6856404901366</v>
      </c>
      <c r="R14" s="284">
        <v>1249.4199328072539</v>
      </c>
      <c r="S14" s="284">
        <v>1146.8406435408383</v>
      </c>
      <c r="T14" s="284">
        <v>1231.3170824687827</v>
      </c>
      <c r="U14" s="284">
        <v>925.28274640390589</v>
      </c>
      <c r="V14" s="284">
        <v>809.82578663479387</v>
      </c>
      <c r="W14" s="284">
        <v>794.02548903178933</v>
      </c>
      <c r="X14" s="284">
        <v>772.66012521350285</v>
      </c>
      <c r="Y14" s="284">
        <v>1007.6511996413636</v>
      </c>
      <c r="Z14" s="284">
        <v>1288.9053951571686</v>
      </c>
      <c r="AA14" s="284">
        <v>1595.3401229824749</v>
      </c>
      <c r="AB14" s="284">
        <v>1694.5397554478334</v>
      </c>
      <c r="AC14" s="284">
        <v>1620.5006958032941</v>
      </c>
      <c r="AD14" s="284">
        <v>1448.9676472337094</v>
      </c>
      <c r="AE14" s="284">
        <v>1317.5343376627777</v>
      </c>
      <c r="AF14" s="284">
        <v>1105.2644189397374</v>
      </c>
      <c r="AG14" s="284">
        <v>988.0225757765063</v>
      </c>
      <c r="AH14" s="284">
        <v>948.52590985964946</v>
      </c>
      <c r="AI14" s="284">
        <v>865.37758945073779</v>
      </c>
      <c r="AJ14" s="284">
        <v>824.22229369410604</v>
      </c>
      <c r="AK14" s="284">
        <v>889.22445870472677</v>
      </c>
      <c r="AL14" s="284">
        <v>1149.2185681760807</v>
      </c>
      <c r="AM14" s="284">
        <v>1309.8486618241311</v>
      </c>
      <c r="AN14" s="284">
        <v>1369.3425635341137</v>
      </c>
      <c r="AO14" s="284">
        <v>1189.3846458292815</v>
      </c>
      <c r="AP14" s="284">
        <v>1206.330695060879</v>
      </c>
      <c r="AQ14" s="284">
        <v>970.17486528296899</v>
      </c>
      <c r="AR14" s="284">
        <v>947.15278845653052</v>
      </c>
      <c r="AS14" s="284">
        <v>812.64312457418691</v>
      </c>
      <c r="AT14" s="284">
        <v>760.61543870742707</v>
      </c>
      <c r="AU14" s="284">
        <v>772.69096403773642</v>
      </c>
      <c r="AV14" s="284">
        <v>836.91014447643306</v>
      </c>
      <c r="AW14" s="284">
        <v>984.62300945611059</v>
      </c>
      <c r="AX14" s="284">
        <v>1084.7029867255806</v>
      </c>
      <c r="AY14" s="284">
        <v>1414.6946089835089</v>
      </c>
    </row>
    <row r="15" spans="1:51" ht="12.75" hidden="1" customHeight="1" x14ac:dyDescent="0.25">
      <c r="A15" s="59">
        <v>84</v>
      </c>
      <c r="B15" s="39" t="s">
        <v>3557</v>
      </c>
      <c r="C15" s="59" t="s">
        <v>198</v>
      </c>
      <c r="D15" s="284">
        <v>11.134458114190592</v>
      </c>
      <c r="E15" s="284">
        <v>0</v>
      </c>
      <c r="F15" s="284">
        <v>0</v>
      </c>
      <c r="G15" s="284">
        <v>19.149155911792384</v>
      </c>
      <c r="H15" s="284">
        <v>0</v>
      </c>
      <c r="I15" s="284">
        <v>0</v>
      </c>
      <c r="J15" s="284">
        <v>0</v>
      </c>
      <c r="K15" s="284">
        <v>0</v>
      </c>
      <c r="L15" s="284">
        <v>0</v>
      </c>
      <c r="M15" s="284">
        <v>0</v>
      </c>
      <c r="N15" s="284">
        <v>0</v>
      </c>
      <c r="O15" s="284">
        <v>0</v>
      </c>
      <c r="P15" s="284">
        <v>0</v>
      </c>
      <c r="Q15" s="284">
        <v>0</v>
      </c>
      <c r="R15" s="284">
        <v>0</v>
      </c>
      <c r="S15" s="284">
        <v>0</v>
      </c>
      <c r="T15" s="284">
        <v>0</v>
      </c>
      <c r="U15" s="284">
        <v>0</v>
      </c>
      <c r="V15" s="284">
        <v>0</v>
      </c>
      <c r="W15" s="284">
        <v>0</v>
      </c>
      <c r="X15" s="284">
        <v>0</v>
      </c>
      <c r="Y15" s="284">
        <v>0</v>
      </c>
      <c r="Z15" s="284">
        <v>0</v>
      </c>
      <c r="AA15" s="284">
        <v>0</v>
      </c>
      <c r="AB15" s="284">
        <v>0</v>
      </c>
      <c r="AC15" s="284">
        <v>0</v>
      </c>
      <c r="AD15" s="284">
        <v>0</v>
      </c>
      <c r="AE15" s="284">
        <v>0</v>
      </c>
      <c r="AF15" s="284">
        <v>0</v>
      </c>
      <c r="AG15" s="284">
        <v>0</v>
      </c>
      <c r="AH15" s="284">
        <v>0</v>
      </c>
      <c r="AI15" s="284">
        <v>0</v>
      </c>
      <c r="AJ15" s="284">
        <v>0</v>
      </c>
      <c r="AK15" s="284">
        <v>0</v>
      </c>
      <c r="AL15" s="284">
        <v>0</v>
      </c>
      <c r="AM15" s="284">
        <v>0</v>
      </c>
      <c r="AN15" s="284">
        <v>0</v>
      </c>
      <c r="AO15" s="284">
        <v>0</v>
      </c>
      <c r="AP15" s="284">
        <v>0</v>
      </c>
      <c r="AQ15" s="284">
        <v>0</v>
      </c>
      <c r="AR15" s="284">
        <v>0</v>
      </c>
      <c r="AS15" s="284">
        <v>0</v>
      </c>
      <c r="AT15" s="284">
        <v>0</v>
      </c>
      <c r="AU15" s="284">
        <v>0</v>
      </c>
      <c r="AV15" s="284">
        <v>0</v>
      </c>
      <c r="AW15" s="284">
        <v>0</v>
      </c>
      <c r="AX15" s="284">
        <v>0</v>
      </c>
      <c r="AY15" s="284">
        <v>0</v>
      </c>
    </row>
    <row r="16" spans="1:51" ht="12.75" hidden="1" customHeight="1" x14ac:dyDescent="0.25">
      <c r="A16" s="59">
        <v>254</v>
      </c>
      <c r="B16" s="39" t="s">
        <v>3606</v>
      </c>
      <c r="C16" s="59" t="s">
        <v>462</v>
      </c>
      <c r="D16" s="284">
        <v>0</v>
      </c>
      <c r="E16" s="284">
        <v>0</v>
      </c>
      <c r="F16" s="284">
        <v>0</v>
      </c>
      <c r="G16" s="284">
        <v>0</v>
      </c>
      <c r="H16" s="284">
        <v>0</v>
      </c>
      <c r="I16" s="284">
        <v>0</v>
      </c>
      <c r="J16" s="284">
        <v>0</v>
      </c>
      <c r="K16" s="284">
        <v>0</v>
      </c>
      <c r="L16" s="284">
        <v>0</v>
      </c>
      <c r="M16" s="284">
        <v>0</v>
      </c>
      <c r="N16" s="284">
        <v>0</v>
      </c>
      <c r="O16" s="284">
        <v>0</v>
      </c>
      <c r="P16" s="284">
        <v>0</v>
      </c>
      <c r="Q16" s="284">
        <v>0</v>
      </c>
      <c r="R16" s="284">
        <v>0</v>
      </c>
      <c r="S16" s="284">
        <v>0</v>
      </c>
      <c r="T16" s="284">
        <v>0</v>
      </c>
      <c r="U16" s="284">
        <v>0</v>
      </c>
      <c r="V16" s="284">
        <v>0</v>
      </c>
      <c r="W16" s="284">
        <v>0</v>
      </c>
      <c r="X16" s="284">
        <v>0</v>
      </c>
      <c r="Y16" s="284">
        <v>0</v>
      </c>
      <c r="Z16" s="284">
        <v>0</v>
      </c>
      <c r="AA16" s="284">
        <v>0</v>
      </c>
      <c r="AB16" s="284">
        <v>0</v>
      </c>
      <c r="AC16" s="284">
        <v>0</v>
      </c>
      <c r="AD16" s="284">
        <v>0</v>
      </c>
      <c r="AE16" s="284">
        <v>0</v>
      </c>
      <c r="AF16" s="284">
        <v>0</v>
      </c>
      <c r="AG16" s="284">
        <v>0</v>
      </c>
      <c r="AH16" s="284">
        <v>0</v>
      </c>
      <c r="AI16" s="284">
        <v>0</v>
      </c>
      <c r="AJ16" s="284">
        <v>0</v>
      </c>
      <c r="AK16" s="284">
        <v>0</v>
      </c>
      <c r="AL16" s="284">
        <v>0</v>
      </c>
      <c r="AM16" s="284">
        <v>0</v>
      </c>
      <c r="AN16" s="284">
        <v>0</v>
      </c>
      <c r="AO16" s="284">
        <v>0</v>
      </c>
      <c r="AP16" s="284">
        <v>0</v>
      </c>
      <c r="AQ16" s="284">
        <v>0</v>
      </c>
      <c r="AR16" s="284">
        <v>0</v>
      </c>
      <c r="AS16" s="284">
        <v>0</v>
      </c>
      <c r="AT16" s="284">
        <v>0</v>
      </c>
      <c r="AU16" s="284">
        <v>0</v>
      </c>
      <c r="AV16" s="284">
        <v>0</v>
      </c>
      <c r="AW16" s="284">
        <v>0</v>
      </c>
      <c r="AX16" s="284">
        <v>0</v>
      </c>
      <c r="AY16" s="284">
        <v>0</v>
      </c>
    </row>
    <row r="17" spans="1:51" ht="12.75" hidden="1" customHeight="1" x14ac:dyDescent="0.25">
      <c r="A17" s="59">
        <v>254.1</v>
      </c>
      <c r="B17" s="39" t="s">
        <v>3607</v>
      </c>
      <c r="C17" s="59" t="s">
        <v>462</v>
      </c>
      <c r="D17" s="284">
        <v>1713.4349946770803</v>
      </c>
      <c r="E17" s="284">
        <v>1851.450719871259</v>
      </c>
      <c r="F17" s="284">
        <v>1933.4729522197629</v>
      </c>
      <c r="G17" s="284">
        <v>1583.2254078786377</v>
      </c>
      <c r="H17" s="284">
        <v>1701.6984529677111</v>
      </c>
      <c r="I17" s="284">
        <v>1330.4489965333812</v>
      </c>
      <c r="J17" s="284">
        <v>1098.0245824135063</v>
      </c>
      <c r="K17" s="284">
        <v>1123.4132930130922</v>
      </c>
      <c r="L17" s="284">
        <v>1482.911203208914</v>
      </c>
      <c r="M17" s="284">
        <v>1911.0974571424174</v>
      </c>
      <c r="N17" s="284">
        <v>2079.6635403640903</v>
      </c>
      <c r="O17" s="284">
        <v>2201.8414292346547</v>
      </c>
      <c r="P17" s="284">
        <v>2802.5590791581444</v>
      </c>
      <c r="Q17" s="284">
        <v>2939.9099499345066</v>
      </c>
      <c r="R17" s="284">
        <v>2531.7503875638245</v>
      </c>
      <c r="S17" s="284">
        <v>2325.7512696304743</v>
      </c>
      <c r="T17" s="284">
        <v>2495.0384630294448</v>
      </c>
      <c r="U17" s="284">
        <v>1874.4119185638876</v>
      </c>
      <c r="V17" s="284">
        <v>1640.2693877048264</v>
      </c>
      <c r="W17" s="284">
        <v>1608.2269566855784</v>
      </c>
      <c r="X17" s="284">
        <v>1566.9267367957173</v>
      </c>
      <c r="Y17" s="284">
        <v>2043.4801208953843</v>
      </c>
      <c r="Z17" s="284">
        <v>2609.7975106988033</v>
      </c>
      <c r="AA17" s="284">
        <v>3233.2639989116828</v>
      </c>
      <c r="AB17" s="284">
        <v>3436.4652228439909</v>
      </c>
      <c r="AC17" s="284">
        <v>2996.3178742383457</v>
      </c>
      <c r="AD17" s="284">
        <v>2938.45388562677</v>
      </c>
      <c r="AE17" s="284">
        <v>2343.3817662960387</v>
      </c>
      <c r="AF17" s="284">
        <v>2067.0313088305265</v>
      </c>
      <c r="AG17" s="284">
        <v>1845.4928092450693</v>
      </c>
      <c r="AH17" s="284">
        <v>1763.3670381517663</v>
      </c>
      <c r="AI17" s="284">
        <v>1675.8638078305823</v>
      </c>
      <c r="AJ17" s="284">
        <v>1671.4929461327104</v>
      </c>
      <c r="AK17" s="284">
        <v>1803.3149814378248</v>
      </c>
      <c r="AL17" s="284">
        <v>2330.5736146272702</v>
      </c>
      <c r="AM17" s="284">
        <v>2656.3256241561444</v>
      </c>
      <c r="AN17" s="284">
        <v>2776.9771010780428</v>
      </c>
      <c r="AO17" s="284">
        <v>2412.028964700658</v>
      </c>
      <c r="AP17" s="284">
        <v>2444.3669747414201</v>
      </c>
      <c r="AQ17" s="284">
        <v>1963.4235452311959</v>
      </c>
      <c r="AR17" s="284">
        <v>1916.7356076261028</v>
      </c>
      <c r="AS17" s="284">
        <v>1645.9828469604129</v>
      </c>
      <c r="AT17" s="284">
        <v>1538.4446214669324</v>
      </c>
      <c r="AU17" s="284">
        <v>1562.9333492833023</v>
      </c>
      <c r="AV17" s="284">
        <v>1693.1675202477957</v>
      </c>
      <c r="AW17" s="284">
        <v>1994.7518218548694</v>
      </c>
      <c r="AX17" s="284">
        <v>2195.6824256203286</v>
      </c>
      <c r="AY17" s="284">
        <v>2864.8934783994041</v>
      </c>
    </row>
    <row r="18" spans="1:51" ht="12.75" hidden="1" customHeight="1" x14ac:dyDescent="0.25">
      <c r="A18" s="59">
        <v>144</v>
      </c>
      <c r="B18" s="39" t="s">
        <v>328</v>
      </c>
      <c r="C18" s="59" t="s">
        <v>329</v>
      </c>
      <c r="D18" s="284">
        <v>0</v>
      </c>
      <c r="E18" s="284">
        <v>0</v>
      </c>
      <c r="F18" s="284">
        <v>0</v>
      </c>
      <c r="G18" s="284">
        <v>0</v>
      </c>
      <c r="H18" s="284">
        <v>0</v>
      </c>
      <c r="I18" s="284">
        <v>0</v>
      </c>
      <c r="J18" s="284">
        <v>0</v>
      </c>
      <c r="K18" s="284">
        <v>0</v>
      </c>
      <c r="L18" s="284">
        <v>0</v>
      </c>
      <c r="M18" s="284">
        <v>0</v>
      </c>
      <c r="N18" s="284">
        <v>0</v>
      </c>
      <c r="O18" s="284">
        <v>0</v>
      </c>
      <c r="P18" s="284">
        <v>0</v>
      </c>
      <c r="Q18" s="284">
        <v>0</v>
      </c>
      <c r="R18" s="284">
        <v>0</v>
      </c>
      <c r="S18" s="284">
        <v>0</v>
      </c>
      <c r="T18" s="284">
        <v>0</v>
      </c>
      <c r="U18" s="284">
        <v>0</v>
      </c>
      <c r="V18" s="284">
        <v>0</v>
      </c>
      <c r="W18" s="284">
        <v>0</v>
      </c>
      <c r="X18" s="284">
        <v>0</v>
      </c>
      <c r="Y18" s="284">
        <v>0</v>
      </c>
      <c r="Z18" s="284">
        <v>0</v>
      </c>
      <c r="AA18" s="284">
        <v>0</v>
      </c>
      <c r="AB18" s="284">
        <v>0</v>
      </c>
      <c r="AC18" s="284">
        <v>0</v>
      </c>
      <c r="AD18" s="284">
        <v>0</v>
      </c>
      <c r="AE18" s="284">
        <v>0</v>
      </c>
      <c r="AF18" s="284">
        <v>0</v>
      </c>
      <c r="AG18" s="284">
        <v>0</v>
      </c>
      <c r="AH18" s="284">
        <v>0</v>
      </c>
      <c r="AI18" s="284">
        <v>0</v>
      </c>
      <c r="AJ18" s="284">
        <v>0</v>
      </c>
      <c r="AK18" s="284">
        <v>0</v>
      </c>
      <c r="AL18" s="284">
        <v>0</v>
      </c>
      <c r="AM18" s="284">
        <v>0</v>
      </c>
      <c r="AN18" s="284">
        <v>0</v>
      </c>
      <c r="AO18" s="284">
        <v>0</v>
      </c>
      <c r="AP18" s="284">
        <v>0</v>
      </c>
      <c r="AQ18" s="284">
        <v>0</v>
      </c>
      <c r="AR18" s="284">
        <v>0</v>
      </c>
      <c r="AS18" s="284">
        <v>0</v>
      </c>
      <c r="AT18" s="284">
        <v>0</v>
      </c>
      <c r="AU18" s="284">
        <v>0</v>
      </c>
      <c r="AV18" s="284">
        <v>0</v>
      </c>
      <c r="AW18" s="284">
        <v>0</v>
      </c>
      <c r="AX18" s="284">
        <v>0</v>
      </c>
      <c r="AY18" s="284">
        <v>0</v>
      </c>
    </row>
    <row r="19" spans="1:51" ht="12.75" hidden="1" customHeight="1" x14ac:dyDescent="0.25">
      <c r="A19" s="59">
        <v>8</v>
      </c>
      <c r="B19" s="39" t="s">
        <v>38</v>
      </c>
      <c r="C19" s="59" t="s">
        <v>39</v>
      </c>
      <c r="D19" s="284">
        <v>1771.5100892610674</v>
      </c>
      <c r="E19" s="284">
        <v>2038.8260243545976</v>
      </c>
      <c r="F19" s="284">
        <v>2229.7775285102975</v>
      </c>
      <c r="G19" s="284">
        <v>1889.7876280672056</v>
      </c>
      <c r="H19" s="284">
        <v>1986.4384663266126</v>
      </c>
      <c r="I19" s="284">
        <v>1484.6288561500126</v>
      </c>
      <c r="J19" s="284">
        <v>1121.9279996286077</v>
      </c>
      <c r="K19" s="284">
        <v>1223.8956443386276</v>
      </c>
      <c r="L19" s="284">
        <v>1062.8527719082936</v>
      </c>
      <c r="M19" s="284">
        <v>1148.8485879859118</v>
      </c>
      <c r="N19" s="284">
        <v>1414.6827686502336</v>
      </c>
      <c r="O19" s="284">
        <v>2145.2472647538048</v>
      </c>
      <c r="P19" s="284">
        <v>2104.2496630851224</v>
      </c>
      <c r="Q19" s="284">
        <v>1715.6720874420214</v>
      </c>
      <c r="R19" s="284">
        <v>1723.5186476525084</v>
      </c>
      <c r="S19" s="284">
        <v>1408.7676477954262</v>
      </c>
      <c r="T19" s="284">
        <v>1429.7549193335801</v>
      </c>
      <c r="U19" s="284">
        <v>1077.5757098775673</v>
      </c>
      <c r="V19" s="284">
        <v>891.47420519040975</v>
      </c>
      <c r="W19" s="284">
        <v>960.04719059981016</v>
      </c>
      <c r="X19" s="284">
        <v>995.02417918680362</v>
      </c>
      <c r="Y19" s="284">
        <v>1164.2346274878666</v>
      </c>
      <c r="Z19" s="284">
        <v>1396.83402315736</v>
      </c>
      <c r="AA19" s="284">
        <v>1643.7571628138487</v>
      </c>
      <c r="AB19" s="284">
        <v>1528.2918550226982</v>
      </c>
      <c r="AC19" s="284">
        <v>1381.6721845427508</v>
      </c>
      <c r="AD19" s="284">
        <v>1442.8714839604402</v>
      </c>
      <c r="AE19" s="284">
        <v>1172.5199495252302</v>
      </c>
      <c r="AF19" s="284">
        <v>1017.2137045368299</v>
      </c>
      <c r="AG19" s="284">
        <v>913.66732895722578</v>
      </c>
      <c r="AH19" s="284">
        <v>840.90252615874851</v>
      </c>
      <c r="AI19" s="284">
        <v>731.76013545329079</v>
      </c>
      <c r="AJ19" s="284">
        <v>700.77561445926153</v>
      </c>
      <c r="AK19" s="284">
        <v>704.09347101910862</v>
      </c>
      <c r="AL19" s="284">
        <v>912.18647002693876</v>
      </c>
      <c r="AM19" s="284">
        <v>939.74040990585831</v>
      </c>
      <c r="AN19" s="284">
        <v>914.16405918022758</v>
      </c>
      <c r="AO19" s="284">
        <v>738.13960281863933</v>
      </c>
      <c r="AP19" s="284">
        <v>1427.2651502999292</v>
      </c>
      <c r="AQ19" s="284">
        <v>1234.3038244345178</v>
      </c>
      <c r="AR19" s="284">
        <v>1326.7922777811857</v>
      </c>
      <c r="AS19" s="284">
        <v>1039.0340856866594</v>
      </c>
      <c r="AT19" s="284">
        <v>1008.817050254556</v>
      </c>
      <c r="AU19" s="284">
        <v>1074.7931855873301</v>
      </c>
      <c r="AV19" s="284">
        <v>1197.8830445974972</v>
      </c>
      <c r="AW19" s="284">
        <v>1557.0566165546345</v>
      </c>
      <c r="AX19" s="284">
        <v>1800.2218386913005</v>
      </c>
      <c r="AY19" s="284">
        <v>2471.7987658094962</v>
      </c>
    </row>
    <row r="20" spans="1:51" ht="12.75" hidden="1" customHeight="1" x14ac:dyDescent="0.25">
      <c r="A20" s="59">
        <v>88</v>
      </c>
      <c r="B20" s="39" t="s">
        <v>209</v>
      </c>
      <c r="C20" s="59" t="s">
        <v>210</v>
      </c>
      <c r="D20" s="284">
        <v>3365.4799999482102</v>
      </c>
      <c r="E20" s="284">
        <v>3873.3215520107169</v>
      </c>
      <c r="F20" s="284">
        <v>4236.0874612153866</v>
      </c>
      <c r="G20" s="284">
        <v>3590.1813401822901</v>
      </c>
      <c r="H20" s="284">
        <v>3773.7967003837907</v>
      </c>
      <c r="I20" s="284">
        <v>2820.4686798046923</v>
      </c>
      <c r="J20" s="284">
        <v>2131.4167314209062</v>
      </c>
      <c r="K20" s="284">
        <v>2325.1328558695905</v>
      </c>
      <c r="L20" s="284">
        <v>2019.1867765421091</v>
      </c>
      <c r="M20" s="284">
        <v>2182.5599353194157</v>
      </c>
      <c r="N20" s="284">
        <v>2687.5864794818453</v>
      </c>
      <c r="O20" s="284">
        <v>4075.4985298921179</v>
      </c>
      <c r="P20" s="284">
        <v>3997.6120931745322</v>
      </c>
      <c r="Q20" s="284">
        <v>3259.4000631201584</v>
      </c>
      <c r="R20" s="284">
        <v>3274.3068037686398</v>
      </c>
      <c r="S20" s="284">
        <v>2676.3490493058575</v>
      </c>
      <c r="T20" s="284">
        <v>2716.22025469346</v>
      </c>
      <c r="U20" s="284">
        <v>2047.1571243128842</v>
      </c>
      <c r="V20" s="284">
        <v>1693.6051486387589</v>
      </c>
      <c r="W20" s="284">
        <v>1823.8787566362955</v>
      </c>
      <c r="X20" s="284">
        <v>1890.3273511216053</v>
      </c>
      <c r="Y20" s="284">
        <v>2211.7900303305264</v>
      </c>
      <c r="Z20" s="284">
        <v>2653.6777841012349</v>
      </c>
      <c r="AA20" s="284">
        <v>3122.7775047722953</v>
      </c>
      <c r="AB20" s="284">
        <v>2903.4187856689382</v>
      </c>
      <c r="AC20" s="284">
        <v>2624.8736215230842</v>
      </c>
      <c r="AD20" s="284">
        <v>2741.1388460056546</v>
      </c>
      <c r="AE20" s="284">
        <v>2227.530322061808</v>
      </c>
      <c r="AF20" s="284">
        <v>1932.4825746377228</v>
      </c>
      <c r="AG20" s="284">
        <v>1735.7672083562677</v>
      </c>
      <c r="AH20" s="284">
        <v>1597.5300681881311</v>
      </c>
      <c r="AI20" s="284">
        <v>1390.1835025137766</v>
      </c>
      <c r="AJ20" s="284">
        <v>1331.3197193801013</v>
      </c>
      <c r="AK20" s="284">
        <v>1337.6229179690069</v>
      </c>
      <c r="AL20" s="284">
        <v>1732.9539017074162</v>
      </c>
      <c r="AM20" s="284">
        <v>1785.3003343607916</v>
      </c>
      <c r="AN20" s="284">
        <v>1736.710886657067</v>
      </c>
      <c r="AO20" s="284">
        <v>1402.3030890510217</v>
      </c>
      <c r="AP20" s="284">
        <v>2711.490240488044</v>
      </c>
      <c r="AQ20" s="284">
        <v>2344.9061115574477</v>
      </c>
      <c r="AR20" s="284">
        <v>2520.6138548275921</v>
      </c>
      <c r="AS20" s="284">
        <v>1973.9365052679623</v>
      </c>
      <c r="AT20" s="284">
        <v>1916.5307760988501</v>
      </c>
      <c r="AU20" s="284">
        <v>2041.8709394331418</v>
      </c>
      <c r="AV20" s="284">
        <v>2275.7146308726624</v>
      </c>
      <c r="AW20" s="284">
        <v>2958.0655134667977</v>
      </c>
      <c r="AX20" s="284">
        <v>3420.0260163986613</v>
      </c>
      <c r="AY20" s="284">
        <v>4695.8746442694355</v>
      </c>
    </row>
    <row r="21" spans="1:51" ht="13.5" hidden="1" customHeight="1" x14ac:dyDescent="0.25">
      <c r="A21" s="59">
        <v>281</v>
      </c>
      <c r="B21" s="221" t="s">
        <v>3619</v>
      </c>
      <c r="C21" s="59" t="s">
        <v>518</v>
      </c>
      <c r="D21" s="284">
        <v>0</v>
      </c>
      <c r="E21" s="284">
        <v>4677</v>
      </c>
      <c r="F21" s="284">
        <v>1948</v>
      </c>
      <c r="G21" s="284">
        <v>1878</v>
      </c>
      <c r="H21" s="284">
        <v>162</v>
      </c>
      <c r="I21" s="284">
        <v>907</v>
      </c>
      <c r="J21" s="284">
        <v>1183</v>
      </c>
      <c r="K21" s="284">
        <v>1317</v>
      </c>
      <c r="L21" s="284">
        <v>1590</v>
      </c>
      <c r="M21" s="284">
        <v>2159</v>
      </c>
      <c r="N21" s="284">
        <v>3069</v>
      </c>
      <c r="O21" s="284">
        <v>3105</v>
      </c>
      <c r="P21" s="284">
        <v>964</v>
      </c>
      <c r="Q21" s="284">
        <v>160</v>
      </c>
      <c r="R21" s="284">
        <v>164</v>
      </c>
      <c r="S21" s="284">
        <v>162</v>
      </c>
      <c r="T21" s="284">
        <v>151</v>
      </c>
      <c r="U21" s="284">
        <v>147</v>
      </c>
      <c r="V21" s="284">
        <v>140</v>
      </c>
      <c r="W21" s="284">
        <v>143</v>
      </c>
      <c r="X21" s="284">
        <v>1389</v>
      </c>
      <c r="Y21" s="284">
        <v>0</v>
      </c>
      <c r="Z21" s="284">
        <v>5830</v>
      </c>
      <c r="AA21" s="284">
        <v>2804</v>
      </c>
      <c r="AB21" s="284">
        <v>0</v>
      </c>
      <c r="AC21" s="284">
        <v>3818</v>
      </c>
      <c r="AD21" s="284">
        <v>1179</v>
      </c>
      <c r="AE21" s="284">
        <v>117</v>
      </c>
      <c r="AF21" s="284">
        <v>1908</v>
      </c>
      <c r="AG21" s="284">
        <v>2755</v>
      </c>
      <c r="AH21" s="284">
        <v>1663</v>
      </c>
      <c r="AI21" s="284">
        <v>2902</v>
      </c>
      <c r="AJ21" s="284">
        <v>5052</v>
      </c>
      <c r="AK21" s="284">
        <v>0</v>
      </c>
      <c r="AL21" s="284">
        <v>0</v>
      </c>
      <c r="AM21" s="284">
        <v>6533</v>
      </c>
      <c r="AN21" s="284">
        <v>3061</v>
      </c>
      <c r="AO21" s="284">
        <v>4163</v>
      </c>
      <c r="AP21" s="284">
        <v>3199</v>
      </c>
      <c r="AQ21" s="284">
        <v>3760</v>
      </c>
      <c r="AR21" s="284">
        <v>1283</v>
      </c>
      <c r="AS21" s="284">
        <v>823</v>
      </c>
      <c r="AT21" s="284">
        <v>194</v>
      </c>
      <c r="AU21" s="284">
        <v>2322</v>
      </c>
      <c r="AV21" s="284">
        <v>0</v>
      </c>
      <c r="AW21" s="284">
        <v>5484</v>
      </c>
      <c r="AX21" s="284">
        <v>0</v>
      </c>
      <c r="AY21" s="284">
        <v>0</v>
      </c>
    </row>
    <row r="22" spans="1:51" ht="12.75" hidden="1" customHeight="1" x14ac:dyDescent="0.25">
      <c r="A22" s="59">
        <v>15</v>
      </c>
      <c r="B22" s="39" t="s">
        <v>3536</v>
      </c>
      <c r="C22" s="59" t="s">
        <v>54</v>
      </c>
      <c r="D22" s="284">
        <v>199.46682844777607</v>
      </c>
      <c r="E22" s="284">
        <v>251.52159745195237</v>
      </c>
      <c r="F22" s="284">
        <v>265.36839787306184</v>
      </c>
      <c r="G22" s="284">
        <v>0</v>
      </c>
      <c r="H22" s="284">
        <v>28.176786041679392</v>
      </c>
      <c r="I22" s="284">
        <v>1.0059280147972953</v>
      </c>
      <c r="J22" s="284">
        <v>0</v>
      </c>
      <c r="K22" s="284">
        <v>0</v>
      </c>
      <c r="L22" s="284">
        <v>0</v>
      </c>
      <c r="M22" s="284">
        <v>4.0152145549742677</v>
      </c>
      <c r="N22" s="284">
        <v>48.177621797436842</v>
      </c>
      <c r="O22" s="284">
        <v>276.35381709772577</v>
      </c>
      <c r="P22" s="284">
        <v>272.77945737699571</v>
      </c>
      <c r="Q22" s="284">
        <v>279.41787429117699</v>
      </c>
      <c r="R22" s="284">
        <v>97.387488844502954</v>
      </c>
      <c r="S22" s="284">
        <v>20.074122902363939</v>
      </c>
      <c r="T22" s="284">
        <v>27.086218958262904</v>
      </c>
      <c r="U22" s="284">
        <v>0</v>
      </c>
      <c r="V22" s="284">
        <v>0</v>
      </c>
      <c r="W22" s="284">
        <v>0</v>
      </c>
      <c r="X22" s="284">
        <v>2.0054363748819939</v>
      </c>
      <c r="Y22" s="284">
        <v>24.063852909686616</v>
      </c>
      <c r="Z22" s="284">
        <v>123.37962962962963</v>
      </c>
      <c r="AA22" s="284">
        <v>196.45884093827308</v>
      </c>
      <c r="AB22" s="284">
        <v>137.44043010642861</v>
      </c>
      <c r="AC22" s="284">
        <v>144.43840670663715</v>
      </c>
      <c r="AD22" s="284">
        <v>172.44067333807791</v>
      </c>
      <c r="AE22" s="284">
        <v>59.124845901737899</v>
      </c>
      <c r="AF22" s="284">
        <v>4.0012652024769446</v>
      </c>
      <c r="AG22" s="284">
        <v>0</v>
      </c>
      <c r="AH22" s="284">
        <v>0</v>
      </c>
      <c r="AI22" s="284">
        <v>0</v>
      </c>
      <c r="AJ22" s="284">
        <v>1.0021427816088118</v>
      </c>
      <c r="AK22" s="284">
        <v>24.035707347001377</v>
      </c>
      <c r="AL22" s="284">
        <v>215.22538937699682</v>
      </c>
      <c r="AM22" s="284">
        <v>357.63649138327014</v>
      </c>
      <c r="AN22" s="284">
        <v>359.87800821756991</v>
      </c>
      <c r="AO22" s="284">
        <v>146.35998494259363</v>
      </c>
      <c r="AP22" s="284">
        <v>163.31088795585336</v>
      </c>
      <c r="AQ22" s="284">
        <v>62.100218765192018</v>
      </c>
      <c r="AR22" s="284">
        <v>20.029187744426874</v>
      </c>
      <c r="AS22" s="284">
        <v>3.0051829934269327</v>
      </c>
      <c r="AT22" s="284">
        <v>0</v>
      </c>
      <c r="AU22" s="284">
        <v>0</v>
      </c>
      <c r="AV22" s="284">
        <v>4.0078976072459174</v>
      </c>
      <c r="AW22" s="284">
        <v>72.19159630736884</v>
      </c>
      <c r="AX22" s="284">
        <v>108.17063797079172</v>
      </c>
      <c r="AY22" s="284">
        <v>236.52464107421267</v>
      </c>
    </row>
    <row r="23" spans="1:51" ht="12.75" hidden="1" customHeight="1" x14ac:dyDescent="0.25">
      <c r="A23" s="59">
        <v>316</v>
      </c>
      <c r="B23" s="221" t="s">
        <v>3629</v>
      </c>
      <c r="C23" s="59" t="s">
        <v>552</v>
      </c>
      <c r="D23" s="284">
        <v>0</v>
      </c>
      <c r="E23" s="284">
        <v>1081</v>
      </c>
      <c r="F23" s="284">
        <v>182</v>
      </c>
      <c r="G23" s="284">
        <v>296</v>
      </c>
      <c r="H23" s="284">
        <v>406</v>
      </c>
      <c r="I23" s="284">
        <v>275</v>
      </c>
      <c r="J23" s="284">
        <v>251</v>
      </c>
      <c r="K23" s="284">
        <v>320</v>
      </c>
      <c r="L23" s="284">
        <v>447</v>
      </c>
      <c r="M23" s="284">
        <v>1043</v>
      </c>
      <c r="N23" s="284">
        <v>1408</v>
      </c>
      <c r="O23" s="284">
        <v>1380</v>
      </c>
      <c r="P23" s="284">
        <v>1212</v>
      </c>
      <c r="Q23" s="284">
        <v>393</v>
      </c>
      <c r="R23" s="284">
        <v>499</v>
      </c>
      <c r="S23" s="284">
        <v>406</v>
      </c>
      <c r="T23" s="284">
        <v>207</v>
      </c>
      <c r="U23" s="284">
        <v>195</v>
      </c>
      <c r="V23" s="284">
        <v>208</v>
      </c>
      <c r="W23" s="284">
        <v>150</v>
      </c>
      <c r="X23" s="284">
        <v>176</v>
      </c>
      <c r="Y23" s="284">
        <v>0</v>
      </c>
      <c r="Z23" s="284">
        <v>1925</v>
      </c>
      <c r="AA23" s="284">
        <v>1068</v>
      </c>
      <c r="AB23" s="284">
        <v>0</v>
      </c>
      <c r="AC23" s="284">
        <v>1636</v>
      </c>
      <c r="AD23" s="284">
        <v>260</v>
      </c>
      <c r="AE23" s="284">
        <v>73</v>
      </c>
      <c r="AF23" s="284">
        <v>2</v>
      </c>
      <c r="AG23" s="284">
        <v>0</v>
      </c>
      <c r="AH23" s="284">
        <v>376</v>
      </c>
      <c r="AI23" s="284">
        <v>346</v>
      </c>
      <c r="AJ23" s="284">
        <v>349</v>
      </c>
      <c r="AK23" s="284">
        <v>0</v>
      </c>
      <c r="AL23" s="284">
        <v>0</v>
      </c>
      <c r="AM23" s="284">
        <v>3788</v>
      </c>
      <c r="AN23" s="284">
        <v>2199</v>
      </c>
      <c r="AO23" s="284">
        <v>1030</v>
      </c>
      <c r="AP23" s="284">
        <v>1283</v>
      </c>
      <c r="AQ23" s="284">
        <v>1021</v>
      </c>
      <c r="AR23" s="284">
        <v>796</v>
      </c>
      <c r="AS23" s="284">
        <v>631</v>
      </c>
      <c r="AT23" s="284">
        <v>721</v>
      </c>
      <c r="AU23" s="284">
        <v>546</v>
      </c>
      <c r="AV23" s="284">
        <v>180</v>
      </c>
      <c r="AW23" s="284">
        <v>469</v>
      </c>
      <c r="AX23" s="284">
        <v>1085</v>
      </c>
      <c r="AY23" s="284">
        <v>968</v>
      </c>
    </row>
    <row r="24" spans="1:51" ht="12.75" hidden="1" customHeight="1" x14ac:dyDescent="0.25">
      <c r="A24" s="59">
        <v>10</v>
      </c>
      <c r="B24" s="39" t="s">
        <v>41</v>
      </c>
      <c r="C24" s="59" t="s">
        <v>42</v>
      </c>
      <c r="D24" s="284">
        <v>427.35999838330616</v>
      </c>
      <c r="E24" s="284">
        <v>491.84743104424859</v>
      </c>
      <c r="F24" s="284">
        <v>537.91266939765183</v>
      </c>
      <c r="G24" s="284">
        <v>455.89333223186298</v>
      </c>
      <c r="H24" s="284">
        <v>479.20942979894733</v>
      </c>
      <c r="I24" s="284">
        <v>358.1526232394927</v>
      </c>
      <c r="J24" s="284">
        <v>270.65448343422258</v>
      </c>
      <c r="K24" s="284">
        <v>295.25321010396482</v>
      </c>
      <c r="L24" s="284">
        <v>256.40314533793338</v>
      </c>
      <c r="M24" s="284">
        <v>277.14881991392838</v>
      </c>
      <c r="N24" s="284">
        <v>341.27879337985422</v>
      </c>
      <c r="O24" s="284">
        <v>517.52054541184737</v>
      </c>
      <c r="P24" s="284">
        <v>507.63026305384176</v>
      </c>
      <c r="Q24" s="284">
        <v>413.88961031621466</v>
      </c>
      <c r="R24" s="284">
        <v>415.78251850747819</v>
      </c>
      <c r="S24" s="284">
        <v>339.85182660485725</v>
      </c>
      <c r="T24" s="284">
        <v>344.91480670583803</v>
      </c>
      <c r="U24" s="284">
        <v>259.95491441048256</v>
      </c>
      <c r="V24" s="284">
        <v>215.05969240505274</v>
      </c>
      <c r="W24" s="284">
        <v>231.60227441536671</v>
      </c>
      <c r="X24" s="284">
        <v>240.04014099970291</v>
      </c>
      <c r="Y24" s="284">
        <v>280.86055593877018</v>
      </c>
      <c r="Z24" s="284">
        <v>336.97295290442111</v>
      </c>
      <c r="AA24" s="284">
        <v>396.54081718252661</v>
      </c>
      <c r="AB24" s="284">
        <v>368.68590737981873</v>
      </c>
      <c r="AC24" s="284">
        <v>333.3153032161091</v>
      </c>
      <c r="AD24" s="284">
        <v>348.0790534531244</v>
      </c>
      <c r="AE24" s="284">
        <v>282.85931125716064</v>
      </c>
      <c r="AF24" s="284">
        <v>245.39315342407423</v>
      </c>
      <c r="AG24" s="284">
        <v>220.41357291332756</v>
      </c>
      <c r="AH24" s="284">
        <v>202.85975473592734</v>
      </c>
      <c r="AI24" s="284">
        <v>176.53018867915688</v>
      </c>
      <c r="AJ24" s="284">
        <v>169.05546701531404</v>
      </c>
      <c r="AK24" s="284">
        <v>169.8558684257535</v>
      </c>
      <c r="AL24" s="284">
        <v>220.05632974892802</v>
      </c>
      <c r="AM24" s="284">
        <v>226.70345627306799</v>
      </c>
      <c r="AN24" s="284">
        <v>220.53340436593169</v>
      </c>
      <c r="AO24" s="284">
        <v>178.06917464343039</v>
      </c>
      <c r="AP24" s="284">
        <v>344.31417355300078</v>
      </c>
      <c r="AQ24" s="284">
        <v>297.76408478422593</v>
      </c>
      <c r="AR24" s="284">
        <v>320.07604648984261</v>
      </c>
      <c r="AS24" s="284">
        <v>250.65711331312232</v>
      </c>
      <c r="AT24" s="284">
        <v>243.36754025808057</v>
      </c>
      <c r="AU24" s="284">
        <v>259.28365683007939</v>
      </c>
      <c r="AV24" s="284">
        <v>288.97791726160108</v>
      </c>
      <c r="AW24" s="284">
        <v>375.62513313772121</v>
      </c>
      <c r="AX24" s="284">
        <v>434.28643547472831</v>
      </c>
      <c r="AY24" s="284">
        <v>596.29799624840325</v>
      </c>
    </row>
    <row r="25" spans="1:51" ht="12.75" hidden="1" customHeight="1" x14ac:dyDescent="0.25">
      <c r="A25" s="59">
        <v>230</v>
      </c>
      <c r="B25" s="39" t="s">
        <v>3601</v>
      </c>
      <c r="C25" s="347" t="s">
        <v>437</v>
      </c>
      <c r="D25" s="284">
        <v>0</v>
      </c>
      <c r="E25" s="284">
        <v>0</v>
      </c>
      <c r="F25" s="284">
        <v>0</v>
      </c>
      <c r="G25" s="284">
        <v>0</v>
      </c>
      <c r="H25" s="284">
        <v>0</v>
      </c>
      <c r="I25" s="284">
        <v>0</v>
      </c>
      <c r="J25" s="284">
        <v>0</v>
      </c>
      <c r="K25" s="284">
        <v>0</v>
      </c>
      <c r="L25" s="284">
        <v>0</v>
      </c>
      <c r="M25" s="284">
        <v>0</v>
      </c>
      <c r="N25" s="284">
        <v>0</v>
      </c>
      <c r="O25" s="284">
        <v>0</v>
      </c>
      <c r="P25" s="284">
        <v>0</v>
      </c>
      <c r="Q25" s="284">
        <v>0</v>
      </c>
      <c r="R25" s="284">
        <v>0</v>
      </c>
      <c r="S25" s="284">
        <v>0</v>
      </c>
      <c r="T25" s="284">
        <v>0</v>
      </c>
      <c r="U25" s="284">
        <v>0</v>
      </c>
      <c r="V25" s="284">
        <v>0</v>
      </c>
      <c r="W25" s="284">
        <v>0</v>
      </c>
      <c r="X25" s="284">
        <v>0</v>
      </c>
      <c r="Y25" s="284">
        <v>0</v>
      </c>
      <c r="Z25" s="284">
        <v>0</v>
      </c>
      <c r="AA25" s="284">
        <v>0</v>
      </c>
      <c r="AB25" s="284">
        <v>0</v>
      </c>
      <c r="AC25" s="284">
        <v>0</v>
      </c>
      <c r="AD25" s="284">
        <v>0</v>
      </c>
      <c r="AE25" s="284">
        <v>0</v>
      </c>
      <c r="AF25" s="284">
        <v>0</v>
      </c>
      <c r="AG25" s="284">
        <v>0</v>
      </c>
      <c r="AH25" s="284">
        <v>0</v>
      </c>
      <c r="AI25" s="284">
        <v>0</v>
      </c>
      <c r="AJ25" s="284">
        <v>0</v>
      </c>
      <c r="AK25" s="284">
        <v>0</v>
      </c>
      <c r="AL25" s="284">
        <v>0</v>
      </c>
      <c r="AM25" s="284">
        <v>0</v>
      </c>
      <c r="AN25" s="284">
        <v>0</v>
      </c>
      <c r="AO25" s="284">
        <v>0</v>
      </c>
      <c r="AP25" s="284">
        <v>0</v>
      </c>
      <c r="AQ25" s="284">
        <v>0</v>
      </c>
      <c r="AR25" s="284">
        <v>0</v>
      </c>
      <c r="AS25" s="284">
        <v>0</v>
      </c>
      <c r="AT25" s="284">
        <v>0</v>
      </c>
      <c r="AU25" s="284">
        <v>0</v>
      </c>
      <c r="AV25" s="284">
        <v>0</v>
      </c>
      <c r="AW25" s="284">
        <v>0</v>
      </c>
      <c r="AX25" s="284">
        <v>0</v>
      </c>
      <c r="AY25" s="284">
        <v>0</v>
      </c>
    </row>
    <row r="26" spans="1:51" ht="12.75" hidden="1" customHeight="1" x14ac:dyDescent="0.25">
      <c r="A26" s="59">
        <v>346</v>
      </c>
      <c r="B26" s="221" t="s">
        <v>3640</v>
      </c>
      <c r="C26" s="285" t="s">
        <v>3641</v>
      </c>
      <c r="D26" s="284">
        <v>0</v>
      </c>
      <c r="E26" s="284">
        <v>0</v>
      </c>
      <c r="F26" s="284">
        <v>0</v>
      </c>
      <c r="G26" s="284">
        <v>0</v>
      </c>
      <c r="H26" s="284">
        <v>0</v>
      </c>
      <c r="I26" s="284">
        <v>11734</v>
      </c>
      <c r="J26" s="284">
        <v>2146</v>
      </c>
      <c r="K26" s="284">
        <v>2456</v>
      </c>
      <c r="L26" s="284">
        <v>2720</v>
      </c>
      <c r="M26" s="284">
        <v>0</v>
      </c>
      <c r="N26" s="284">
        <v>4139</v>
      </c>
      <c r="O26" s="284">
        <v>0</v>
      </c>
      <c r="P26" s="284"/>
      <c r="Q26" s="284"/>
      <c r="R26" s="284"/>
      <c r="S26" s="284"/>
      <c r="T26" s="284">
        <v>1399</v>
      </c>
      <c r="U26" s="284">
        <v>1182</v>
      </c>
      <c r="V26" s="284">
        <v>2045</v>
      </c>
      <c r="W26" s="284">
        <v>2257</v>
      </c>
      <c r="X26" s="284">
        <v>2721</v>
      </c>
      <c r="Y26" s="284">
        <v>0</v>
      </c>
      <c r="Z26" s="284">
        <v>4275</v>
      </c>
      <c r="AA26" s="284">
        <v>2936</v>
      </c>
      <c r="AB26" s="284">
        <v>0</v>
      </c>
      <c r="AC26" s="284">
        <v>3505</v>
      </c>
      <c r="AD26" s="284">
        <v>0</v>
      </c>
      <c r="AE26" s="284">
        <v>1552.04</v>
      </c>
      <c r="AF26" s="284">
        <v>914</v>
      </c>
      <c r="AG26" s="284">
        <v>790</v>
      </c>
      <c r="AH26" s="284">
        <v>899</v>
      </c>
      <c r="AI26" s="284">
        <v>1019</v>
      </c>
      <c r="AJ26" s="284">
        <v>1118</v>
      </c>
      <c r="AK26" s="284">
        <v>0</v>
      </c>
      <c r="AL26" s="284">
        <v>0</v>
      </c>
      <c r="AM26" s="284">
        <v>2316</v>
      </c>
      <c r="AN26" s="284">
        <v>1089</v>
      </c>
      <c r="AO26" s="284">
        <v>1097</v>
      </c>
      <c r="AP26" s="284">
        <v>1250.6199999999999</v>
      </c>
      <c r="AQ26" s="284">
        <v>1522.28</v>
      </c>
      <c r="AR26" s="284">
        <v>985</v>
      </c>
      <c r="AS26" s="284">
        <v>878</v>
      </c>
      <c r="AT26" s="284">
        <v>2039</v>
      </c>
      <c r="AU26" s="284">
        <v>2068</v>
      </c>
      <c r="AV26" s="284">
        <v>2439</v>
      </c>
      <c r="AW26" s="284">
        <v>1834</v>
      </c>
      <c r="AX26" s="284">
        <v>1490</v>
      </c>
      <c r="AY26" s="284">
        <v>2580</v>
      </c>
    </row>
    <row r="27" spans="1:51" ht="12.75" hidden="1" customHeight="1" x14ac:dyDescent="0.25">
      <c r="A27" s="59">
        <v>265</v>
      </c>
      <c r="B27" s="288" t="s">
        <v>3613</v>
      </c>
      <c r="C27" s="59" t="s">
        <v>500</v>
      </c>
      <c r="D27" s="284">
        <v>2</v>
      </c>
      <c r="E27" s="284">
        <v>1</v>
      </c>
      <c r="F27" s="284">
        <v>1</v>
      </c>
      <c r="G27" s="284">
        <v>1</v>
      </c>
      <c r="H27" s="284">
        <v>0</v>
      </c>
      <c r="I27" s="284">
        <v>0</v>
      </c>
      <c r="J27" s="284">
        <v>1</v>
      </c>
      <c r="K27" s="284">
        <v>0</v>
      </c>
      <c r="L27" s="284">
        <v>1</v>
      </c>
      <c r="M27" s="284">
        <v>0</v>
      </c>
      <c r="N27" s="284">
        <v>1</v>
      </c>
      <c r="O27" s="284">
        <v>0</v>
      </c>
      <c r="P27" s="284">
        <v>1</v>
      </c>
      <c r="Q27" s="284">
        <v>1</v>
      </c>
      <c r="R27" s="284">
        <v>0</v>
      </c>
      <c r="S27" s="284">
        <v>0</v>
      </c>
      <c r="T27" s="284">
        <v>1</v>
      </c>
      <c r="U27" s="284">
        <v>0</v>
      </c>
      <c r="V27" s="284">
        <v>0</v>
      </c>
      <c r="W27" s="284">
        <v>0</v>
      </c>
      <c r="X27" s="284">
        <v>1</v>
      </c>
      <c r="Y27" s="284">
        <v>0</v>
      </c>
      <c r="Z27" s="284">
        <v>0</v>
      </c>
      <c r="AA27" s="284">
        <v>0</v>
      </c>
      <c r="AB27" s="284">
        <v>0</v>
      </c>
      <c r="AC27" s="284">
        <v>0</v>
      </c>
      <c r="AD27" s="284">
        <v>0</v>
      </c>
      <c r="AE27" s="284">
        <v>2</v>
      </c>
      <c r="AF27" s="284">
        <v>1</v>
      </c>
      <c r="AG27" s="284">
        <v>0</v>
      </c>
      <c r="AH27" s="284">
        <v>2</v>
      </c>
      <c r="AI27" s="284">
        <v>2</v>
      </c>
      <c r="AJ27" s="284">
        <v>1</v>
      </c>
      <c r="AK27" s="284">
        <v>0</v>
      </c>
      <c r="AL27" s="284">
        <v>0</v>
      </c>
      <c r="AM27" s="284">
        <v>0</v>
      </c>
      <c r="AN27" s="284">
        <v>1</v>
      </c>
      <c r="AO27" s="284">
        <v>0</v>
      </c>
      <c r="AP27" s="284">
        <v>1</v>
      </c>
      <c r="AQ27" s="284">
        <v>0</v>
      </c>
      <c r="AR27" s="284">
        <v>1</v>
      </c>
      <c r="AS27" s="284">
        <v>0</v>
      </c>
      <c r="AT27" s="284">
        <v>1</v>
      </c>
      <c r="AU27" s="284">
        <v>0</v>
      </c>
      <c r="AV27" s="284">
        <v>0</v>
      </c>
      <c r="AW27" s="284">
        <v>1</v>
      </c>
      <c r="AX27" s="284">
        <v>0</v>
      </c>
      <c r="AY27" s="284">
        <v>1</v>
      </c>
    </row>
    <row r="28" spans="1:51" ht="12.75" hidden="1" customHeight="1" x14ac:dyDescent="0.25">
      <c r="A28" s="59">
        <v>100</v>
      </c>
      <c r="B28" s="39" t="s">
        <v>242</v>
      </c>
      <c r="C28" s="59" t="s">
        <v>243</v>
      </c>
      <c r="D28" s="284">
        <v>832.67526038708081</v>
      </c>
      <c r="E28" s="284">
        <v>958.32363643018164</v>
      </c>
      <c r="F28" s="284">
        <v>1048.0779056313661</v>
      </c>
      <c r="G28" s="284">
        <v>888.27007806290067</v>
      </c>
      <c r="H28" s="284">
        <v>933.69954662881253</v>
      </c>
      <c r="I28" s="284">
        <v>697.83047066276413</v>
      </c>
      <c r="J28" s="284">
        <v>527.3476537838867</v>
      </c>
      <c r="K28" s="284">
        <v>575.2762180210733</v>
      </c>
      <c r="L28" s="284">
        <v>499.58011188692979</v>
      </c>
      <c r="M28" s="284">
        <v>540.0013259566158</v>
      </c>
      <c r="N28" s="284">
        <v>664.95322261602541</v>
      </c>
      <c r="O28" s="284">
        <v>1008.345555355345</v>
      </c>
      <c r="P28" s="284">
        <v>989.07516629481427</v>
      </c>
      <c r="Q28" s="284">
        <v>806.4293343909369</v>
      </c>
      <c r="R28" s="284">
        <v>810.11750789105827</v>
      </c>
      <c r="S28" s="284">
        <v>662.17289704641382</v>
      </c>
      <c r="T28" s="284">
        <v>672.03769087332103</v>
      </c>
      <c r="U28" s="284">
        <v>506.50043725314964</v>
      </c>
      <c r="V28" s="284">
        <v>419.02584717703883</v>
      </c>
      <c r="W28" s="284">
        <v>451.25768645779004</v>
      </c>
      <c r="X28" s="284">
        <v>467.69816470049608</v>
      </c>
      <c r="Y28" s="284">
        <v>547.23333356768183</v>
      </c>
      <c r="Z28" s="284">
        <v>656.56365210725107</v>
      </c>
      <c r="AA28" s="284">
        <v>772.62666007737494</v>
      </c>
      <c r="AB28" s="284">
        <v>718.35369498758826</v>
      </c>
      <c r="AC28" s="284">
        <v>649.43702720519775</v>
      </c>
      <c r="AD28" s="284">
        <v>678.20296135767398</v>
      </c>
      <c r="AE28" s="284">
        <v>551.12774135382676</v>
      </c>
      <c r="AF28" s="284">
        <v>478.12806228375274</v>
      </c>
      <c r="AG28" s="284">
        <v>429.45743614927238</v>
      </c>
      <c r="AH28" s="284">
        <v>395.25528766333872</v>
      </c>
      <c r="AI28" s="284">
        <v>343.95432745382419</v>
      </c>
      <c r="AJ28" s="284">
        <v>329.390456639273</v>
      </c>
      <c r="AK28" s="284">
        <v>330.94997193170349</v>
      </c>
      <c r="AL28" s="284">
        <v>428.7613776831941</v>
      </c>
      <c r="AM28" s="284">
        <v>441.71274849527879</v>
      </c>
      <c r="AN28" s="284">
        <v>429.6909177254077</v>
      </c>
      <c r="AO28" s="284">
        <v>346.95291305701892</v>
      </c>
      <c r="AP28" s="284">
        <v>670.86740734461512</v>
      </c>
      <c r="AQ28" s="284">
        <v>580.16844760759295</v>
      </c>
      <c r="AR28" s="284">
        <v>623.64144132074694</v>
      </c>
      <c r="AS28" s="284">
        <v>488.38444844029925</v>
      </c>
      <c r="AT28" s="284">
        <v>474.18132422493136</v>
      </c>
      <c r="AU28" s="284">
        <v>505.19254792643801</v>
      </c>
      <c r="AV28" s="284">
        <v>563.04933407946089</v>
      </c>
      <c r="AW28" s="284">
        <v>731.87419675823764</v>
      </c>
      <c r="AX28" s="284">
        <v>846.17084450930292</v>
      </c>
      <c r="AY28" s="284">
        <v>1161.836838199102</v>
      </c>
    </row>
    <row r="29" spans="1:51" ht="12.75" hidden="1" customHeight="1" x14ac:dyDescent="0.25">
      <c r="A29" s="59">
        <v>13.1</v>
      </c>
      <c r="B29" s="39" t="s">
        <v>3535</v>
      </c>
      <c r="C29" s="347" t="s">
        <v>48</v>
      </c>
      <c r="D29" s="284">
        <v>0</v>
      </c>
      <c r="E29" s="284">
        <v>0</v>
      </c>
      <c r="F29" s="284">
        <v>0</v>
      </c>
      <c r="G29" s="284">
        <v>0</v>
      </c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>
        <v>0</v>
      </c>
      <c r="U29" s="284">
        <v>0</v>
      </c>
      <c r="V29" s="284">
        <v>0</v>
      </c>
      <c r="W29" s="284"/>
      <c r="X29" s="284"/>
      <c r="Y29" s="284"/>
      <c r="Z29" s="284"/>
      <c r="AA29" s="284"/>
      <c r="AB29" s="284">
        <v>0</v>
      </c>
      <c r="AC29" s="284">
        <v>0</v>
      </c>
      <c r="AD29" s="284">
        <v>0</v>
      </c>
      <c r="AE29" s="284">
        <v>0</v>
      </c>
      <c r="AF29" s="284">
        <v>0</v>
      </c>
      <c r="AG29" s="284">
        <v>0</v>
      </c>
      <c r="AH29" s="284">
        <v>0</v>
      </c>
      <c r="AI29" s="284">
        <v>0</v>
      </c>
      <c r="AJ29" s="284">
        <v>0</v>
      </c>
      <c r="AK29" s="284">
        <v>0</v>
      </c>
      <c r="AL29" s="284">
        <v>0</v>
      </c>
      <c r="AM29" s="284">
        <v>0</v>
      </c>
      <c r="AN29" s="284">
        <v>0</v>
      </c>
      <c r="AO29" s="284">
        <v>0</v>
      </c>
      <c r="AP29" s="284">
        <v>0</v>
      </c>
      <c r="AQ29" s="284">
        <v>0</v>
      </c>
      <c r="AR29" s="284">
        <v>0</v>
      </c>
      <c r="AS29" s="284">
        <v>0</v>
      </c>
      <c r="AT29" s="284">
        <v>0</v>
      </c>
      <c r="AU29" s="284">
        <v>0</v>
      </c>
      <c r="AV29" s="284">
        <v>0</v>
      </c>
      <c r="AW29" s="284">
        <v>0</v>
      </c>
      <c r="AX29" s="284">
        <v>0</v>
      </c>
      <c r="AY29" s="284">
        <v>0</v>
      </c>
    </row>
    <row r="30" spans="1:51" ht="12.75" hidden="1" customHeight="1" x14ac:dyDescent="0.25">
      <c r="A30" s="59">
        <v>349</v>
      </c>
      <c r="B30" s="221" t="s">
        <v>3646</v>
      </c>
      <c r="C30" s="285" t="s">
        <v>3647</v>
      </c>
      <c r="D30" s="284">
        <v>5807</v>
      </c>
      <c r="E30" s="284">
        <v>2970</v>
      </c>
      <c r="F30" s="284">
        <v>2350</v>
      </c>
      <c r="G30" s="284">
        <v>1913</v>
      </c>
      <c r="H30" s="284">
        <v>1941</v>
      </c>
      <c r="I30" s="284">
        <v>1642</v>
      </c>
      <c r="J30" s="284">
        <v>2372</v>
      </c>
      <c r="K30" s="284">
        <v>2705</v>
      </c>
      <c r="L30" s="284">
        <v>3027</v>
      </c>
      <c r="M30" s="284">
        <v>0</v>
      </c>
      <c r="N30" s="284">
        <v>4424</v>
      </c>
      <c r="O30" s="284">
        <v>3309</v>
      </c>
      <c r="P30" s="284">
        <v>2659</v>
      </c>
      <c r="Q30" s="284">
        <v>3082</v>
      </c>
      <c r="R30" s="284">
        <v>1877</v>
      </c>
      <c r="S30" s="284">
        <v>903</v>
      </c>
      <c r="T30" s="284">
        <v>1626</v>
      </c>
      <c r="U30" s="284">
        <v>905</v>
      </c>
      <c r="V30" s="284">
        <v>2335</v>
      </c>
      <c r="W30" s="284">
        <v>2667</v>
      </c>
      <c r="X30" s="284">
        <v>3125</v>
      </c>
      <c r="Y30" s="284">
        <v>0</v>
      </c>
      <c r="Z30" s="284">
        <v>4618</v>
      </c>
      <c r="AA30" s="284">
        <v>3404</v>
      </c>
      <c r="AB30" s="284">
        <v>0</v>
      </c>
      <c r="AC30" s="284">
        <v>3894</v>
      </c>
      <c r="AD30" s="284">
        <v>0</v>
      </c>
      <c r="AE30" s="284">
        <v>1572</v>
      </c>
      <c r="AF30" s="284">
        <v>1013</v>
      </c>
      <c r="AG30" s="284">
        <v>807</v>
      </c>
      <c r="AH30" s="284">
        <v>733</v>
      </c>
      <c r="AI30" s="284">
        <v>952</v>
      </c>
      <c r="AJ30" s="284">
        <v>1168</v>
      </c>
      <c r="AK30" s="284">
        <v>0</v>
      </c>
      <c r="AL30" s="284">
        <v>0</v>
      </c>
      <c r="AM30" s="284">
        <v>3535</v>
      </c>
      <c r="AN30" s="284">
        <v>1224</v>
      </c>
      <c r="AO30" s="284">
        <v>1137</v>
      </c>
      <c r="AP30" s="284">
        <v>962</v>
      </c>
      <c r="AQ30" s="284">
        <v>902</v>
      </c>
      <c r="AR30" s="284">
        <v>795</v>
      </c>
      <c r="AS30" s="284">
        <v>869</v>
      </c>
      <c r="AT30" s="284">
        <v>2655</v>
      </c>
      <c r="AU30" s="284">
        <v>2593</v>
      </c>
      <c r="AV30" s="284">
        <v>3106</v>
      </c>
      <c r="AW30" s="284">
        <v>2180</v>
      </c>
      <c r="AX30" s="284">
        <v>1734</v>
      </c>
      <c r="AY30" s="284">
        <v>3124</v>
      </c>
    </row>
    <row r="31" spans="1:51" ht="12.75" hidden="1" customHeight="1" x14ac:dyDescent="0.25">
      <c r="A31" s="59">
        <v>223</v>
      </c>
      <c r="B31" s="100" t="s">
        <v>427</v>
      </c>
      <c r="C31" s="347" t="s">
        <v>3596</v>
      </c>
      <c r="D31" s="284">
        <v>0</v>
      </c>
      <c r="E31" s="284">
        <v>0</v>
      </c>
      <c r="F31" s="284">
        <v>0</v>
      </c>
      <c r="G31" s="284">
        <v>0</v>
      </c>
      <c r="H31" s="284">
        <v>0</v>
      </c>
      <c r="I31" s="284">
        <v>0</v>
      </c>
      <c r="J31" s="284">
        <v>0</v>
      </c>
      <c r="K31" s="284">
        <v>0</v>
      </c>
      <c r="L31" s="284">
        <v>0</v>
      </c>
      <c r="M31" s="284">
        <v>0</v>
      </c>
      <c r="N31" s="284">
        <v>0</v>
      </c>
      <c r="O31" s="284">
        <v>0</v>
      </c>
      <c r="P31" s="284">
        <v>0</v>
      </c>
      <c r="Q31" s="284">
        <v>0</v>
      </c>
      <c r="R31" s="284">
        <v>0</v>
      </c>
      <c r="S31" s="284">
        <v>0</v>
      </c>
      <c r="T31" s="284">
        <v>0</v>
      </c>
      <c r="U31" s="284">
        <v>0</v>
      </c>
      <c r="V31" s="284">
        <v>0</v>
      </c>
      <c r="W31" s="284">
        <v>0</v>
      </c>
      <c r="X31" s="284">
        <v>0</v>
      </c>
      <c r="Y31" s="284">
        <v>0</v>
      </c>
      <c r="Z31" s="284">
        <v>0</v>
      </c>
      <c r="AA31" s="284">
        <v>0</v>
      </c>
      <c r="AB31" s="284">
        <v>0</v>
      </c>
      <c r="AC31" s="284">
        <v>0</v>
      </c>
      <c r="AD31" s="284">
        <v>0</v>
      </c>
      <c r="AE31" s="284">
        <v>0</v>
      </c>
      <c r="AF31" s="284">
        <v>0</v>
      </c>
      <c r="AG31" s="284">
        <v>0</v>
      </c>
      <c r="AH31" s="284">
        <v>0</v>
      </c>
      <c r="AI31" s="284">
        <v>0</v>
      </c>
      <c r="AJ31" s="284">
        <v>0</v>
      </c>
      <c r="AK31" s="284">
        <v>0</v>
      </c>
      <c r="AL31" s="284">
        <v>0</v>
      </c>
      <c r="AM31" s="284">
        <v>0</v>
      </c>
      <c r="AN31" s="284">
        <v>0</v>
      </c>
      <c r="AO31" s="284">
        <v>0</v>
      </c>
      <c r="AP31" s="284">
        <v>0</v>
      </c>
      <c r="AQ31" s="284">
        <v>0</v>
      </c>
      <c r="AR31" s="284">
        <v>0</v>
      </c>
      <c r="AS31" s="284">
        <v>0</v>
      </c>
      <c r="AT31" s="284">
        <v>0</v>
      </c>
      <c r="AU31" s="284">
        <v>0</v>
      </c>
      <c r="AV31" s="284">
        <v>0</v>
      </c>
      <c r="AW31" s="284">
        <v>0</v>
      </c>
      <c r="AX31" s="284">
        <v>0</v>
      </c>
      <c r="AY31" s="284">
        <v>0</v>
      </c>
    </row>
    <row r="32" spans="1:51" ht="12.75" hidden="1" customHeight="1" x14ac:dyDescent="0.25">
      <c r="A32" s="59">
        <v>224</v>
      </c>
      <c r="B32" s="221" t="s">
        <v>3597</v>
      </c>
      <c r="C32" s="59" t="s">
        <v>3598</v>
      </c>
      <c r="D32" s="284">
        <v>0</v>
      </c>
      <c r="E32" s="284">
        <v>0</v>
      </c>
      <c r="F32" s="284">
        <v>0</v>
      </c>
      <c r="G32" s="284">
        <v>0</v>
      </c>
      <c r="H32" s="284">
        <v>0</v>
      </c>
      <c r="I32" s="284">
        <v>0</v>
      </c>
      <c r="J32" s="284">
        <v>0</v>
      </c>
      <c r="K32" s="284">
        <v>0</v>
      </c>
      <c r="L32" s="284">
        <v>0</v>
      </c>
      <c r="M32" s="284">
        <v>0</v>
      </c>
      <c r="N32" s="284">
        <v>0</v>
      </c>
      <c r="O32" s="284">
        <v>0</v>
      </c>
      <c r="P32" s="284">
        <v>0</v>
      </c>
      <c r="Q32" s="284">
        <v>0</v>
      </c>
      <c r="R32" s="284">
        <v>0</v>
      </c>
      <c r="S32" s="284">
        <v>0</v>
      </c>
      <c r="T32" s="284">
        <v>0</v>
      </c>
      <c r="U32" s="284">
        <v>0</v>
      </c>
      <c r="V32" s="284">
        <v>0</v>
      </c>
      <c r="W32" s="284">
        <v>0</v>
      </c>
      <c r="X32" s="284">
        <v>0</v>
      </c>
      <c r="Y32" s="284">
        <v>0</v>
      </c>
      <c r="Z32" s="284">
        <v>0</v>
      </c>
      <c r="AA32" s="284">
        <v>0</v>
      </c>
      <c r="AB32" s="284">
        <v>0</v>
      </c>
      <c r="AC32" s="284">
        <v>0</v>
      </c>
      <c r="AD32" s="284">
        <v>0</v>
      </c>
      <c r="AE32" s="284">
        <v>0</v>
      </c>
      <c r="AF32" s="284">
        <v>0</v>
      </c>
      <c r="AG32" s="284">
        <v>0</v>
      </c>
      <c r="AH32" s="284">
        <v>0</v>
      </c>
      <c r="AI32" s="284">
        <v>0</v>
      </c>
      <c r="AJ32" s="284">
        <v>0</v>
      </c>
      <c r="AK32" s="284">
        <v>0</v>
      </c>
      <c r="AL32" s="284">
        <v>0</v>
      </c>
      <c r="AM32" s="284">
        <v>0</v>
      </c>
      <c r="AN32" s="284">
        <v>0</v>
      </c>
      <c r="AO32" s="284">
        <v>0</v>
      </c>
      <c r="AP32" s="284">
        <v>0</v>
      </c>
      <c r="AQ32" s="284">
        <v>0</v>
      </c>
      <c r="AR32" s="284">
        <v>0</v>
      </c>
      <c r="AS32" s="284">
        <v>0</v>
      </c>
      <c r="AT32" s="284">
        <v>0</v>
      </c>
      <c r="AU32" s="284">
        <v>0</v>
      </c>
      <c r="AV32" s="284">
        <v>0</v>
      </c>
      <c r="AW32" s="284">
        <v>0</v>
      </c>
      <c r="AX32" s="284">
        <v>0</v>
      </c>
      <c r="AY32" s="284">
        <v>0</v>
      </c>
    </row>
    <row r="33" spans="1:51" ht="12.75" hidden="1" customHeight="1" x14ac:dyDescent="0.25">
      <c r="A33" s="59">
        <v>102</v>
      </c>
      <c r="B33" s="39" t="s">
        <v>3566</v>
      </c>
      <c r="C33" s="347" t="s">
        <v>247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N33" s="284">
        <v>0</v>
      </c>
      <c r="O33" s="284">
        <v>0</v>
      </c>
      <c r="P33" s="284">
        <v>0</v>
      </c>
      <c r="Q33" s="284">
        <v>0</v>
      </c>
      <c r="R33" s="284">
        <v>0</v>
      </c>
      <c r="S33" s="284">
        <v>0</v>
      </c>
      <c r="T33" s="284">
        <v>0</v>
      </c>
      <c r="U33" s="284">
        <v>0</v>
      </c>
      <c r="V33" s="284">
        <v>0</v>
      </c>
      <c r="W33" s="284">
        <v>0</v>
      </c>
      <c r="X33" s="284">
        <v>0</v>
      </c>
      <c r="Y33" s="284">
        <v>0</v>
      </c>
      <c r="Z33" s="284">
        <v>0</v>
      </c>
      <c r="AA33" s="284">
        <v>0</v>
      </c>
      <c r="AB33" s="284">
        <v>0</v>
      </c>
      <c r="AC33" s="284">
        <v>0</v>
      </c>
      <c r="AD33" s="284">
        <v>0</v>
      </c>
      <c r="AE33" s="284">
        <v>0</v>
      </c>
      <c r="AF33" s="284">
        <v>0</v>
      </c>
      <c r="AG33" s="284">
        <v>0</v>
      </c>
      <c r="AH33" s="284">
        <v>0</v>
      </c>
      <c r="AI33" s="284">
        <v>0</v>
      </c>
      <c r="AJ33" s="284">
        <v>0</v>
      </c>
      <c r="AK33" s="284">
        <v>0</v>
      </c>
      <c r="AL33" s="284">
        <v>0</v>
      </c>
      <c r="AM33" s="284">
        <v>0</v>
      </c>
      <c r="AN33" s="284">
        <v>0</v>
      </c>
      <c r="AO33" s="284">
        <v>0</v>
      </c>
      <c r="AP33" s="284">
        <v>0</v>
      </c>
      <c r="AQ33" s="284">
        <v>0</v>
      </c>
      <c r="AR33" s="284">
        <v>0</v>
      </c>
      <c r="AS33" s="284">
        <v>0</v>
      </c>
      <c r="AT33" s="284">
        <v>0</v>
      </c>
      <c r="AU33" s="284">
        <v>0</v>
      </c>
      <c r="AV33" s="284">
        <v>0</v>
      </c>
      <c r="AW33" s="284">
        <v>0</v>
      </c>
      <c r="AX33" s="284">
        <v>0</v>
      </c>
      <c r="AY33" s="284">
        <v>0</v>
      </c>
    </row>
    <row r="34" spans="1:51" ht="12.75" hidden="1" customHeight="1" x14ac:dyDescent="0.25">
      <c r="A34" s="59">
        <v>59</v>
      </c>
      <c r="B34" s="39" t="s">
        <v>146</v>
      </c>
      <c r="C34" s="347" t="s">
        <v>147</v>
      </c>
      <c r="D34" s="284">
        <v>0</v>
      </c>
      <c r="E34" s="284">
        <v>0</v>
      </c>
      <c r="F34" s="284"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v>0</v>
      </c>
      <c r="M34" s="284">
        <v>0</v>
      </c>
      <c r="N34" s="284">
        <v>0</v>
      </c>
      <c r="O34" s="284">
        <v>0</v>
      </c>
      <c r="P34" s="284">
        <v>0</v>
      </c>
      <c r="Q34" s="284">
        <v>0</v>
      </c>
      <c r="R34" s="284">
        <v>0</v>
      </c>
      <c r="S34" s="284">
        <v>0</v>
      </c>
      <c r="T34" s="284">
        <v>0</v>
      </c>
      <c r="U34" s="284">
        <v>0</v>
      </c>
      <c r="V34" s="284">
        <v>0</v>
      </c>
      <c r="W34" s="284">
        <v>0</v>
      </c>
      <c r="X34" s="284">
        <v>0</v>
      </c>
      <c r="Y34" s="284">
        <v>0</v>
      </c>
      <c r="Z34" s="284">
        <v>0</v>
      </c>
      <c r="AA34" s="284">
        <v>0</v>
      </c>
      <c r="AB34" s="284">
        <v>0</v>
      </c>
      <c r="AC34" s="284">
        <v>0</v>
      </c>
      <c r="AD34" s="284">
        <v>0</v>
      </c>
      <c r="AE34" s="284">
        <v>0</v>
      </c>
      <c r="AF34" s="284">
        <v>0</v>
      </c>
      <c r="AG34" s="284">
        <v>0</v>
      </c>
      <c r="AH34" s="284">
        <v>0</v>
      </c>
      <c r="AI34" s="284">
        <v>0</v>
      </c>
      <c r="AJ34" s="284">
        <v>0</v>
      </c>
      <c r="AK34" s="284">
        <v>0</v>
      </c>
      <c r="AL34" s="284">
        <v>0</v>
      </c>
      <c r="AM34" s="284">
        <v>0</v>
      </c>
      <c r="AN34" s="284">
        <v>0</v>
      </c>
      <c r="AO34" s="284">
        <v>0</v>
      </c>
      <c r="AP34" s="284">
        <v>0</v>
      </c>
      <c r="AQ34" s="284">
        <v>0</v>
      </c>
      <c r="AR34" s="284">
        <v>0</v>
      </c>
      <c r="AS34" s="284">
        <v>0</v>
      </c>
      <c r="AT34" s="284">
        <v>0</v>
      </c>
      <c r="AU34" s="284">
        <v>0</v>
      </c>
      <c r="AV34" s="284">
        <v>0</v>
      </c>
      <c r="AW34" s="284">
        <v>0</v>
      </c>
      <c r="AX34" s="284">
        <v>0</v>
      </c>
      <c r="AY34" s="284">
        <v>0</v>
      </c>
    </row>
    <row r="35" spans="1:51" ht="12.75" hidden="1" customHeight="1" x14ac:dyDescent="0.25">
      <c r="A35" s="59">
        <v>87</v>
      </c>
      <c r="B35" s="39" t="s">
        <v>3559</v>
      </c>
      <c r="C35" s="59" t="s">
        <v>204</v>
      </c>
      <c r="D35" s="284">
        <v>0</v>
      </c>
      <c r="E35" s="284">
        <v>0</v>
      </c>
      <c r="F35" s="284">
        <v>0</v>
      </c>
      <c r="G35" s="284">
        <v>0</v>
      </c>
      <c r="H35" s="284">
        <v>0</v>
      </c>
      <c r="I35" s="284">
        <v>0</v>
      </c>
      <c r="J35" s="284">
        <v>0</v>
      </c>
      <c r="K35" s="284">
        <v>0</v>
      </c>
      <c r="L35" s="284">
        <v>0</v>
      </c>
      <c r="M35" s="284">
        <v>0</v>
      </c>
      <c r="N35" s="284">
        <v>0</v>
      </c>
      <c r="O35" s="284">
        <v>0</v>
      </c>
      <c r="P35" s="284">
        <v>0</v>
      </c>
      <c r="Q35" s="284">
        <v>0</v>
      </c>
      <c r="R35" s="284">
        <v>0</v>
      </c>
      <c r="S35" s="284">
        <v>0</v>
      </c>
      <c r="T35" s="284">
        <v>0</v>
      </c>
      <c r="U35" s="284">
        <v>0</v>
      </c>
      <c r="V35" s="284">
        <v>0</v>
      </c>
      <c r="W35" s="284">
        <v>0</v>
      </c>
      <c r="X35" s="284">
        <v>0</v>
      </c>
      <c r="Y35" s="284">
        <v>0</v>
      </c>
      <c r="Z35" s="284">
        <v>0</v>
      </c>
      <c r="AA35" s="284">
        <v>0</v>
      </c>
      <c r="AB35" s="284">
        <v>0</v>
      </c>
      <c r="AC35" s="284">
        <v>0</v>
      </c>
      <c r="AD35" s="284">
        <v>0</v>
      </c>
      <c r="AE35" s="284">
        <v>0</v>
      </c>
      <c r="AF35" s="284">
        <v>0</v>
      </c>
      <c r="AG35" s="284">
        <v>0</v>
      </c>
      <c r="AH35" s="284">
        <v>0</v>
      </c>
      <c r="AI35" s="284">
        <v>0</v>
      </c>
      <c r="AJ35" s="284">
        <v>0</v>
      </c>
      <c r="AK35" s="284">
        <v>0</v>
      </c>
      <c r="AL35" s="284">
        <v>0</v>
      </c>
      <c r="AM35" s="284">
        <v>0</v>
      </c>
      <c r="AN35" s="284">
        <v>0</v>
      </c>
      <c r="AO35" s="284">
        <v>0</v>
      </c>
      <c r="AP35" s="284">
        <v>0</v>
      </c>
      <c r="AQ35" s="284">
        <v>0</v>
      </c>
      <c r="AR35" s="284">
        <v>0</v>
      </c>
      <c r="AS35" s="284">
        <v>0</v>
      </c>
      <c r="AT35" s="284">
        <v>0</v>
      </c>
      <c r="AU35" s="284">
        <v>0</v>
      </c>
      <c r="AV35" s="284">
        <v>0</v>
      </c>
      <c r="AW35" s="284">
        <v>0</v>
      </c>
      <c r="AX35" s="284">
        <v>0</v>
      </c>
      <c r="AY35" s="284">
        <v>0</v>
      </c>
    </row>
    <row r="36" spans="1:51" ht="12.75" hidden="1" customHeight="1" x14ac:dyDescent="0.25">
      <c r="A36" s="59">
        <v>87.1</v>
      </c>
      <c r="B36" s="39" t="s">
        <v>3560</v>
      </c>
      <c r="C36" s="59" t="s">
        <v>204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  <c r="N36" s="284">
        <v>0</v>
      </c>
      <c r="O36" s="284">
        <v>0</v>
      </c>
      <c r="P36" s="284">
        <v>0</v>
      </c>
      <c r="Q36" s="284">
        <v>0</v>
      </c>
      <c r="R36" s="284">
        <v>0</v>
      </c>
      <c r="S36" s="284">
        <v>0</v>
      </c>
      <c r="T36" s="284">
        <v>0</v>
      </c>
      <c r="U36" s="284">
        <v>0</v>
      </c>
      <c r="V36" s="284">
        <v>0</v>
      </c>
      <c r="W36" s="284">
        <v>0</v>
      </c>
      <c r="X36" s="284">
        <v>0</v>
      </c>
      <c r="Y36" s="284">
        <v>0</v>
      </c>
      <c r="Z36" s="284">
        <v>0</v>
      </c>
      <c r="AA36" s="284">
        <v>0</v>
      </c>
      <c r="AB36" s="284">
        <v>0</v>
      </c>
      <c r="AC36" s="284">
        <v>0</v>
      </c>
      <c r="AD36" s="284">
        <v>0</v>
      </c>
      <c r="AE36" s="284">
        <v>0</v>
      </c>
      <c r="AF36" s="284">
        <v>0</v>
      </c>
      <c r="AG36" s="284">
        <v>0</v>
      </c>
      <c r="AH36" s="284">
        <v>0</v>
      </c>
      <c r="AI36" s="284">
        <v>0</v>
      </c>
      <c r="AJ36" s="284">
        <v>0</v>
      </c>
      <c r="AK36" s="284">
        <v>0</v>
      </c>
      <c r="AL36" s="284">
        <v>0</v>
      </c>
      <c r="AM36" s="284">
        <v>0</v>
      </c>
      <c r="AN36" s="284">
        <v>0</v>
      </c>
      <c r="AO36" s="284">
        <v>0</v>
      </c>
      <c r="AP36" s="284">
        <v>0</v>
      </c>
      <c r="AQ36" s="284">
        <v>0</v>
      </c>
      <c r="AR36" s="284">
        <v>0</v>
      </c>
      <c r="AS36" s="284">
        <v>0</v>
      </c>
      <c r="AT36" s="284">
        <v>0</v>
      </c>
      <c r="AU36" s="284">
        <v>0</v>
      </c>
      <c r="AV36" s="284">
        <v>0</v>
      </c>
      <c r="AW36" s="284">
        <v>0</v>
      </c>
      <c r="AX36" s="284">
        <v>0</v>
      </c>
      <c r="AY36" s="284">
        <v>0</v>
      </c>
    </row>
    <row r="37" spans="1:51" ht="12.75" hidden="1" customHeight="1" x14ac:dyDescent="0.25">
      <c r="A37" s="59">
        <v>64</v>
      </c>
      <c r="B37" s="39" t="s">
        <v>3551</v>
      </c>
      <c r="C37" s="59" t="s">
        <v>159</v>
      </c>
      <c r="D37" s="284">
        <v>5817.7782664300012</v>
      </c>
      <c r="E37" s="284">
        <v>6341.8966261931082</v>
      </c>
      <c r="F37" s="284">
        <v>6901.7346263021982</v>
      </c>
      <c r="G37" s="284">
        <v>5917.3263121828777</v>
      </c>
      <c r="H37" s="284">
        <v>6749.8164054432082</v>
      </c>
      <c r="I37" s="284">
        <v>5508.4887103486708</v>
      </c>
      <c r="J37" s="284">
        <v>5041.8161047018066</v>
      </c>
      <c r="K37" s="284">
        <v>3168.8058312323828</v>
      </c>
      <c r="L37" s="284">
        <v>5199.5352973601666</v>
      </c>
      <c r="M37" s="284">
        <v>6016.7899582646223</v>
      </c>
      <c r="N37" s="284">
        <v>6626.4912197760432</v>
      </c>
      <c r="O37" s="284">
        <v>6783.7688187203448</v>
      </c>
      <c r="P37" s="284">
        <v>9081.8246615350072</v>
      </c>
      <c r="Q37" s="284">
        <v>9111.7440973925586</v>
      </c>
      <c r="R37" s="284">
        <v>8719.9468017602121</v>
      </c>
      <c r="S37" s="284">
        <v>5197.1324956001363</v>
      </c>
      <c r="T37" s="284">
        <v>6349.1210440588729</v>
      </c>
      <c r="U37" s="284">
        <v>6744.8548780074025</v>
      </c>
      <c r="V37" s="284">
        <v>5727.3088844940412</v>
      </c>
      <c r="W37" s="284">
        <v>4322.6150889317578</v>
      </c>
      <c r="X37" s="284">
        <v>3444.6762060694664</v>
      </c>
      <c r="Y37" s="284">
        <v>6040.6214654017267</v>
      </c>
      <c r="Z37" s="284">
        <v>6908.3674544030591</v>
      </c>
      <c r="AA37" s="284">
        <v>9179.518725582835</v>
      </c>
      <c r="AB37" s="284">
        <v>8903.6280463632465</v>
      </c>
      <c r="AC37" s="284">
        <v>7221.2812995965205</v>
      </c>
      <c r="AD37" s="284">
        <v>8093.3309076346313</v>
      </c>
      <c r="AE37" s="284">
        <v>5690.3543622751467</v>
      </c>
      <c r="AF37" s="284">
        <v>5364.38286780005</v>
      </c>
      <c r="AG37" s="284">
        <v>4963.1774882237123</v>
      </c>
      <c r="AH37" s="284">
        <v>5226.6713453475368</v>
      </c>
      <c r="AI37" s="284">
        <v>4391.8852226228692</v>
      </c>
      <c r="AJ37" s="284">
        <v>5053.8737681607545</v>
      </c>
      <c r="AK37" s="284">
        <v>5382.0161571509725</v>
      </c>
      <c r="AL37" s="284">
        <v>6451.8410927389596</v>
      </c>
      <c r="AM37" s="284">
        <v>7786.1542328632286</v>
      </c>
      <c r="AN37" s="284">
        <v>8735.4655394387319</v>
      </c>
      <c r="AO37" s="284">
        <v>6377.4655174738591</v>
      </c>
      <c r="AP37" s="284">
        <v>7549.2207170861666</v>
      </c>
      <c r="AQ37" s="284">
        <v>6070.6586074943316</v>
      </c>
      <c r="AR37" s="284">
        <v>5528.2855324801903</v>
      </c>
      <c r="AS37" s="284">
        <v>4408.5993756624066</v>
      </c>
      <c r="AT37" s="284">
        <v>3687.3904494700109</v>
      </c>
      <c r="AU37" s="284">
        <v>4909.5701439447603</v>
      </c>
      <c r="AV37" s="284">
        <v>6619.6382728846183</v>
      </c>
      <c r="AW37" s="284">
        <v>8996.4452494005509</v>
      </c>
      <c r="AX37" s="284">
        <v>8171.1099513543286</v>
      </c>
      <c r="AY37" s="284">
        <v>10411.664301122702</v>
      </c>
    </row>
    <row r="38" spans="1:51" ht="12.75" hidden="1" customHeight="1" x14ac:dyDescent="0.25">
      <c r="A38" s="59">
        <v>18</v>
      </c>
      <c r="B38" s="39" t="s">
        <v>62</v>
      </c>
      <c r="C38" s="59" t="s">
        <v>63</v>
      </c>
      <c r="D38" s="284">
        <v>6264.4613578180579</v>
      </c>
      <c r="E38" s="284">
        <v>7209.7511170318639</v>
      </c>
      <c r="F38" s="284">
        <v>7884.99893314765</v>
      </c>
      <c r="G38" s="284">
        <v>6682.7175539529289</v>
      </c>
      <c r="H38" s="284">
        <v>7024.4968331944774</v>
      </c>
      <c r="I38" s="284">
        <v>5249.9842684682444</v>
      </c>
      <c r="J38" s="284">
        <v>3967.3917989703127</v>
      </c>
      <c r="K38" s="284">
        <v>4327.9725113839158</v>
      </c>
      <c r="L38" s="284">
        <v>3758.4883987008984</v>
      </c>
      <c r="M38" s="284">
        <v>4062.5891035278059</v>
      </c>
      <c r="N38" s="284">
        <v>5002.6390430985721</v>
      </c>
      <c r="O38" s="284">
        <v>7586.0807536358425</v>
      </c>
      <c r="P38" s="284">
        <v>7441.1039381079063</v>
      </c>
      <c r="Q38" s="284">
        <v>6067.0055223623913</v>
      </c>
      <c r="R38" s="284">
        <v>6094.7527384399982</v>
      </c>
      <c r="S38" s="284">
        <v>4981.7218345281035</v>
      </c>
      <c r="T38" s="284">
        <v>5055.9375854593545</v>
      </c>
      <c r="U38" s="284">
        <v>3810.5520457222592</v>
      </c>
      <c r="V38" s="284">
        <v>3152.4549274434789</v>
      </c>
      <c r="W38" s="284">
        <v>3394.9445524766579</v>
      </c>
      <c r="X38" s="284">
        <v>3518.6311149999683</v>
      </c>
      <c r="Y38" s="284">
        <v>4116.99762792411</v>
      </c>
      <c r="Z38" s="284">
        <v>4939.5218319105315</v>
      </c>
      <c r="AA38" s="284">
        <v>5812.6980424814819</v>
      </c>
      <c r="AB38" s="284">
        <v>5404.3865328767324</v>
      </c>
      <c r="AC38" s="284">
        <v>4885.9061326884557</v>
      </c>
      <c r="AD38" s="284">
        <v>5102.320732103788</v>
      </c>
      <c r="AE38" s="284">
        <v>4146.2964053088854</v>
      </c>
      <c r="AF38" s="284">
        <v>3597.0983080158126</v>
      </c>
      <c r="AG38" s="284">
        <v>3230.9348452770168</v>
      </c>
      <c r="AH38" s="284">
        <v>2973.6220034797407</v>
      </c>
      <c r="AI38" s="284">
        <v>2587.6697623838886</v>
      </c>
      <c r="AJ38" s="284">
        <v>2478.1014705439243</v>
      </c>
      <c r="AK38" s="284">
        <v>2489.8341636490563</v>
      </c>
      <c r="AL38" s="284">
        <v>3225.6981923212143</v>
      </c>
      <c r="AM38" s="284">
        <v>3323.1351714688371</v>
      </c>
      <c r="AN38" s="284">
        <v>3232.6913959769645</v>
      </c>
      <c r="AO38" s="284">
        <v>2610.229005504179</v>
      </c>
      <c r="AP38" s="284">
        <v>5047.133197612091</v>
      </c>
      <c r="AQ38" s="284">
        <v>4364.7781962124518</v>
      </c>
      <c r="AR38" s="284">
        <v>4691.8383385999186</v>
      </c>
      <c r="AS38" s="284">
        <v>3674.2601234379231</v>
      </c>
      <c r="AT38" s="284">
        <v>3567.4058345689336</v>
      </c>
      <c r="AU38" s="284">
        <v>3800.7124089067265</v>
      </c>
      <c r="AV38" s="284">
        <v>4235.9860604556734</v>
      </c>
      <c r="AW38" s="284">
        <v>5506.1052519379546</v>
      </c>
      <c r="AX38" s="284">
        <v>6365.9926140673942</v>
      </c>
      <c r="AY38" s="284">
        <v>8740.8409054982294</v>
      </c>
    </row>
    <row r="39" spans="1:51" ht="12.75" hidden="1" customHeight="1" x14ac:dyDescent="0.25">
      <c r="A39" s="59">
        <v>149</v>
      </c>
      <c r="B39" s="39" t="s">
        <v>3585</v>
      </c>
      <c r="C39" s="59" t="s">
        <v>340</v>
      </c>
      <c r="D39" s="284">
        <v>2264.1791586056333</v>
      </c>
      <c r="E39" s="284">
        <v>2605.8374831452411</v>
      </c>
      <c r="F39" s="284">
        <v>2849.8939063260286</v>
      </c>
      <c r="G39" s="284">
        <v>2415.3504897312341</v>
      </c>
      <c r="H39" s="284">
        <v>2538.8805870054716</v>
      </c>
      <c r="I39" s="284">
        <v>1897.5142928830364</v>
      </c>
      <c r="J39" s="284">
        <v>1433.9438480278652</v>
      </c>
      <c r="K39" s="284">
        <v>1564.2693919827591</v>
      </c>
      <c r="L39" s="284">
        <v>1358.4393955242899</v>
      </c>
      <c r="M39" s="284">
        <v>1468.3512360893321</v>
      </c>
      <c r="N39" s="284">
        <v>1808.1157201607862</v>
      </c>
      <c r="O39" s="284">
        <v>2741.8551982040094</v>
      </c>
      <c r="P39" s="284">
        <v>2689.4558831711679</v>
      </c>
      <c r="Q39" s="284">
        <v>2192.812226662501</v>
      </c>
      <c r="R39" s="284">
        <v>2202.8409689220152</v>
      </c>
      <c r="S39" s="284">
        <v>1800.5555637488778</v>
      </c>
      <c r="T39" s="284">
        <v>1827.3795390119856</v>
      </c>
      <c r="U39" s="284">
        <v>1377.2568832177287</v>
      </c>
      <c r="V39" s="284">
        <v>1139.3992775218046</v>
      </c>
      <c r="W39" s="284">
        <v>1227.04287907312</v>
      </c>
      <c r="X39" s="284">
        <v>1271.7472073575227</v>
      </c>
      <c r="Y39" s="284">
        <v>1488.0162383859547</v>
      </c>
      <c r="Z39" s="284">
        <v>1785.3031164972772</v>
      </c>
      <c r="AA39" s="284">
        <v>2100.8972697436143</v>
      </c>
      <c r="AB39" s="284">
        <v>1953.320270308202</v>
      </c>
      <c r="AC39" s="284">
        <v>1765.9246668878484</v>
      </c>
      <c r="AD39" s="284">
        <v>1844.1439099521633</v>
      </c>
      <c r="AE39" s="284">
        <v>1498.605765136638</v>
      </c>
      <c r="AF39" s="284">
        <v>1300.1077914385521</v>
      </c>
      <c r="AG39" s="284">
        <v>1167.764460763939</v>
      </c>
      <c r="AH39" s="284">
        <v>1074.7632687441508</v>
      </c>
      <c r="AI39" s="284">
        <v>935.26763287183758</v>
      </c>
      <c r="AJ39" s="284">
        <v>895.66610471834997</v>
      </c>
      <c r="AK39" s="284">
        <v>899.90667987487188</v>
      </c>
      <c r="AL39" s="284">
        <v>1165.8717648390802</v>
      </c>
      <c r="AM39" s="284">
        <v>1201.0886438111581</v>
      </c>
      <c r="AN39" s="284">
        <v>1168.3993350585808</v>
      </c>
      <c r="AO39" s="284">
        <v>943.42127373405356</v>
      </c>
      <c r="AP39" s="284">
        <v>1824.1973481851269</v>
      </c>
      <c r="AQ39" s="284">
        <v>1577.5721581340704</v>
      </c>
      <c r="AR39" s="284">
        <v>1695.7822827891007</v>
      </c>
      <c r="AS39" s="284">
        <v>1327.9965697931159</v>
      </c>
      <c r="AT39" s="284">
        <v>1289.3759701843635</v>
      </c>
      <c r="AU39" s="284">
        <v>1373.7005198955774</v>
      </c>
      <c r="AV39" s="284">
        <v>1531.0225103804166</v>
      </c>
      <c r="AW39" s="284">
        <v>1990.0847087145551</v>
      </c>
      <c r="AX39" s="284">
        <v>2300.8758418823045</v>
      </c>
      <c r="AY39" s="284">
        <v>3159.2229046504845</v>
      </c>
    </row>
    <row r="40" spans="1:51" ht="12.75" hidden="1" customHeight="1" x14ac:dyDescent="0.25">
      <c r="A40" s="59">
        <v>292</v>
      </c>
      <c r="B40" s="221" t="s">
        <v>529</v>
      </c>
      <c r="C40" s="59" t="s">
        <v>530</v>
      </c>
      <c r="D40" s="284">
        <v>0</v>
      </c>
      <c r="E40" s="284">
        <v>0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N40" s="284">
        <v>0</v>
      </c>
      <c r="O40" s="284">
        <v>0</v>
      </c>
      <c r="P40" s="284">
        <v>0</v>
      </c>
      <c r="Q40" s="284">
        <v>0</v>
      </c>
      <c r="R40" s="284">
        <v>0</v>
      </c>
      <c r="S40" s="284">
        <v>0</v>
      </c>
      <c r="T40" s="284">
        <v>0</v>
      </c>
      <c r="U40" s="284">
        <v>0</v>
      </c>
      <c r="V40" s="284">
        <v>0</v>
      </c>
      <c r="W40" s="284">
        <v>0</v>
      </c>
      <c r="X40" s="284">
        <v>0</v>
      </c>
      <c r="Y40" s="284">
        <v>0</v>
      </c>
      <c r="Z40" s="284">
        <v>0</v>
      </c>
      <c r="AA40" s="284">
        <v>0</v>
      </c>
      <c r="AB40" s="284">
        <v>0</v>
      </c>
      <c r="AC40" s="284">
        <v>0</v>
      </c>
      <c r="AD40" s="284">
        <v>0</v>
      </c>
      <c r="AE40" s="284">
        <v>0</v>
      </c>
      <c r="AF40" s="284">
        <v>0</v>
      </c>
      <c r="AG40" s="284">
        <v>0</v>
      </c>
      <c r="AH40" s="284">
        <v>0</v>
      </c>
      <c r="AI40" s="284">
        <v>0</v>
      </c>
      <c r="AJ40" s="284">
        <v>0</v>
      </c>
      <c r="AK40" s="284">
        <v>0</v>
      </c>
      <c r="AL40" s="284">
        <v>0</v>
      </c>
      <c r="AM40" s="284">
        <v>0</v>
      </c>
      <c r="AN40" s="284">
        <v>0</v>
      </c>
      <c r="AO40" s="284">
        <v>0</v>
      </c>
      <c r="AP40" s="284">
        <v>0</v>
      </c>
      <c r="AQ40" s="284">
        <v>0</v>
      </c>
      <c r="AR40" s="284">
        <v>92.535699243609869</v>
      </c>
      <c r="AS40" s="284">
        <v>79.535663362872342</v>
      </c>
      <c r="AT40" s="284">
        <v>74.528447247171002</v>
      </c>
      <c r="AU40" s="284">
        <v>75.739686039230094</v>
      </c>
      <c r="AV40" s="284">
        <v>82.031664259923161</v>
      </c>
      <c r="AW40" s="284">
        <v>96.498891000553996</v>
      </c>
      <c r="AX40" s="284">
        <v>106.23098384667389</v>
      </c>
      <c r="AY40" s="284">
        <v>138.3310623197145</v>
      </c>
    </row>
    <row r="41" spans="1:51" ht="12.75" hidden="1" customHeight="1" x14ac:dyDescent="0.25">
      <c r="A41" s="59">
        <v>111</v>
      </c>
      <c r="B41" s="39" t="s">
        <v>261</v>
      </c>
      <c r="C41" s="59" t="s">
        <v>262</v>
      </c>
      <c r="D41" s="284">
        <v>7592.6926015028894</v>
      </c>
      <c r="E41" s="284">
        <v>3237.2804395017738</v>
      </c>
      <c r="F41" s="284">
        <v>2872.7711522049149</v>
      </c>
      <c r="G41" s="284">
        <v>2731.0025320483419</v>
      </c>
      <c r="H41" s="284">
        <v>1683</v>
      </c>
      <c r="I41" s="284">
        <v>1622</v>
      </c>
      <c r="J41" s="284">
        <v>1600</v>
      </c>
      <c r="K41" s="284">
        <v>1831</v>
      </c>
      <c r="L41" s="284">
        <v>2128</v>
      </c>
      <c r="M41" s="284">
        <v>0</v>
      </c>
      <c r="N41" s="284">
        <v>4296</v>
      </c>
      <c r="O41" s="284">
        <v>2151</v>
      </c>
      <c r="P41" s="284">
        <v>1433</v>
      </c>
      <c r="Q41" s="284">
        <v>1432</v>
      </c>
      <c r="R41" s="284">
        <v>1335</v>
      </c>
      <c r="S41" s="284">
        <v>1089</v>
      </c>
      <c r="T41" s="284">
        <v>1083</v>
      </c>
      <c r="U41" s="284">
        <v>1183</v>
      </c>
      <c r="V41" s="284">
        <v>1399</v>
      </c>
      <c r="W41" s="284">
        <v>1715</v>
      </c>
      <c r="X41" s="284">
        <v>2387</v>
      </c>
      <c r="Y41" s="284">
        <v>0</v>
      </c>
      <c r="Z41" s="284">
        <v>5671</v>
      </c>
      <c r="AA41" s="284">
        <v>2183</v>
      </c>
      <c r="AB41" s="284">
        <v>0</v>
      </c>
      <c r="AC41" s="284">
        <v>2805</v>
      </c>
      <c r="AD41" s="284">
        <v>0</v>
      </c>
      <c r="AE41" s="284">
        <v>2938</v>
      </c>
      <c r="AF41" s="284">
        <v>1383</v>
      </c>
      <c r="AG41" s="284">
        <v>1017</v>
      </c>
      <c r="AH41" s="284">
        <v>1340</v>
      </c>
      <c r="AI41" s="284">
        <v>1394</v>
      </c>
      <c r="AJ41" s="284">
        <v>2304</v>
      </c>
      <c r="AK41" s="284">
        <v>0</v>
      </c>
      <c r="AL41" s="284">
        <v>0</v>
      </c>
      <c r="AM41" s="284">
        <v>5866</v>
      </c>
      <c r="AN41" s="284">
        <v>2682</v>
      </c>
      <c r="AO41" s="284">
        <v>1771</v>
      </c>
      <c r="AP41" s="284">
        <v>1143</v>
      </c>
      <c r="AQ41" s="284">
        <v>1280</v>
      </c>
      <c r="AR41" s="284">
        <v>469</v>
      </c>
      <c r="AS41" s="284">
        <v>1440</v>
      </c>
      <c r="AT41" s="284">
        <v>1834</v>
      </c>
      <c r="AU41" s="284">
        <v>2129</v>
      </c>
      <c r="AV41" s="284">
        <v>1435</v>
      </c>
      <c r="AW41" s="284">
        <v>1714</v>
      </c>
      <c r="AX41" s="284">
        <v>2733</v>
      </c>
      <c r="AY41" s="284">
        <v>1979</v>
      </c>
    </row>
    <row r="42" spans="1:51" ht="12.75" hidden="1" customHeight="1" x14ac:dyDescent="0.25">
      <c r="A42" s="59">
        <v>79</v>
      </c>
      <c r="B42" s="39" t="s">
        <v>188</v>
      </c>
      <c r="C42" s="59" t="s">
        <v>189</v>
      </c>
      <c r="D42" s="284">
        <v>75.418346111037124</v>
      </c>
      <c r="E42" s="284">
        <v>39.540159971196488</v>
      </c>
      <c r="F42" s="284">
        <v>39.777082654492027</v>
      </c>
      <c r="G42" s="284">
        <v>42.226778898881406</v>
      </c>
      <c r="H42" s="284">
        <v>4</v>
      </c>
      <c r="I42" s="284">
        <v>4</v>
      </c>
      <c r="J42" s="284">
        <v>3</v>
      </c>
      <c r="K42" s="284">
        <v>5</v>
      </c>
      <c r="L42" s="284">
        <v>5</v>
      </c>
      <c r="M42" s="284">
        <v>0</v>
      </c>
      <c r="N42" s="284">
        <v>11</v>
      </c>
      <c r="O42" s="284">
        <v>6</v>
      </c>
      <c r="P42" s="284">
        <v>6</v>
      </c>
      <c r="Q42" s="284">
        <v>5</v>
      </c>
      <c r="R42" s="284">
        <v>5</v>
      </c>
      <c r="S42" s="284">
        <v>4</v>
      </c>
      <c r="T42" s="284">
        <v>4</v>
      </c>
      <c r="U42" s="284">
        <v>3</v>
      </c>
      <c r="V42" s="284">
        <v>4</v>
      </c>
      <c r="W42" s="284">
        <v>5</v>
      </c>
      <c r="X42" s="284">
        <v>5</v>
      </c>
      <c r="Y42" s="284">
        <v>0</v>
      </c>
      <c r="Z42" s="284">
        <v>11</v>
      </c>
      <c r="AA42" s="284">
        <v>7</v>
      </c>
      <c r="AB42" s="284">
        <v>0</v>
      </c>
      <c r="AC42" s="284">
        <v>9</v>
      </c>
      <c r="AD42" s="284">
        <v>0</v>
      </c>
      <c r="AE42" s="284">
        <v>7</v>
      </c>
      <c r="AF42" s="284">
        <v>4</v>
      </c>
      <c r="AG42" s="284">
        <v>3</v>
      </c>
      <c r="AH42" s="284">
        <v>4</v>
      </c>
      <c r="AI42" s="284">
        <v>4</v>
      </c>
      <c r="AJ42" s="284">
        <v>4</v>
      </c>
      <c r="AK42" s="284">
        <v>0</v>
      </c>
      <c r="AL42" s="284">
        <v>0</v>
      </c>
      <c r="AM42" s="284">
        <v>7</v>
      </c>
      <c r="AN42" s="284">
        <v>4</v>
      </c>
      <c r="AO42" s="284">
        <v>3</v>
      </c>
      <c r="AP42" s="284">
        <v>4</v>
      </c>
      <c r="AQ42" s="284">
        <v>4</v>
      </c>
      <c r="AR42" s="284">
        <v>3</v>
      </c>
      <c r="AS42" s="284">
        <v>4</v>
      </c>
      <c r="AT42" s="284">
        <v>4</v>
      </c>
      <c r="AU42" s="284">
        <v>3</v>
      </c>
      <c r="AV42" s="284">
        <v>4</v>
      </c>
      <c r="AW42" s="284">
        <v>5</v>
      </c>
      <c r="AX42" s="284">
        <v>4</v>
      </c>
      <c r="AY42" s="284">
        <v>4</v>
      </c>
    </row>
    <row r="43" spans="1:51" hidden="1" x14ac:dyDescent="0.25">
      <c r="A43" s="59">
        <v>94</v>
      </c>
      <c r="B43" s="39" t="s">
        <v>3562</v>
      </c>
      <c r="C43" s="59" t="s">
        <v>231</v>
      </c>
      <c r="D43" s="284">
        <v>1419.2376650151928</v>
      </c>
      <c r="E43" s="284">
        <v>1633.3966731085332</v>
      </c>
      <c r="F43" s="284">
        <v>1786.3766468224376</v>
      </c>
      <c r="G43" s="284">
        <v>1513.9952049335723</v>
      </c>
      <c r="H43" s="284">
        <v>1591.4266070150916</v>
      </c>
      <c r="I43" s="284">
        <v>1189.4040028275592</v>
      </c>
      <c r="J43" s="284">
        <v>898.82777646061527</v>
      </c>
      <c r="K43" s="284">
        <v>980.51871509123384</v>
      </c>
      <c r="L43" s="284">
        <v>851.49991264642063</v>
      </c>
      <c r="M43" s="284">
        <v>920.39508967698657</v>
      </c>
      <c r="N43" s="284">
        <v>1133.3669966022421</v>
      </c>
      <c r="O43" s="284">
        <v>1718.655590710968</v>
      </c>
      <c r="P43" s="284">
        <v>1685.8105390139976</v>
      </c>
      <c r="Q43" s="284">
        <v>1374.5032907651243</v>
      </c>
      <c r="R43" s="284">
        <v>1380.7895286245866</v>
      </c>
      <c r="S43" s="284">
        <v>1128.6281230495881</v>
      </c>
      <c r="T43" s="284">
        <v>1145.4419850949764</v>
      </c>
      <c r="U43" s="284">
        <v>863.29513087991734</v>
      </c>
      <c r="V43" s="284">
        <v>714.20071331541681</v>
      </c>
      <c r="W43" s="284">
        <v>769.13766472513362</v>
      </c>
      <c r="X43" s="284">
        <v>797.15932822701848</v>
      </c>
      <c r="Y43" s="284">
        <v>932.72154884250813</v>
      </c>
      <c r="Z43" s="284">
        <v>1119.0675511571856</v>
      </c>
      <c r="AA43" s="284">
        <v>1316.8889591687378</v>
      </c>
      <c r="AB43" s="284">
        <v>1224.3844259949371</v>
      </c>
      <c r="AC43" s="284">
        <v>1106.9207095652694</v>
      </c>
      <c r="AD43" s="284">
        <v>1155.9502642557293</v>
      </c>
      <c r="AE43" s="284">
        <v>939.3592988465806</v>
      </c>
      <c r="AF43" s="284">
        <v>814.93637072678928</v>
      </c>
      <c r="AG43" s="284">
        <v>731.98063867127371</v>
      </c>
      <c r="AH43" s="284">
        <v>673.68543084545888</v>
      </c>
      <c r="AI43" s="284">
        <v>586.2464754152918</v>
      </c>
      <c r="AJ43" s="284">
        <v>561.42336010042345</v>
      </c>
      <c r="AK43" s="284">
        <v>564.08144656879733</v>
      </c>
      <c r="AL43" s="284">
        <v>730.79425492828636</v>
      </c>
      <c r="AM43" s="284">
        <v>752.86897498367057</v>
      </c>
      <c r="AN43" s="284">
        <v>732.37859194634063</v>
      </c>
      <c r="AO43" s="284">
        <v>591.35735817149123</v>
      </c>
      <c r="AP43" s="284">
        <v>1143.4473173755171</v>
      </c>
      <c r="AQ43" s="284">
        <v>988.85718367004404</v>
      </c>
      <c r="AR43" s="284">
        <v>1062.9539090369001</v>
      </c>
      <c r="AS43" s="284">
        <v>832.41767494320675</v>
      </c>
      <c r="AT43" s="284">
        <v>808.20942737503844</v>
      </c>
      <c r="AU43" s="284">
        <v>861.06592354970599</v>
      </c>
      <c r="AV43" s="284">
        <v>959.6788330372874</v>
      </c>
      <c r="AW43" s="284">
        <v>1247.4291905936716</v>
      </c>
      <c r="AX43" s="284">
        <v>1442.2399591973629</v>
      </c>
      <c r="AY43" s="284">
        <v>1980.2709169091956</v>
      </c>
    </row>
    <row r="44" spans="1:51" ht="12.75" hidden="1" customHeight="1" x14ac:dyDescent="0.25">
      <c r="A44" s="59">
        <v>52</v>
      </c>
      <c r="B44" s="39" t="s">
        <v>3549</v>
      </c>
      <c r="C44" s="59" t="s">
        <v>138</v>
      </c>
      <c r="D44" s="284">
        <v>48</v>
      </c>
      <c r="E44" s="284">
        <v>18</v>
      </c>
      <c r="F44" s="284">
        <v>21</v>
      </c>
      <c r="G44" s="284">
        <v>17</v>
      </c>
      <c r="H44" s="284">
        <v>8</v>
      </c>
      <c r="I44" s="284">
        <v>11</v>
      </c>
      <c r="J44" s="284">
        <v>11</v>
      </c>
      <c r="K44" s="284">
        <v>16</v>
      </c>
      <c r="L44" s="284">
        <v>16</v>
      </c>
      <c r="M44" s="284">
        <v>0</v>
      </c>
      <c r="N44" s="284">
        <v>34</v>
      </c>
      <c r="O44" s="284">
        <v>21</v>
      </c>
      <c r="P44" s="284">
        <v>22</v>
      </c>
      <c r="Q44" s="284">
        <v>18</v>
      </c>
      <c r="R44" s="284">
        <v>19</v>
      </c>
      <c r="S44" s="284">
        <v>13</v>
      </c>
      <c r="T44" s="284">
        <v>11</v>
      </c>
      <c r="U44" s="284">
        <v>11</v>
      </c>
      <c r="V44" s="284">
        <v>11</v>
      </c>
      <c r="W44" s="284">
        <v>13</v>
      </c>
      <c r="X44" s="284">
        <v>16</v>
      </c>
      <c r="Y44" s="284">
        <v>0</v>
      </c>
      <c r="Z44" s="284">
        <v>58</v>
      </c>
      <c r="AA44" s="284">
        <v>43</v>
      </c>
      <c r="AB44" s="284">
        <v>0</v>
      </c>
      <c r="AC44" s="284">
        <v>125</v>
      </c>
      <c r="AD44" s="284">
        <v>0</v>
      </c>
      <c r="AE44" s="284">
        <v>30</v>
      </c>
      <c r="AF44" s="284">
        <v>0</v>
      </c>
      <c r="AG44" s="284">
        <v>0</v>
      </c>
      <c r="AH44" s="284">
        <v>0</v>
      </c>
      <c r="AI44" s="284">
        <v>1</v>
      </c>
      <c r="AJ44" s="284">
        <v>1</v>
      </c>
      <c r="AK44" s="284">
        <v>0</v>
      </c>
      <c r="AL44" s="284">
        <v>0</v>
      </c>
      <c r="AM44" s="284">
        <v>48</v>
      </c>
      <c r="AN44" s="284">
        <v>23</v>
      </c>
      <c r="AO44" s="284">
        <v>21</v>
      </c>
      <c r="AP44" s="284">
        <v>20</v>
      </c>
      <c r="AQ44" s="284">
        <v>17</v>
      </c>
      <c r="AR44" s="284">
        <v>4</v>
      </c>
      <c r="AS44" s="284">
        <v>0</v>
      </c>
      <c r="AT44" s="284">
        <v>0</v>
      </c>
      <c r="AU44" s="284">
        <v>0</v>
      </c>
      <c r="AV44" s="284">
        <v>0</v>
      </c>
      <c r="AW44" s="284">
        <v>0</v>
      </c>
      <c r="AX44" s="284">
        <v>0</v>
      </c>
      <c r="AY44" s="284">
        <v>0</v>
      </c>
    </row>
    <row r="45" spans="1:51" ht="12.75" hidden="1" customHeight="1" x14ac:dyDescent="0.25">
      <c r="A45" s="59">
        <v>256</v>
      </c>
      <c r="B45" s="39" t="s">
        <v>473</v>
      </c>
      <c r="C45" s="59" t="s">
        <v>474</v>
      </c>
      <c r="D45" s="284">
        <v>1852.5330385254042</v>
      </c>
      <c r="E45" s="284">
        <v>2001.7529923331322</v>
      </c>
      <c r="F45" s="284">
        <v>2090.4338560900019</v>
      </c>
      <c r="G45" s="284">
        <v>1711.7529317654644</v>
      </c>
      <c r="H45" s="284">
        <v>1839.8437148322485</v>
      </c>
      <c r="I45" s="284">
        <v>1438.4559261412571</v>
      </c>
      <c r="J45" s="284">
        <v>1187.1631093991045</v>
      </c>
      <c r="K45" s="284">
        <v>1214.6128961359261</v>
      </c>
      <c r="L45" s="284">
        <v>1603.2951385247666</v>
      </c>
      <c r="M45" s="284">
        <v>2066.2419001576691</v>
      </c>
      <c r="N45" s="284">
        <v>2248.4923148585922</v>
      </c>
      <c r="O45" s="284">
        <v>2380.5887039326708</v>
      </c>
      <c r="P45" s="284">
        <v>3030.0731003444143</v>
      </c>
      <c r="Q45" s="284">
        <v>3178.5742263129541</v>
      </c>
      <c r="R45" s="284">
        <v>2737.2799393217729</v>
      </c>
      <c r="S45" s="284">
        <v>2514.5576457628376</v>
      </c>
      <c r="T45" s="284">
        <v>2697.5877109506541</v>
      </c>
      <c r="U45" s="284">
        <v>2026.578199775716</v>
      </c>
      <c r="V45" s="284">
        <v>1773.4277881827088</v>
      </c>
      <c r="W45" s="284">
        <v>1738.7841266010125</v>
      </c>
      <c r="X45" s="284">
        <v>1694.1311213326387</v>
      </c>
      <c r="Y45" s="284">
        <v>2209.3714960234229</v>
      </c>
      <c r="Z45" s="284">
        <v>2821.6629912721373</v>
      </c>
      <c r="AA45" s="284">
        <v>3495.7429951332947</v>
      </c>
      <c r="AB45" s="284">
        <v>3715.4402593848313</v>
      </c>
      <c r="AC45" s="284">
        <v>3239.5613917041896</v>
      </c>
      <c r="AD45" s="284">
        <v>3176.9999575226702</v>
      </c>
      <c r="AE45" s="284">
        <v>2533.6194004602926</v>
      </c>
      <c r="AF45" s="284">
        <v>2234.8345885141853</v>
      </c>
      <c r="AG45" s="284">
        <v>1995.3114136856282</v>
      </c>
      <c r="AH45" s="284">
        <v>1906.5186058246036</v>
      </c>
      <c r="AI45" s="284">
        <v>1811.9117922301132</v>
      </c>
      <c r="AJ45" s="284">
        <v>1807.1861004313066</v>
      </c>
      <c r="AK45" s="284">
        <v>1949.7095555766884</v>
      </c>
      <c r="AL45" s="284">
        <v>2519.7714726412923</v>
      </c>
      <c r="AM45" s="284">
        <v>2871.9682947518459</v>
      </c>
      <c r="AN45" s="284">
        <v>3002.4143565161121</v>
      </c>
      <c r="AO45" s="284">
        <v>2607.8394341597518</v>
      </c>
      <c r="AP45" s="284">
        <v>2642.8026701078816</v>
      </c>
      <c r="AQ45" s="284">
        <v>2122.8158625562378</v>
      </c>
      <c r="AR45" s="284">
        <v>2072.3377602747164</v>
      </c>
      <c r="AS45" s="284">
        <v>1779.6050706988965</v>
      </c>
      <c r="AT45" s="284">
        <v>1663.3368047594508</v>
      </c>
      <c r="AU45" s="284">
        <v>1689.8135473801015</v>
      </c>
      <c r="AV45" s="284">
        <v>1830.6202340686498</v>
      </c>
      <c r="AW45" s="284">
        <v>2156.6873941087701</v>
      </c>
      <c r="AX45" s="284">
        <v>2373.9297074050041</v>
      </c>
      <c r="AY45" s="284">
        <v>3097.4678567196506</v>
      </c>
    </row>
    <row r="46" spans="1:51" s="290" customFormat="1" ht="12.75" hidden="1" customHeight="1" x14ac:dyDescent="0.25">
      <c r="A46" s="59">
        <v>261</v>
      </c>
      <c r="B46" s="33" t="s">
        <v>484</v>
      </c>
      <c r="C46" s="59" t="s">
        <v>485</v>
      </c>
      <c r="D46" s="284">
        <v>137</v>
      </c>
      <c r="E46" s="284">
        <v>488</v>
      </c>
      <c r="F46" s="284">
        <v>486</v>
      </c>
      <c r="G46" s="284">
        <v>504</v>
      </c>
      <c r="H46" s="284">
        <v>370</v>
      </c>
      <c r="I46" s="284">
        <v>372</v>
      </c>
      <c r="J46" s="284">
        <v>404</v>
      </c>
      <c r="K46" s="284">
        <v>422</v>
      </c>
      <c r="L46" s="284">
        <v>498</v>
      </c>
      <c r="M46" s="284">
        <v>0</v>
      </c>
      <c r="N46" s="284">
        <v>1509</v>
      </c>
      <c r="O46" s="284">
        <v>751</v>
      </c>
      <c r="P46" s="284">
        <v>561</v>
      </c>
      <c r="Q46" s="284">
        <v>573</v>
      </c>
      <c r="R46" s="284">
        <v>545</v>
      </c>
      <c r="S46" s="284">
        <v>537</v>
      </c>
      <c r="T46" s="284">
        <v>515</v>
      </c>
      <c r="U46" s="284">
        <v>466</v>
      </c>
      <c r="V46" s="284">
        <v>456</v>
      </c>
      <c r="W46" s="284">
        <v>513</v>
      </c>
      <c r="X46" s="284">
        <v>467</v>
      </c>
      <c r="Y46" s="284">
        <v>0</v>
      </c>
      <c r="Z46" s="284">
        <v>1323</v>
      </c>
      <c r="AA46" s="284">
        <v>544</v>
      </c>
      <c r="AB46" s="284">
        <v>0</v>
      </c>
      <c r="AC46" s="284">
        <v>735</v>
      </c>
      <c r="AD46" s="284">
        <v>0</v>
      </c>
      <c r="AE46" s="284">
        <v>269</v>
      </c>
      <c r="AF46" s="284">
        <v>329</v>
      </c>
      <c r="AG46" s="284">
        <v>335</v>
      </c>
      <c r="AH46" s="284">
        <v>320</v>
      </c>
      <c r="AI46" s="284">
        <v>274</v>
      </c>
      <c r="AJ46" s="284">
        <v>459</v>
      </c>
      <c r="AK46" s="284">
        <v>0</v>
      </c>
      <c r="AL46" s="284">
        <v>0</v>
      </c>
      <c r="AM46" s="284">
        <v>1136</v>
      </c>
      <c r="AN46" s="284">
        <v>677</v>
      </c>
      <c r="AO46" s="284">
        <v>699</v>
      </c>
      <c r="AP46" s="284">
        <v>673</v>
      </c>
      <c r="AQ46" s="284">
        <v>742</v>
      </c>
      <c r="AR46" s="284">
        <v>751</v>
      </c>
      <c r="AS46" s="284">
        <v>668</v>
      </c>
      <c r="AT46" s="284">
        <v>745</v>
      </c>
      <c r="AU46" s="284">
        <v>716</v>
      </c>
      <c r="AV46" s="284">
        <v>737</v>
      </c>
      <c r="AW46" s="284">
        <v>708</v>
      </c>
      <c r="AX46" s="284">
        <v>435</v>
      </c>
      <c r="AY46" s="284">
        <v>300</v>
      </c>
    </row>
    <row r="47" spans="1:51" ht="12.75" hidden="1" customHeight="1" x14ac:dyDescent="0.25">
      <c r="A47" s="59">
        <v>326</v>
      </c>
      <c r="B47" s="221" t="s">
        <v>3631</v>
      </c>
      <c r="C47" s="59" t="s">
        <v>556</v>
      </c>
      <c r="D47" s="284">
        <v>8044</v>
      </c>
      <c r="E47" s="284">
        <v>3278</v>
      </c>
      <c r="F47" s="284">
        <v>3168</v>
      </c>
      <c r="G47" s="284">
        <v>3452</v>
      </c>
      <c r="H47" s="284">
        <v>2311</v>
      </c>
      <c r="I47" s="284">
        <v>2204</v>
      </c>
      <c r="J47" s="284">
        <v>2204</v>
      </c>
      <c r="K47" s="284">
        <v>2896</v>
      </c>
      <c r="L47" s="284">
        <v>2896</v>
      </c>
      <c r="M47" s="284">
        <v>0</v>
      </c>
      <c r="N47" s="284">
        <v>8420</v>
      </c>
      <c r="O47" s="284">
        <v>3724</v>
      </c>
      <c r="P47" s="284">
        <v>3596</v>
      </c>
      <c r="Q47" s="284">
        <v>2615</v>
      </c>
      <c r="R47" s="284">
        <v>2529</v>
      </c>
      <c r="S47" s="284">
        <v>2459</v>
      </c>
      <c r="T47" s="284">
        <v>2960</v>
      </c>
      <c r="U47" s="284">
        <v>2365</v>
      </c>
      <c r="V47" s="284">
        <v>1357</v>
      </c>
      <c r="W47" s="284">
        <v>1944</v>
      </c>
      <c r="X47" s="284">
        <v>3135</v>
      </c>
      <c r="Y47" s="284">
        <v>0</v>
      </c>
      <c r="Z47" s="284">
        <v>7527</v>
      </c>
      <c r="AA47" s="284">
        <v>3004</v>
      </c>
      <c r="AB47" s="284">
        <v>0</v>
      </c>
      <c r="AC47" s="284">
        <v>7210</v>
      </c>
      <c r="AD47" s="284">
        <v>0</v>
      </c>
      <c r="AE47" s="284">
        <v>4924</v>
      </c>
      <c r="AF47" s="284">
        <v>2099</v>
      </c>
      <c r="AG47" s="284">
        <v>1907</v>
      </c>
      <c r="AH47" s="284">
        <v>2013</v>
      </c>
      <c r="AI47" s="284">
        <v>2310</v>
      </c>
      <c r="AJ47" s="284">
        <v>3351</v>
      </c>
      <c r="AK47" s="284">
        <v>0</v>
      </c>
      <c r="AL47" s="284">
        <v>0</v>
      </c>
      <c r="AM47" s="284">
        <v>8046</v>
      </c>
      <c r="AN47" s="284">
        <v>2882</v>
      </c>
      <c r="AO47" s="284">
        <v>3239</v>
      </c>
      <c r="AP47" s="284">
        <v>3227</v>
      </c>
      <c r="AQ47" s="284">
        <v>2836</v>
      </c>
      <c r="AR47" s="284">
        <v>2496</v>
      </c>
      <c r="AS47" s="284">
        <v>2147</v>
      </c>
      <c r="AT47" s="284">
        <v>2186</v>
      </c>
      <c r="AU47" s="284">
        <v>2329</v>
      </c>
      <c r="AV47" s="284">
        <v>3136</v>
      </c>
      <c r="AW47" s="284">
        <v>2793</v>
      </c>
      <c r="AX47" s="284">
        <v>2632</v>
      </c>
      <c r="AY47" s="284">
        <v>2035</v>
      </c>
    </row>
    <row r="48" spans="1:51" ht="12.75" hidden="1" customHeight="1" x14ac:dyDescent="0.25">
      <c r="A48" s="59">
        <v>99</v>
      </c>
      <c r="B48" s="289" t="s">
        <v>3563</v>
      </c>
      <c r="C48" s="59" t="s">
        <v>237</v>
      </c>
      <c r="D48" s="284">
        <v>6429.3812625351056</v>
      </c>
      <c r="E48" s="284">
        <v>7403.2437776125234</v>
      </c>
      <c r="F48" s="284">
        <v>8003.847486595213</v>
      </c>
      <c r="G48" s="284">
        <v>6985.6667787880833</v>
      </c>
      <c r="H48" s="284">
        <v>6298.7842946584469</v>
      </c>
      <c r="I48" s="284">
        <v>5148.0004519483482</v>
      </c>
      <c r="J48" s="284">
        <v>4139.9908363595432</v>
      </c>
      <c r="K48" s="284">
        <v>5462.1986329818137</v>
      </c>
      <c r="L48" s="284">
        <v>5016.9163834238343</v>
      </c>
      <c r="M48" s="284">
        <v>5061.1049274253155</v>
      </c>
      <c r="N48" s="284">
        <v>5813.2148620667795</v>
      </c>
      <c r="O48" s="284">
        <v>7278.1976014653756</v>
      </c>
      <c r="P48" s="284">
        <v>8317.3643165231442</v>
      </c>
      <c r="Q48" s="284">
        <v>7666.314414983136</v>
      </c>
      <c r="R48" s="284">
        <v>7618.5026429657164</v>
      </c>
      <c r="S48" s="284">
        <v>6821.4976075498089</v>
      </c>
      <c r="T48" s="284">
        <v>5407.5907353236425</v>
      </c>
      <c r="U48" s="284">
        <v>4313.5731029940671</v>
      </c>
      <c r="V48" s="284">
        <v>4079.2647644053113</v>
      </c>
      <c r="W48" s="284">
        <v>4235.9092826791275</v>
      </c>
      <c r="X48" s="284">
        <v>4788.7083800027858</v>
      </c>
      <c r="Y48" s="284">
        <v>4947.8913042054519</v>
      </c>
      <c r="Z48" s="284">
        <v>6237.4506702450662</v>
      </c>
      <c r="AA48" s="284">
        <v>6746.1862702914195</v>
      </c>
      <c r="AB48" s="284">
        <v>6452.8729409965317</v>
      </c>
      <c r="AC48" s="284">
        <v>6357.6260252718439</v>
      </c>
      <c r="AD48" s="284">
        <v>6477.217798562222</v>
      </c>
      <c r="AE48" s="284">
        <v>3454.8819601076075</v>
      </c>
      <c r="AF48" s="284">
        <v>2877.8843556543457</v>
      </c>
      <c r="AG48" s="284">
        <v>2658.4321149228854</v>
      </c>
      <c r="AH48" s="284">
        <v>2199.5153724946376</v>
      </c>
      <c r="AI48" s="284">
        <v>2443.7576217409096</v>
      </c>
      <c r="AJ48" s="284">
        <v>3182.8149033895834</v>
      </c>
      <c r="AK48" s="284">
        <v>2455.9046175338649</v>
      </c>
      <c r="AL48" s="284">
        <v>3038.0177663613053</v>
      </c>
      <c r="AM48" s="284">
        <v>2820.6745959601876</v>
      </c>
      <c r="AN48" s="284">
        <v>2855.5260078820511</v>
      </c>
      <c r="AO48" s="284">
        <v>3261.8914543087544</v>
      </c>
      <c r="AP48" s="284">
        <v>5623.4747125774666</v>
      </c>
      <c r="AQ48" s="284">
        <v>4959.3047739716803</v>
      </c>
      <c r="AR48" s="284">
        <v>4849.3436501267806</v>
      </c>
      <c r="AS48" s="284">
        <v>3697.260328109172</v>
      </c>
      <c r="AT48" s="284">
        <v>3820.0184732138846</v>
      </c>
      <c r="AU48" s="284">
        <v>4596.8299988725348</v>
      </c>
      <c r="AV48" s="284">
        <v>5481.8760523137726</v>
      </c>
      <c r="AW48" s="284">
        <v>6822.7252215794042</v>
      </c>
      <c r="AX48" s="284">
        <v>7465.9391566587992</v>
      </c>
      <c r="AY48" s="284">
        <v>9757.0165548799923</v>
      </c>
    </row>
    <row r="49" spans="1:51" ht="12.75" hidden="1" customHeight="1" x14ac:dyDescent="0.25">
      <c r="A49" s="59">
        <v>116</v>
      </c>
      <c r="B49" s="221" t="s">
        <v>3570</v>
      </c>
      <c r="C49" s="347" t="s">
        <v>277</v>
      </c>
      <c r="D49" s="284">
        <v>0</v>
      </c>
      <c r="E49" s="284">
        <v>0</v>
      </c>
      <c r="F49" s="284">
        <v>0</v>
      </c>
      <c r="G49" s="284">
        <v>0</v>
      </c>
      <c r="H49" s="284">
        <v>0</v>
      </c>
      <c r="I49" s="284">
        <v>0</v>
      </c>
      <c r="J49" s="284">
        <v>0</v>
      </c>
      <c r="K49" s="284">
        <v>0</v>
      </c>
      <c r="L49" s="284">
        <v>0</v>
      </c>
      <c r="M49" s="284">
        <v>0</v>
      </c>
      <c r="N49" s="284">
        <v>0</v>
      </c>
      <c r="O49" s="284">
        <v>0</v>
      </c>
      <c r="P49" s="284">
        <v>0</v>
      </c>
      <c r="Q49" s="284">
        <v>0</v>
      </c>
      <c r="R49" s="284">
        <v>0</v>
      </c>
      <c r="S49" s="284">
        <v>0</v>
      </c>
      <c r="T49" s="284">
        <v>0</v>
      </c>
      <c r="U49" s="284">
        <v>0</v>
      </c>
      <c r="V49" s="284">
        <v>0</v>
      </c>
      <c r="W49" s="284">
        <v>0</v>
      </c>
      <c r="X49" s="284">
        <v>0</v>
      </c>
      <c r="Y49" s="284">
        <v>0</v>
      </c>
      <c r="Z49" s="284">
        <v>0</v>
      </c>
      <c r="AA49" s="284">
        <v>0</v>
      </c>
      <c r="AB49" s="284">
        <v>0</v>
      </c>
      <c r="AC49" s="284">
        <v>0</v>
      </c>
      <c r="AD49" s="284">
        <v>0</v>
      </c>
      <c r="AE49" s="284">
        <v>0</v>
      </c>
      <c r="AF49" s="284">
        <v>0</v>
      </c>
      <c r="AG49" s="284">
        <v>0</v>
      </c>
      <c r="AH49" s="284">
        <v>0</v>
      </c>
      <c r="AI49" s="284">
        <v>0</v>
      </c>
      <c r="AJ49" s="284">
        <v>0</v>
      </c>
      <c r="AK49" s="284">
        <v>0</v>
      </c>
      <c r="AL49" s="284">
        <v>0</v>
      </c>
      <c r="AM49" s="284">
        <v>0</v>
      </c>
      <c r="AN49" s="284">
        <v>0</v>
      </c>
      <c r="AO49" s="284">
        <v>0</v>
      </c>
      <c r="AP49" s="284">
        <v>0</v>
      </c>
      <c r="AQ49" s="284">
        <v>0</v>
      </c>
      <c r="AR49" s="284">
        <v>0</v>
      </c>
      <c r="AS49" s="284">
        <v>0</v>
      </c>
      <c r="AT49" s="284">
        <v>0</v>
      </c>
      <c r="AU49" s="284">
        <v>0</v>
      </c>
      <c r="AV49" s="284">
        <v>0</v>
      </c>
      <c r="AW49" s="284">
        <v>0</v>
      </c>
      <c r="AX49" s="284">
        <v>0</v>
      </c>
      <c r="AY49" s="284">
        <v>0</v>
      </c>
    </row>
    <row r="50" spans="1:51" ht="12.75" hidden="1" customHeight="1" x14ac:dyDescent="0.25">
      <c r="A50" s="59">
        <v>63</v>
      </c>
      <c r="B50" s="39" t="s">
        <v>155</v>
      </c>
      <c r="C50" s="347" t="s">
        <v>156</v>
      </c>
      <c r="D50" s="284">
        <v>0</v>
      </c>
      <c r="E50" s="284">
        <v>0</v>
      </c>
      <c r="F50" s="284">
        <v>0</v>
      </c>
      <c r="G50" s="284">
        <v>0</v>
      </c>
      <c r="H50" s="284"/>
      <c r="I50" s="284"/>
      <c r="J50" s="284"/>
      <c r="K50" s="284"/>
      <c r="L50" s="284"/>
      <c r="M50" s="284"/>
      <c r="N50" s="284"/>
      <c r="O50" s="284"/>
      <c r="P50" s="284"/>
      <c r="Q50" s="284"/>
      <c r="R50" s="284"/>
      <c r="S50" s="284"/>
      <c r="T50" s="284">
        <v>0</v>
      </c>
      <c r="U50" s="284">
        <v>0</v>
      </c>
      <c r="V50" s="284">
        <v>0</v>
      </c>
      <c r="W50" s="284"/>
      <c r="X50" s="284"/>
      <c r="Y50" s="284"/>
      <c r="Z50" s="284"/>
      <c r="AA50" s="284"/>
      <c r="AB50" s="284">
        <v>0</v>
      </c>
      <c r="AC50" s="284">
        <v>0</v>
      </c>
      <c r="AD50" s="284">
        <v>0</v>
      </c>
      <c r="AE50" s="284">
        <v>0</v>
      </c>
      <c r="AF50" s="284">
        <v>0</v>
      </c>
      <c r="AG50" s="284">
        <v>0</v>
      </c>
      <c r="AH50" s="284">
        <v>0</v>
      </c>
      <c r="AI50" s="284">
        <v>0</v>
      </c>
      <c r="AJ50" s="284">
        <v>0</v>
      </c>
      <c r="AK50" s="284">
        <v>0</v>
      </c>
      <c r="AL50" s="284">
        <v>0</v>
      </c>
      <c r="AM50" s="284">
        <v>0</v>
      </c>
      <c r="AN50" s="284">
        <v>0</v>
      </c>
      <c r="AO50" s="284">
        <v>0</v>
      </c>
      <c r="AP50" s="284">
        <v>0</v>
      </c>
      <c r="AQ50" s="284">
        <v>0</v>
      </c>
      <c r="AR50" s="284">
        <v>0</v>
      </c>
      <c r="AS50" s="284">
        <v>0</v>
      </c>
      <c r="AT50" s="284">
        <v>0</v>
      </c>
      <c r="AU50" s="284">
        <v>0</v>
      </c>
      <c r="AV50" s="284">
        <v>0</v>
      </c>
      <c r="AW50" s="284">
        <v>0</v>
      </c>
      <c r="AX50" s="284">
        <v>0</v>
      </c>
      <c r="AY50" s="284">
        <v>0</v>
      </c>
    </row>
    <row r="51" spans="1:51" ht="12.75" hidden="1" customHeight="1" x14ac:dyDescent="0.25">
      <c r="A51" s="59">
        <v>126</v>
      </c>
      <c r="B51" s="39" t="s">
        <v>294</v>
      </c>
      <c r="C51" s="59" t="s">
        <v>295</v>
      </c>
      <c r="D51" s="284">
        <v>231.29655379130176</v>
      </c>
      <c r="E51" s="284">
        <v>37.217683614591706</v>
      </c>
      <c r="F51" s="284">
        <v>0</v>
      </c>
      <c r="G51" s="284">
        <v>1.826452119744753</v>
      </c>
      <c r="H51" s="284">
        <v>0</v>
      </c>
      <c r="I51" s="284">
        <v>0</v>
      </c>
      <c r="J51" s="284">
        <v>0</v>
      </c>
      <c r="K51" s="284">
        <v>0</v>
      </c>
      <c r="L51" s="284">
        <v>3</v>
      </c>
      <c r="M51" s="284">
        <v>0</v>
      </c>
      <c r="N51" s="284">
        <v>115</v>
      </c>
      <c r="O51" s="284">
        <v>75</v>
      </c>
      <c r="P51" s="284">
        <v>33</v>
      </c>
      <c r="Q51" s="284">
        <v>8</v>
      </c>
      <c r="R51" s="284">
        <v>1</v>
      </c>
      <c r="S51" s="284">
        <v>1</v>
      </c>
      <c r="T51" s="284">
        <v>0</v>
      </c>
      <c r="U51" s="284">
        <v>0</v>
      </c>
      <c r="V51" s="284">
        <v>0</v>
      </c>
      <c r="W51" s="284">
        <v>0</v>
      </c>
      <c r="X51" s="284">
        <v>3</v>
      </c>
      <c r="Y51" s="284">
        <v>0</v>
      </c>
      <c r="Z51" s="284">
        <v>47</v>
      </c>
      <c r="AA51" s="284">
        <v>14</v>
      </c>
      <c r="AB51" s="284">
        <v>0</v>
      </c>
      <c r="AC51" s="284">
        <v>3</v>
      </c>
      <c r="AD51" s="284">
        <v>0</v>
      </c>
      <c r="AE51" s="284">
        <v>0</v>
      </c>
      <c r="AF51" s="284">
        <v>0</v>
      </c>
      <c r="AG51" s="284">
        <v>0</v>
      </c>
      <c r="AH51" s="284">
        <v>0</v>
      </c>
      <c r="AI51" s="284">
        <v>0</v>
      </c>
      <c r="AJ51" s="284">
        <v>0</v>
      </c>
      <c r="AK51" s="284">
        <v>0</v>
      </c>
      <c r="AL51" s="284">
        <v>0</v>
      </c>
      <c r="AM51" s="284">
        <v>80</v>
      </c>
      <c r="AN51" s="284">
        <v>55</v>
      </c>
      <c r="AO51" s="284">
        <v>29</v>
      </c>
      <c r="AP51" s="284">
        <v>11</v>
      </c>
      <c r="AQ51" s="284">
        <v>0</v>
      </c>
      <c r="AR51" s="284">
        <v>0</v>
      </c>
      <c r="AS51" s="284">
        <v>0</v>
      </c>
      <c r="AT51" s="284">
        <v>0</v>
      </c>
      <c r="AU51" s="284">
        <v>1</v>
      </c>
      <c r="AV51" s="284">
        <v>0</v>
      </c>
      <c r="AW51" s="284">
        <v>17</v>
      </c>
      <c r="AX51" s="284">
        <v>30</v>
      </c>
      <c r="AY51" s="284">
        <v>34</v>
      </c>
    </row>
    <row r="52" spans="1:51" ht="12.75" hidden="1" customHeight="1" x14ac:dyDescent="0.25">
      <c r="A52" s="59">
        <v>264</v>
      </c>
      <c r="B52" s="288" t="s">
        <v>3612</v>
      </c>
      <c r="C52" s="59" t="s">
        <v>497</v>
      </c>
      <c r="D52" s="284">
        <v>0</v>
      </c>
      <c r="E52" s="284">
        <v>0</v>
      </c>
      <c r="F52" s="284">
        <v>0</v>
      </c>
      <c r="G52" s="284">
        <v>0</v>
      </c>
      <c r="H52" s="284"/>
      <c r="I52" s="284"/>
      <c r="J52" s="284"/>
      <c r="K52" s="284"/>
      <c r="L52" s="284"/>
      <c r="M52" s="284"/>
      <c r="N52" s="284"/>
      <c r="O52" s="284"/>
      <c r="P52" s="284"/>
      <c r="Q52" s="284"/>
      <c r="R52" s="284"/>
      <c r="S52" s="284"/>
      <c r="T52" s="284">
        <v>0</v>
      </c>
      <c r="U52" s="284">
        <v>0</v>
      </c>
      <c r="V52" s="284">
        <v>0</v>
      </c>
      <c r="W52" s="284"/>
      <c r="X52" s="284"/>
      <c r="Y52" s="284"/>
      <c r="Z52" s="284"/>
      <c r="AA52" s="284"/>
      <c r="AB52" s="284">
        <v>0</v>
      </c>
      <c r="AC52" s="284">
        <v>0</v>
      </c>
      <c r="AD52" s="284">
        <v>0</v>
      </c>
      <c r="AE52" s="284">
        <v>0</v>
      </c>
      <c r="AF52" s="284">
        <v>0</v>
      </c>
      <c r="AG52" s="284">
        <v>0</v>
      </c>
      <c r="AH52" s="284">
        <v>0</v>
      </c>
      <c r="AI52" s="284">
        <v>0</v>
      </c>
      <c r="AJ52" s="284">
        <v>0</v>
      </c>
      <c r="AK52" s="284">
        <v>0</v>
      </c>
      <c r="AL52" s="284">
        <v>0</v>
      </c>
      <c r="AM52" s="284">
        <v>0</v>
      </c>
      <c r="AN52" s="284">
        <v>0</v>
      </c>
      <c r="AO52" s="284">
        <v>0</v>
      </c>
      <c r="AP52" s="284">
        <v>0</v>
      </c>
      <c r="AQ52" s="284">
        <v>0</v>
      </c>
      <c r="AR52" s="284">
        <v>0</v>
      </c>
      <c r="AS52" s="284">
        <v>0</v>
      </c>
      <c r="AT52" s="284">
        <v>0</v>
      </c>
      <c r="AU52" s="284">
        <v>0</v>
      </c>
      <c r="AV52" s="284">
        <v>0</v>
      </c>
      <c r="AW52" s="284">
        <v>0</v>
      </c>
      <c r="AX52" s="284">
        <v>0</v>
      </c>
      <c r="AY52" s="284">
        <v>0</v>
      </c>
    </row>
    <row r="53" spans="1:51" ht="12.75" hidden="1" customHeight="1" x14ac:dyDescent="0.25">
      <c r="A53" s="59">
        <v>127</v>
      </c>
      <c r="B53" s="39" t="s">
        <v>3575</v>
      </c>
      <c r="C53" s="347" t="s">
        <v>3576</v>
      </c>
      <c r="D53" s="284">
        <v>0</v>
      </c>
      <c r="E53" s="284">
        <v>0</v>
      </c>
      <c r="F53" s="284">
        <v>0</v>
      </c>
      <c r="G53" s="284">
        <v>0</v>
      </c>
      <c r="H53" s="284">
        <v>0</v>
      </c>
      <c r="I53" s="284">
        <v>0</v>
      </c>
      <c r="J53" s="284">
        <v>0</v>
      </c>
      <c r="K53" s="284">
        <v>0</v>
      </c>
      <c r="L53" s="284">
        <v>0</v>
      </c>
      <c r="M53" s="284">
        <v>0</v>
      </c>
      <c r="N53" s="284">
        <v>0</v>
      </c>
      <c r="O53" s="284">
        <v>0</v>
      </c>
      <c r="P53" s="284">
        <v>0</v>
      </c>
      <c r="Q53" s="284">
        <v>0</v>
      </c>
      <c r="R53" s="284">
        <v>0</v>
      </c>
      <c r="S53" s="284">
        <v>0</v>
      </c>
      <c r="T53" s="284">
        <v>0</v>
      </c>
      <c r="U53" s="284">
        <v>0</v>
      </c>
      <c r="V53" s="284">
        <v>0</v>
      </c>
      <c r="W53" s="284">
        <v>0</v>
      </c>
      <c r="X53" s="284">
        <v>0</v>
      </c>
      <c r="Y53" s="284">
        <v>0</v>
      </c>
      <c r="Z53" s="284">
        <v>0</v>
      </c>
      <c r="AA53" s="284">
        <v>0</v>
      </c>
      <c r="AB53" s="284">
        <v>0</v>
      </c>
      <c r="AC53" s="284">
        <v>0</v>
      </c>
      <c r="AD53" s="284">
        <v>0</v>
      </c>
      <c r="AE53" s="284">
        <v>0</v>
      </c>
      <c r="AF53" s="284">
        <v>0</v>
      </c>
      <c r="AG53" s="284">
        <v>0</v>
      </c>
      <c r="AH53" s="284">
        <v>0</v>
      </c>
      <c r="AI53" s="284">
        <v>0</v>
      </c>
      <c r="AJ53" s="284">
        <v>0</v>
      </c>
      <c r="AK53" s="284">
        <v>0</v>
      </c>
      <c r="AL53" s="284">
        <v>0</v>
      </c>
      <c r="AM53" s="284">
        <v>0</v>
      </c>
      <c r="AN53" s="284">
        <v>0</v>
      </c>
      <c r="AO53" s="284">
        <v>0</v>
      </c>
      <c r="AP53" s="284">
        <v>0</v>
      </c>
      <c r="AQ53" s="284">
        <v>0</v>
      </c>
      <c r="AR53" s="284">
        <v>0</v>
      </c>
      <c r="AS53" s="284">
        <v>0</v>
      </c>
      <c r="AT53" s="284">
        <v>0</v>
      </c>
      <c r="AU53" s="284">
        <v>0</v>
      </c>
      <c r="AV53" s="284">
        <v>0</v>
      </c>
      <c r="AW53" s="284">
        <v>0</v>
      </c>
      <c r="AX53" s="284">
        <v>0</v>
      </c>
      <c r="AY53" s="284">
        <v>0</v>
      </c>
    </row>
    <row r="54" spans="1:51" ht="12.75" hidden="1" customHeight="1" x14ac:dyDescent="0.25">
      <c r="A54" s="59">
        <v>289</v>
      </c>
      <c r="B54" s="221" t="s">
        <v>3199</v>
      </c>
      <c r="C54" s="59" t="s">
        <v>524</v>
      </c>
      <c r="D54" s="284">
        <v>17423</v>
      </c>
      <c r="E54" s="284">
        <v>7422</v>
      </c>
      <c r="F54" s="284">
        <v>8822</v>
      </c>
      <c r="G54" s="284">
        <v>8869</v>
      </c>
      <c r="H54" s="284">
        <v>10252</v>
      </c>
      <c r="I54" s="284">
        <v>9898</v>
      </c>
      <c r="J54" s="284">
        <v>8791</v>
      </c>
      <c r="K54" s="284">
        <v>9546</v>
      </c>
      <c r="L54" s="284">
        <v>12546</v>
      </c>
      <c r="M54" s="284">
        <v>0</v>
      </c>
      <c r="N54" s="284">
        <v>20005</v>
      </c>
      <c r="O54" s="284">
        <v>10467</v>
      </c>
      <c r="P54" s="284">
        <v>9891</v>
      </c>
      <c r="Q54" s="284">
        <v>10895</v>
      </c>
      <c r="R54" s="284">
        <v>9576</v>
      </c>
      <c r="S54" s="284">
        <v>9518</v>
      </c>
      <c r="T54" s="284">
        <v>10997</v>
      </c>
      <c r="U54" s="284">
        <v>12012</v>
      </c>
      <c r="V54" s="284">
        <v>10387</v>
      </c>
      <c r="W54" s="284">
        <v>12273</v>
      </c>
      <c r="X54" s="284">
        <v>13812</v>
      </c>
      <c r="Y54" s="284">
        <v>0</v>
      </c>
      <c r="Z54" s="284">
        <v>19809</v>
      </c>
      <c r="AA54" s="284">
        <v>9800</v>
      </c>
      <c r="AB54" s="284">
        <v>0</v>
      </c>
      <c r="AC54" s="284">
        <v>15037</v>
      </c>
      <c r="AD54" s="284">
        <v>0</v>
      </c>
      <c r="AE54" s="284">
        <v>4790</v>
      </c>
      <c r="AF54" s="284">
        <v>2776</v>
      </c>
      <c r="AG54" s="284">
        <v>2546</v>
      </c>
      <c r="AH54" s="284">
        <v>4262</v>
      </c>
      <c r="AI54" s="284">
        <v>9825</v>
      </c>
      <c r="AJ54" s="284">
        <v>12730</v>
      </c>
      <c r="AK54" s="284">
        <v>0</v>
      </c>
      <c r="AL54" s="284">
        <v>0</v>
      </c>
      <c r="AM54" s="284">
        <v>27780</v>
      </c>
      <c r="AN54" s="284">
        <v>13252</v>
      </c>
      <c r="AO54" s="284">
        <v>9608</v>
      </c>
      <c r="AP54" s="284">
        <v>7669</v>
      </c>
      <c r="AQ54" s="284">
        <v>5806</v>
      </c>
      <c r="AR54" s="284">
        <v>5914</v>
      </c>
      <c r="AS54" s="284">
        <v>7093</v>
      </c>
      <c r="AT54" s="284">
        <v>7143</v>
      </c>
      <c r="AU54" s="284">
        <v>6868</v>
      </c>
      <c r="AV54" s="284">
        <v>9162</v>
      </c>
      <c r="AW54" s="284">
        <v>8500</v>
      </c>
      <c r="AX54" s="284">
        <v>9780</v>
      </c>
      <c r="AY54" s="284">
        <v>9447</v>
      </c>
    </row>
    <row r="55" spans="1:51" ht="12.75" hidden="1" customHeight="1" x14ac:dyDescent="0.25">
      <c r="A55" s="59">
        <v>171</v>
      </c>
      <c r="B55" s="39" t="s">
        <v>3590</v>
      </c>
      <c r="C55" s="59" t="s">
        <v>375</v>
      </c>
      <c r="D55" s="284">
        <v>65</v>
      </c>
      <c r="E55" s="284">
        <v>19</v>
      </c>
      <c r="F55" s="284">
        <v>18</v>
      </c>
      <c r="G55" s="284">
        <v>15</v>
      </c>
      <c r="H55" s="284">
        <v>10</v>
      </c>
      <c r="I55" s="284">
        <v>0</v>
      </c>
      <c r="J55" s="284">
        <v>0</v>
      </c>
      <c r="K55" s="284">
        <v>0</v>
      </c>
      <c r="L55" s="284">
        <v>0</v>
      </c>
      <c r="M55" s="284">
        <v>0</v>
      </c>
      <c r="N55" s="284">
        <v>83</v>
      </c>
      <c r="O55" s="284">
        <v>46</v>
      </c>
      <c r="P55" s="284">
        <v>30</v>
      </c>
      <c r="Q55" s="284">
        <v>0</v>
      </c>
      <c r="R55" s="284">
        <v>0</v>
      </c>
      <c r="S55" s="284">
        <v>0</v>
      </c>
      <c r="T55" s="284">
        <v>11</v>
      </c>
      <c r="U55" s="284">
        <v>6</v>
      </c>
      <c r="V55" s="284">
        <v>9</v>
      </c>
      <c r="W55" s="284">
        <v>9</v>
      </c>
      <c r="X55" s="284">
        <v>16</v>
      </c>
      <c r="Y55" s="284">
        <v>0</v>
      </c>
      <c r="Z55" s="284">
        <v>88</v>
      </c>
      <c r="AA55" s="284">
        <v>33</v>
      </c>
      <c r="AB55" s="284">
        <v>0</v>
      </c>
      <c r="AC55" s="284">
        <v>60</v>
      </c>
      <c r="AD55" s="284">
        <v>0</v>
      </c>
      <c r="AE55" s="284">
        <v>19</v>
      </c>
      <c r="AF55" s="284">
        <v>10</v>
      </c>
      <c r="AG55" s="284">
        <v>9</v>
      </c>
      <c r="AH55" s="284">
        <v>8</v>
      </c>
      <c r="AI55" s="284">
        <v>10</v>
      </c>
      <c r="AJ55" s="284">
        <v>24</v>
      </c>
      <c r="AK55" s="284">
        <v>0</v>
      </c>
      <c r="AL55" s="284">
        <v>0</v>
      </c>
      <c r="AM55" s="284">
        <v>79</v>
      </c>
      <c r="AN55" s="284">
        <v>28</v>
      </c>
      <c r="AO55" s="284">
        <v>19</v>
      </c>
      <c r="AP55" s="284">
        <v>17</v>
      </c>
      <c r="AQ55" s="284">
        <v>9</v>
      </c>
      <c r="AR55" s="284">
        <v>10</v>
      </c>
      <c r="AS55" s="284">
        <v>8</v>
      </c>
      <c r="AT55" s="284">
        <v>10</v>
      </c>
      <c r="AU55" s="284">
        <v>10</v>
      </c>
      <c r="AV55" s="284">
        <v>20</v>
      </c>
      <c r="AW55" s="284">
        <v>38</v>
      </c>
      <c r="AX55" s="284">
        <v>49</v>
      </c>
      <c r="AY55" s="284">
        <v>26</v>
      </c>
    </row>
    <row r="56" spans="1:51" ht="12.75" hidden="1" customHeight="1" x14ac:dyDescent="0.25">
      <c r="A56" s="59">
        <v>171.1</v>
      </c>
      <c r="B56" s="39" t="s">
        <v>377</v>
      </c>
      <c r="C56" s="59" t="s">
        <v>375</v>
      </c>
      <c r="D56" s="284">
        <v>45</v>
      </c>
      <c r="E56" s="284">
        <v>11</v>
      </c>
      <c r="F56" s="284">
        <v>6</v>
      </c>
      <c r="G56" s="284">
        <v>6</v>
      </c>
      <c r="H56" s="284">
        <v>5</v>
      </c>
      <c r="I56" s="284">
        <v>0</v>
      </c>
      <c r="J56" s="284">
        <v>0</v>
      </c>
      <c r="K56" s="284">
        <v>0</v>
      </c>
      <c r="L56" s="284">
        <v>0</v>
      </c>
      <c r="M56" s="284">
        <v>0</v>
      </c>
      <c r="N56" s="284">
        <v>34</v>
      </c>
      <c r="O56" s="284">
        <v>22</v>
      </c>
      <c r="P56" s="284">
        <v>18</v>
      </c>
      <c r="Q56" s="284">
        <v>0</v>
      </c>
      <c r="R56" s="284">
        <v>0</v>
      </c>
      <c r="S56" s="284">
        <v>0</v>
      </c>
      <c r="T56" s="284">
        <v>0</v>
      </c>
      <c r="U56" s="284">
        <v>31</v>
      </c>
      <c r="V56" s="284">
        <v>5</v>
      </c>
      <c r="W56" s="284">
        <v>2</v>
      </c>
      <c r="X56" s="284">
        <v>0</v>
      </c>
      <c r="Y56" s="284">
        <v>0</v>
      </c>
      <c r="Z56" s="284">
        <v>69</v>
      </c>
      <c r="AA56" s="284">
        <v>14</v>
      </c>
      <c r="AB56" s="284">
        <v>0</v>
      </c>
      <c r="AC56" s="284">
        <v>7</v>
      </c>
      <c r="AD56" s="284">
        <v>0</v>
      </c>
      <c r="AE56" s="284">
        <v>22</v>
      </c>
      <c r="AF56" s="284">
        <v>3</v>
      </c>
      <c r="AG56" s="284">
        <v>3</v>
      </c>
      <c r="AH56" s="284">
        <v>3</v>
      </c>
      <c r="AI56" s="284">
        <v>3</v>
      </c>
      <c r="AJ56" s="284">
        <v>4</v>
      </c>
      <c r="AK56" s="284">
        <v>0</v>
      </c>
      <c r="AL56" s="284">
        <v>0</v>
      </c>
      <c r="AM56" s="284">
        <v>74</v>
      </c>
      <c r="AN56" s="284">
        <v>6</v>
      </c>
      <c r="AO56" s="284">
        <v>0</v>
      </c>
      <c r="AP56" s="284">
        <v>0</v>
      </c>
      <c r="AQ56" s="284">
        <v>9</v>
      </c>
      <c r="AR56" s="284">
        <v>2</v>
      </c>
      <c r="AS56" s="284">
        <v>3</v>
      </c>
      <c r="AT56" s="284">
        <v>3</v>
      </c>
      <c r="AU56" s="284">
        <v>3</v>
      </c>
      <c r="AV56" s="284">
        <v>5</v>
      </c>
      <c r="AW56" s="284">
        <v>25</v>
      </c>
      <c r="AX56" s="284">
        <v>35</v>
      </c>
      <c r="AY56" s="284">
        <v>4</v>
      </c>
    </row>
    <row r="57" spans="1:51" ht="12.75" hidden="1" customHeight="1" x14ac:dyDescent="0.25">
      <c r="A57" s="59">
        <v>19</v>
      </c>
      <c r="B57" s="39" t="s">
        <v>65</v>
      </c>
      <c r="C57" s="59" t="s">
        <v>66</v>
      </c>
      <c r="D57" s="284">
        <v>4739.1350928888696</v>
      </c>
      <c r="E57" s="284">
        <v>6323.4466338717166</v>
      </c>
      <c r="F57" s="284">
        <v>6303.6061980880067</v>
      </c>
      <c r="G57" s="284">
        <v>4426.8376625130668</v>
      </c>
      <c r="H57" s="284">
        <v>4847.6733672577157</v>
      </c>
      <c r="I57" s="284">
        <v>3693.8463602982642</v>
      </c>
      <c r="J57" s="284">
        <v>3139.9911012300759</v>
      </c>
      <c r="K57" s="284">
        <v>3288.2129244912335</v>
      </c>
      <c r="L57" s="284">
        <v>4288.5367052719084</v>
      </c>
      <c r="M57" s="284">
        <v>5285.8433808171503</v>
      </c>
      <c r="N57" s="284">
        <v>6443.0749232733087</v>
      </c>
      <c r="O57" s="284">
        <v>6422.0028414729086</v>
      </c>
      <c r="P57" s="284">
        <v>8033.5085913345611</v>
      </c>
      <c r="Q57" s="284">
        <v>8416.4029752809911</v>
      </c>
      <c r="R57" s="284">
        <v>7220.4874859054444</v>
      </c>
      <c r="S57" s="284">
        <v>6673.721109045563</v>
      </c>
      <c r="T57" s="284">
        <v>7091.9471470954768</v>
      </c>
      <c r="U57" s="284">
        <v>5225.376022079211</v>
      </c>
      <c r="V57" s="284">
        <v>4577.7686788306164</v>
      </c>
      <c r="W57" s="284">
        <v>4504.1435429039348</v>
      </c>
      <c r="X57" s="284">
        <v>4413.9125846054822</v>
      </c>
      <c r="Y57" s="284">
        <v>5651.9963597342348</v>
      </c>
      <c r="Z57" s="284">
        <v>7293.3555295120268</v>
      </c>
      <c r="AA57" s="284">
        <v>8977.7815641785437</v>
      </c>
      <c r="AB57" s="284">
        <v>9504.8093354375669</v>
      </c>
      <c r="AC57" s="284">
        <v>8439.4198503978223</v>
      </c>
      <c r="AD57" s="284">
        <v>8127.3756935459187</v>
      </c>
      <c r="AE57" s="284">
        <v>6543.484736327835</v>
      </c>
      <c r="AF57" s="284">
        <v>5752.1358377823572</v>
      </c>
      <c r="AG57" s="284">
        <v>5134.3895818269311</v>
      </c>
      <c r="AH57" s="284">
        <v>4907.240536180072</v>
      </c>
      <c r="AI57" s="284">
        <v>4667.2181479105866</v>
      </c>
      <c r="AJ57" s="284">
        <v>4654.1289212268202</v>
      </c>
      <c r="AK57" s="284">
        <v>4987.7312758368598</v>
      </c>
      <c r="AL57" s="284">
        <v>6446.0590789570742</v>
      </c>
      <c r="AM57" s="284">
        <v>7408.0461515529041</v>
      </c>
      <c r="AN57" s="284">
        <v>7876.7522157255935</v>
      </c>
      <c r="AO57" s="284">
        <v>6795.3538285306286</v>
      </c>
      <c r="AP57" s="284">
        <v>6789.7964970266403</v>
      </c>
      <c r="AQ57" s="284">
        <v>5461.5704355962898</v>
      </c>
      <c r="AR57" s="284">
        <v>5329.4377610528927</v>
      </c>
      <c r="AS57" s="284">
        <v>4553.5713531918018</v>
      </c>
      <c r="AT57" s="284">
        <v>4255.1348120645453</v>
      </c>
      <c r="AU57" s="284">
        <v>4322.8674017077456</v>
      </c>
      <c r="AV57" s="284">
        <v>4683.0779330838941</v>
      </c>
      <c r="AW57" s="284">
        <v>5517.2203147035862</v>
      </c>
      <c r="AX57" s="284">
        <v>6072.9678502088345</v>
      </c>
      <c r="AY57" s="284">
        <v>7923.9173140792927</v>
      </c>
    </row>
    <row r="58" spans="1:51" ht="12.75" hidden="1" customHeight="1" x14ac:dyDescent="0.25">
      <c r="A58" s="59">
        <v>169</v>
      </c>
      <c r="B58" s="39" t="s">
        <v>371</v>
      </c>
      <c r="C58" s="59" t="s">
        <v>372</v>
      </c>
      <c r="D58" s="284">
        <v>1764.5606349780085</v>
      </c>
      <c r="E58" s="284">
        <v>1906.6944868265798</v>
      </c>
      <c r="F58" s="284">
        <v>1991.1641065348356</v>
      </c>
      <c r="G58" s="284">
        <v>1630.4658418431302</v>
      </c>
      <c r="H58" s="284">
        <v>1752.4738971936936</v>
      </c>
      <c r="I58" s="284">
        <v>1370.1470633096558</v>
      </c>
      <c r="J58" s="284">
        <v>1130.7875468775474</v>
      </c>
      <c r="K58" s="284">
        <v>1156.9338082974743</v>
      </c>
      <c r="L58" s="284">
        <v>1527.1584521614566</v>
      </c>
      <c r="M58" s="284">
        <v>1968.120969255461</v>
      </c>
      <c r="N58" s="284">
        <v>2141.7167436906907</v>
      </c>
      <c r="O58" s="284">
        <v>2267.5401883124377</v>
      </c>
      <c r="P58" s="284">
        <v>2886.1821099986828</v>
      </c>
      <c r="Q58" s="284">
        <v>3027.631269438547</v>
      </c>
      <c r="R58" s="284">
        <v>2607.2930022812957</v>
      </c>
      <c r="S58" s="284">
        <v>2395.1472625977854</v>
      </c>
      <c r="T58" s="284">
        <v>2569.4856637660359</v>
      </c>
      <c r="U58" s="284">
        <v>1930.3408040027721</v>
      </c>
      <c r="V58" s="284">
        <v>1689.2119054968273</v>
      </c>
      <c r="W58" s="284">
        <v>1656.2133892991239</v>
      </c>
      <c r="X58" s="284">
        <v>1613.6808494245552</v>
      </c>
      <c r="Y58" s="284">
        <v>2104.4536798267427</v>
      </c>
      <c r="Z58" s="284">
        <v>2687.6689030800417</v>
      </c>
      <c r="AA58" s="284">
        <v>3329.7384451088387</v>
      </c>
      <c r="AB58" s="284">
        <v>3539.0028069575228</v>
      </c>
      <c r="AC58" s="284">
        <v>3085.7222988832514</v>
      </c>
      <c r="AD58" s="284">
        <v>3026.1317589421396</v>
      </c>
      <c r="AE58" s="284">
        <v>2413.3038197404903</v>
      </c>
      <c r="AF58" s="284">
        <v>2128.7075904019453</v>
      </c>
      <c r="AG58" s="284">
        <v>1900.5588034826824</v>
      </c>
      <c r="AH58" s="284">
        <v>1815.9825556304734</v>
      </c>
      <c r="AI58" s="284">
        <v>1725.8683953980481</v>
      </c>
      <c r="AJ58" s="284">
        <v>1721.3671155030079</v>
      </c>
      <c r="AK58" s="284">
        <v>1857.1224695401911</v>
      </c>
      <c r="AL58" s="284">
        <v>2400.1134971944075</v>
      </c>
      <c r="AM58" s="284">
        <v>2735.5853269196796</v>
      </c>
      <c r="AN58" s="284">
        <v>2859.8368143643274</v>
      </c>
      <c r="AO58" s="284">
        <v>2483.9993199389937</v>
      </c>
      <c r="AP58" s="284">
        <v>2517.3022346738517</v>
      </c>
      <c r="AQ58" s="284">
        <v>2022.0083682584514</v>
      </c>
      <c r="AR58" s="284">
        <v>1973.9273514225702</v>
      </c>
      <c r="AS58" s="284">
        <v>1695.0958435063105</v>
      </c>
      <c r="AT58" s="284">
        <v>1584.3488819637475</v>
      </c>
      <c r="AU58" s="284">
        <v>1609.5683068264927</v>
      </c>
      <c r="AV58" s="284">
        <v>1743.6884176721637</v>
      </c>
      <c r="AW58" s="284">
        <v>2054.271421052149</v>
      </c>
      <c r="AX58" s="284">
        <v>2261.1974117482323</v>
      </c>
      <c r="AY58" s="284">
        <v>2950.3764491173724</v>
      </c>
    </row>
    <row r="59" spans="1:51" ht="12.75" hidden="1" customHeight="1" x14ac:dyDescent="0.25">
      <c r="A59" s="59">
        <v>38</v>
      </c>
      <c r="B59" s="39" t="s">
        <v>101</v>
      </c>
      <c r="C59" s="59" t="s">
        <v>102</v>
      </c>
      <c r="D59" s="284">
        <v>1408.5579696637428</v>
      </c>
      <c r="E59" s="284">
        <v>1491.1989240208329</v>
      </c>
      <c r="F59" s="284">
        <v>1559.3708504453032</v>
      </c>
      <c r="G59" s="284">
        <v>1283.2021274625777</v>
      </c>
      <c r="H59" s="284">
        <v>1344.8667720615254</v>
      </c>
      <c r="I59" s="284">
        <v>1050.6833306721799</v>
      </c>
      <c r="J59" s="284">
        <v>867.13292160479045</v>
      </c>
      <c r="K59" s="284">
        <v>888.18291606812602</v>
      </c>
      <c r="L59" s="284">
        <v>1171.0859162120005</v>
      </c>
      <c r="M59" s="284">
        <v>1509.2335344996059</v>
      </c>
      <c r="N59" s="284">
        <v>1643.3536873346175</v>
      </c>
      <c r="O59" s="284">
        <v>1739.8401152604542</v>
      </c>
      <c r="P59" s="284">
        <v>2213.239376607366</v>
      </c>
      <c r="Q59" s="284">
        <v>2322.7082249089945</v>
      </c>
      <c r="R59" s="284">
        <v>1999.3761027797505</v>
      </c>
      <c r="S59" s="284">
        <v>1836.6943014407295</v>
      </c>
      <c r="T59" s="284">
        <v>1971.3839300277905</v>
      </c>
      <c r="U59" s="284">
        <v>1480.2621992874897</v>
      </c>
      <c r="V59" s="284">
        <v>1296.3549575848649</v>
      </c>
      <c r="W59" s="284">
        <v>1270.0503812847899</v>
      </c>
      <c r="X59" s="284">
        <v>1238.4347359617159</v>
      </c>
      <c r="Y59" s="284">
        <v>1613.778886059599</v>
      </c>
      <c r="Z59" s="284">
        <v>2062.01154427244</v>
      </c>
      <c r="AA59" s="284">
        <v>2553.376037841781</v>
      </c>
      <c r="AB59" s="284">
        <v>2713.8482839137141</v>
      </c>
      <c r="AC59" s="284">
        <v>2367.2547396106388</v>
      </c>
      <c r="AD59" s="284">
        <v>2320.558340546263</v>
      </c>
      <c r="AE59" s="284">
        <v>1851.6174724951977</v>
      </c>
      <c r="AF59" s="284">
        <v>1632.377750537273</v>
      </c>
      <c r="AG59" s="284">
        <v>1458.4241752983403</v>
      </c>
      <c r="AH59" s="284">
        <v>1392.5677404172097</v>
      </c>
      <c r="AI59" s="284">
        <v>1323.4646137900406</v>
      </c>
      <c r="AJ59" s="284">
        <v>1321.0128531148148</v>
      </c>
      <c r="AK59" s="284">
        <v>1424.1154646927462</v>
      </c>
      <c r="AL59" s="284">
        <v>1840.5026078967348</v>
      </c>
      <c r="AM59" s="284">
        <v>2099.7557662190393</v>
      </c>
      <c r="AN59" s="284">
        <v>2193.0367547823894</v>
      </c>
      <c r="AO59" s="284">
        <v>1905.8295973109643</v>
      </c>
      <c r="AP59" s="284">
        <v>1930.3675985312054</v>
      </c>
      <c r="AQ59" s="284">
        <v>1551.5565379799461</v>
      </c>
      <c r="AR59" s="284">
        <v>1513.6860995693416</v>
      </c>
      <c r="AS59" s="284">
        <v>1299.8669955629919</v>
      </c>
      <c r="AT59" s="284">
        <v>1215.9418152438145</v>
      </c>
      <c r="AU59" s="284">
        <v>1234.2810745262595</v>
      </c>
      <c r="AV59" s="284">
        <v>1337.1297165056524</v>
      </c>
      <c r="AW59" s="284">
        <v>1575.297131653921</v>
      </c>
      <c r="AX59" s="284">
        <v>1733.9762216065194</v>
      </c>
      <c r="AY59" s="284">
        <v>2262.4661522153806</v>
      </c>
    </row>
    <row r="60" spans="1:51" ht="12.75" hidden="1" customHeight="1" x14ac:dyDescent="0.25">
      <c r="A60" s="59">
        <v>72</v>
      </c>
      <c r="B60" s="39" t="s">
        <v>170</v>
      </c>
      <c r="C60" s="59" t="s">
        <v>171</v>
      </c>
      <c r="D60" s="284">
        <v>368.19536574118086</v>
      </c>
      <c r="E60" s="284">
        <v>424.92939146089611</v>
      </c>
      <c r="F60" s="284">
        <v>415.47872140162661</v>
      </c>
      <c r="G60" s="284">
        <v>403.94228008960999</v>
      </c>
      <c r="H60" s="284">
        <v>365.67333235173658</v>
      </c>
      <c r="I60" s="284">
        <v>285.89655073019975</v>
      </c>
      <c r="J60" s="284">
        <v>235.95150324961222</v>
      </c>
      <c r="K60" s="284">
        <v>241.40721392083799</v>
      </c>
      <c r="L60" s="284">
        <v>318.65873787064902</v>
      </c>
      <c r="M60" s="284">
        <v>410.67051238334648</v>
      </c>
      <c r="N60" s="284">
        <v>446.89321756689463</v>
      </c>
      <c r="O60" s="284">
        <v>473.14769037615395</v>
      </c>
      <c r="P60" s="284">
        <v>602.23426530189045</v>
      </c>
      <c r="Q60" s="284">
        <v>631.74921874773349</v>
      </c>
      <c r="R60" s="284">
        <v>544.04092528186072</v>
      </c>
      <c r="S60" s="284">
        <v>499.77433751783229</v>
      </c>
      <c r="T60" s="284">
        <v>536.15200009766011</v>
      </c>
      <c r="U60" s="284">
        <v>402.787257205125</v>
      </c>
      <c r="V60" s="284">
        <v>352.47300831150687</v>
      </c>
      <c r="W60" s="284">
        <v>345.58749783400435</v>
      </c>
      <c r="X60" s="284">
        <v>336.71260639383945</v>
      </c>
      <c r="Y60" s="284">
        <v>439.11786139263972</v>
      </c>
      <c r="Z60" s="284">
        <v>560.81225838583191</v>
      </c>
      <c r="AA60" s="284">
        <v>694.78726903289407</v>
      </c>
      <c r="AB60" s="284">
        <v>738.45262499751425</v>
      </c>
      <c r="AC60" s="284">
        <v>643.87056352257116</v>
      </c>
      <c r="AD60" s="284">
        <v>631.43632906589835</v>
      </c>
      <c r="AE60" s="284">
        <v>503.56290678841583</v>
      </c>
      <c r="AF60" s="284">
        <v>444.17871183771496</v>
      </c>
      <c r="AG60" s="284">
        <v>396.57290879644302</v>
      </c>
      <c r="AH60" s="284">
        <v>378.92512617357556</v>
      </c>
      <c r="AI60" s="284">
        <v>360.12179602581296</v>
      </c>
      <c r="AJ60" s="284">
        <v>359.18255349460998</v>
      </c>
      <c r="AK60" s="284">
        <v>387.50943058810651</v>
      </c>
      <c r="AL60" s="284">
        <v>500.81059806190979</v>
      </c>
      <c r="AM60" s="284">
        <v>570.81055759466847</v>
      </c>
      <c r="AN60" s="284">
        <v>596.73702390968867</v>
      </c>
      <c r="AO60" s="284">
        <v>518.3143157430693</v>
      </c>
      <c r="AP60" s="284">
        <v>525.26334238912796</v>
      </c>
      <c r="AQ60" s="284">
        <v>421.9147225235065</v>
      </c>
      <c r="AR60" s="284">
        <v>411.88207914012071</v>
      </c>
      <c r="AS60" s="284">
        <v>353.70075796456831</v>
      </c>
      <c r="AT60" s="284">
        <v>330.59216243002226</v>
      </c>
      <c r="AU60" s="284">
        <v>335.85447825927486</v>
      </c>
      <c r="AV60" s="284">
        <v>363.84014352188279</v>
      </c>
      <c r="AW60" s="284">
        <v>428.64677031366392</v>
      </c>
      <c r="AX60" s="284">
        <v>471.82419891285184</v>
      </c>
      <c r="AY60" s="284">
        <v>615.62913408780435</v>
      </c>
    </row>
    <row r="61" spans="1:51" ht="12.75" hidden="1" customHeight="1" x14ac:dyDescent="0.25">
      <c r="A61" s="59">
        <v>16</v>
      </c>
      <c r="B61" s="39" t="s">
        <v>56</v>
      </c>
      <c r="C61" s="59" t="s">
        <v>57</v>
      </c>
      <c r="D61" s="284">
        <v>9996.5978837442362</v>
      </c>
      <c r="E61" s="284">
        <v>9431.1005103168663</v>
      </c>
      <c r="F61" s="284">
        <v>9737.0271589165604</v>
      </c>
      <c r="G61" s="284">
        <v>7778.4885229797055</v>
      </c>
      <c r="H61" s="284">
        <v>7793.1296540840513</v>
      </c>
      <c r="I61" s="284">
        <v>6106.3289184970918</v>
      </c>
      <c r="J61" s="284">
        <v>5190.810819344214</v>
      </c>
      <c r="K61" s="284">
        <v>5677.2732261984202</v>
      </c>
      <c r="L61" s="284">
        <v>6973.4698540242625</v>
      </c>
      <c r="M61" s="284">
        <v>7802.6180304607906</v>
      </c>
      <c r="N61" s="284">
        <v>10794.630602252008</v>
      </c>
      <c r="O61" s="284">
        <v>10992.111964188398</v>
      </c>
      <c r="P61" s="284">
        <v>13334.613938113567</v>
      </c>
      <c r="Q61" s="284">
        <v>13415.966505751445</v>
      </c>
      <c r="R61" s="284">
        <v>11412.202090147537</v>
      </c>
      <c r="S61" s="284">
        <v>8783.7173500688041</v>
      </c>
      <c r="T61" s="284">
        <v>8698.0112882222111</v>
      </c>
      <c r="U61" s="284">
        <v>6746.6044346637655</v>
      </c>
      <c r="V61" s="284">
        <v>6108.8314562133492</v>
      </c>
      <c r="W61" s="284">
        <v>5369.7077150469177</v>
      </c>
      <c r="X61" s="284">
        <v>4174.0596953852846</v>
      </c>
      <c r="Y61" s="284">
        <v>5418.5093112689319</v>
      </c>
      <c r="Z61" s="284">
        <v>9132.8469974668005</v>
      </c>
      <c r="AA61" s="284">
        <v>12647.778214686034</v>
      </c>
      <c r="AB61" s="284">
        <v>11815.76205397792</v>
      </c>
      <c r="AC61" s="284">
        <v>10805.831209748265</v>
      </c>
      <c r="AD61" s="284">
        <v>10372.52111323409</v>
      </c>
      <c r="AE61" s="284">
        <v>7967.9850686559803</v>
      </c>
      <c r="AF61" s="284">
        <v>7159.0736353447746</v>
      </c>
      <c r="AG61" s="284">
        <v>6422.8204265304548</v>
      </c>
      <c r="AH61" s="284">
        <v>6241.5591084829794</v>
      </c>
      <c r="AI61" s="284">
        <v>5883.5314447627916</v>
      </c>
      <c r="AJ61" s="284">
        <v>6246.1197037473457</v>
      </c>
      <c r="AK61" s="284">
        <v>6950.0266381243109</v>
      </c>
      <c r="AL61" s="284">
        <v>9492.2169180270721</v>
      </c>
      <c r="AM61" s="284">
        <v>10099.02971772578</v>
      </c>
      <c r="AN61" s="284">
        <v>10154.325012774316</v>
      </c>
      <c r="AO61" s="284">
        <v>9294.9660137053779</v>
      </c>
      <c r="AP61" s="284">
        <v>10383.866593181312</v>
      </c>
      <c r="AQ61" s="284">
        <v>7716.0236770918345</v>
      </c>
      <c r="AR61" s="284">
        <v>8144.2235787147047</v>
      </c>
      <c r="AS61" s="284">
        <v>7022.5842031096763</v>
      </c>
      <c r="AT61" s="284">
        <v>5367.038357603471</v>
      </c>
      <c r="AU61" s="284">
        <v>5612.4884644553913</v>
      </c>
      <c r="AV61" s="284">
        <v>5729.1902151320792</v>
      </c>
      <c r="AW61" s="284">
        <v>7336.5695393308206</v>
      </c>
      <c r="AX61" s="284">
        <v>8778.6678225086034</v>
      </c>
      <c r="AY61" s="284">
        <v>9706.1927636099117</v>
      </c>
    </row>
    <row r="62" spans="1:51" ht="12.75" hidden="1" customHeight="1" x14ac:dyDescent="0.25">
      <c r="A62" s="59">
        <v>16.100000000000001</v>
      </c>
      <c r="B62" s="39" t="s">
        <v>3537</v>
      </c>
      <c r="C62" s="59" t="s">
        <v>60</v>
      </c>
      <c r="D62" s="284">
        <v>3441.0727502703871</v>
      </c>
      <c r="E62" s="284">
        <v>1950.7833696998289</v>
      </c>
      <c r="F62" s="284">
        <v>1476.1626587569492</v>
      </c>
      <c r="G62" s="284">
        <v>1485.2430699398283</v>
      </c>
      <c r="H62" s="284">
        <v>729</v>
      </c>
      <c r="I62" s="284">
        <v>1218</v>
      </c>
      <c r="J62" s="284">
        <v>1380</v>
      </c>
      <c r="K62" s="284">
        <v>1565</v>
      </c>
      <c r="L62" s="284">
        <v>1487</v>
      </c>
      <c r="M62" s="284">
        <v>0</v>
      </c>
      <c r="N62" s="284">
        <v>1738</v>
      </c>
      <c r="O62" s="284">
        <v>1553</v>
      </c>
      <c r="P62" s="284">
        <v>1421</v>
      </c>
      <c r="Q62" s="284">
        <v>1522</v>
      </c>
      <c r="R62" s="284">
        <v>1001</v>
      </c>
      <c r="S62" s="284">
        <v>874</v>
      </c>
      <c r="T62" s="284">
        <v>836</v>
      </c>
      <c r="U62" s="284">
        <v>1237</v>
      </c>
      <c r="V62" s="284">
        <v>1415</v>
      </c>
      <c r="W62" s="284">
        <v>1327</v>
      </c>
      <c r="X62" s="284">
        <v>1396</v>
      </c>
      <c r="Y62" s="284">
        <v>0</v>
      </c>
      <c r="Z62" s="284">
        <v>1602</v>
      </c>
      <c r="AA62" s="284">
        <v>1251</v>
      </c>
      <c r="AB62" s="284">
        <v>0</v>
      </c>
      <c r="AC62" s="284">
        <v>1061</v>
      </c>
      <c r="AD62" s="284">
        <v>0</v>
      </c>
      <c r="AE62" s="284">
        <v>156</v>
      </c>
      <c r="AF62" s="284">
        <v>412</v>
      </c>
      <c r="AG62" s="284">
        <v>744</v>
      </c>
      <c r="AH62" s="284">
        <v>758</v>
      </c>
      <c r="AI62" s="284">
        <v>929</v>
      </c>
      <c r="AJ62" s="284">
        <v>1050</v>
      </c>
      <c r="AK62" s="284">
        <v>0</v>
      </c>
      <c r="AL62" s="284">
        <v>0</v>
      </c>
      <c r="AM62" s="284">
        <v>1574</v>
      </c>
      <c r="AN62" s="284">
        <v>993</v>
      </c>
      <c r="AO62" s="284">
        <v>1001</v>
      </c>
      <c r="AP62" s="284">
        <v>779</v>
      </c>
      <c r="AQ62" s="284">
        <v>754</v>
      </c>
      <c r="AR62" s="284">
        <v>741</v>
      </c>
      <c r="AS62" s="284">
        <v>1137</v>
      </c>
      <c r="AT62" s="284">
        <v>1387</v>
      </c>
      <c r="AU62" s="284">
        <v>1315</v>
      </c>
      <c r="AV62" s="284">
        <v>1224</v>
      </c>
      <c r="AW62" s="284">
        <v>739</v>
      </c>
      <c r="AX62" s="284">
        <v>671</v>
      </c>
      <c r="AY62" s="284">
        <v>1224</v>
      </c>
    </row>
    <row r="63" spans="1:51" ht="12.75" hidden="1" customHeight="1" x14ac:dyDescent="0.25">
      <c r="A63" s="59">
        <v>252</v>
      </c>
      <c r="B63" s="39" t="s">
        <v>455</v>
      </c>
      <c r="C63" s="59" t="s">
        <v>456</v>
      </c>
      <c r="D63" s="284">
        <v>4163.5757412201847</v>
      </c>
      <c r="E63" s="284">
        <v>4439.6955580393806</v>
      </c>
      <c r="F63" s="284">
        <v>4638.7198670408752</v>
      </c>
      <c r="G63" s="284">
        <v>3813.3681510249835</v>
      </c>
      <c r="H63" s="284">
        <v>4045.5317000727455</v>
      </c>
      <c r="I63" s="284">
        <v>3166.7781814071113</v>
      </c>
      <c r="J63" s="284">
        <v>2615.9997422690376</v>
      </c>
      <c r="K63" s="284">
        <v>2675.1636215616659</v>
      </c>
      <c r="L63" s="284">
        <v>3527.0693845635342</v>
      </c>
      <c r="M63" s="284">
        <v>4528.7465969162768</v>
      </c>
      <c r="N63" s="284">
        <v>4946.1993160293705</v>
      </c>
      <c r="O63" s="284">
        <v>5226.7254709478784</v>
      </c>
      <c r="P63" s="284">
        <v>6649.252043405565</v>
      </c>
      <c r="Q63" s="284">
        <v>6974.733764019662</v>
      </c>
      <c r="R63" s="284">
        <v>6007.5140012719394</v>
      </c>
      <c r="S63" s="284">
        <v>5520.3558485718859</v>
      </c>
      <c r="T63" s="284">
        <v>5921.517389623511</v>
      </c>
      <c r="U63" s="284">
        <v>4449.8125123291002</v>
      </c>
      <c r="V63" s="284">
        <v>3894.9626349152768</v>
      </c>
      <c r="W63" s="284">
        <v>3820.0313683579325</v>
      </c>
      <c r="X63" s="284">
        <v>3722.1618277026</v>
      </c>
      <c r="Y63" s="284">
        <v>4842.4551080763549</v>
      </c>
      <c r="Z63" s="284">
        <v>6201.463042973427</v>
      </c>
      <c r="AA63" s="284">
        <v>7670.8977631301432</v>
      </c>
      <c r="AB63" s="284">
        <v>8143.4257186686691</v>
      </c>
      <c r="AC63" s="284">
        <v>7117.404181650847</v>
      </c>
      <c r="AD63" s="284">
        <v>6963.2833139895447</v>
      </c>
      <c r="AE63" s="284">
        <v>5569.1350113653434</v>
      </c>
      <c r="AF63" s="284">
        <v>4907.264591687981</v>
      </c>
      <c r="AG63" s="284">
        <v>4381.2826121798535</v>
      </c>
      <c r="AH63" s="284">
        <v>4186.6683579627779</v>
      </c>
      <c r="AI63" s="284">
        <v>3980.3110852840819</v>
      </c>
      <c r="AJ63" s="284">
        <v>3968.9534109719475</v>
      </c>
      <c r="AK63" s="284">
        <v>4273.3333953392885</v>
      </c>
      <c r="AL63" s="284">
        <v>5522.7834073349286</v>
      </c>
      <c r="AM63" s="284">
        <v>6311.7211748616564</v>
      </c>
      <c r="AN63" s="284">
        <v>6587.6301762476869</v>
      </c>
      <c r="AO63" s="284">
        <v>5723.8089582124139</v>
      </c>
      <c r="AP63" s="284">
        <v>5800.4406613083547</v>
      </c>
      <c r="AQ63" s="284">
        <v>4661.7442467882674</v>
      </c>
      <c r="AR63" s="284">
        <v>4551.107378032103</v>
      </c>
      <c r="AS63" s="284">
        <v>3908.5018759747295</v>
      </c>
      <c r="AT63" s="284">
        <v>3653.6674765452908</v>
      </c>
      <c r="AU63" s="284">
        <v>3712.698657711228</v>
      </c>
      <c r="AV63" s="284">
        <v>4021.31586420344</v>
      </c>
      <c r="AW63" s="284">
        <v>4735.9831745920101</v>
      </c>
      <c r="AX63" s="284">
        <v>5211.1304190029696</v>
      </c>
      <c r="AY63" s="284">
        <v>6796.9664874699629</v>
      </c>
    </row>
    <row r="64" spans="1:51" ht="12.75" hidden="1" customHeight="1" x14ac:dyDescent="0.25">
      <c r="A64" s="59">
        <v>142</v>
      </c>
      <c r="B64" s="39" t="s">
        <v>3583</v>
      </c>
      <c r="C64" s="59" t="s">
        <v>323</v>
      </c>
      <c r="D64" s="284">
        <v>2968.6501141262775</v>
      </c>
      <c r="E64" s="284">
        <v>3416.6111424228729</v>
      </c>
      <c r="F64" s="284">
        <v>3736.6026615458914</v>
      </c>
      <c r="G64" s="284">
        <v>3166.8565094519049</v>
      </c>
      <c r="H64" s="284">
        <v>3328.821447596215</v>
      </c>
      <c r="I64" s="284">
        <v>2487.9020729050949</v>
      </c>
      <c r="J64" s="284">
        <v>1880.0974966663596</v>
      </c>
      <c r="K64" s="284">
        <v>2050.9721995204955</v>
      </c>
      <c r="L64" s="284">
        <v>1781.1007804878486</v>
      </c>
      <c r="M64" s="284">
        <v>1925.2103121020268</v>
      </c>
      <c r="N64" s="284">
        <v>2370.6882552149464</v>
      </c>
      <c r="O64" s="284">
        <v>3594.9490640478898</v>
      </c>
      <c r="P64" s="284">
        <v>3526.2463591576197</v>
      </c>
      <c r="Q64" s="284">
        <v>2875.0782561517976</v>
      </c>
      <c r="R64" s="284">
        <v>2888.2273158187836</v>
      </c>
      <c r="S64" s="284">
        <v>2360.7758509293922</v>
      </c>
      <c r="T64" s="284">
        <v>2395.9457697600142</v>
      </c>
      <c r="U64" s="284">
        <v>1805.7730935317952</v>
      </c>
      <c r="V64" s="284">
        <v>1493.9090762294447</v>
      </c>
      <c r="W64" s="284">
        <v>1608.8218854737368</v>
      </c>
      <c r="X64" s="284">
        <v>1667.4354049732972</v>
      </c>
      <c r="Y64" s="284">
        <v>1950.9938332912752</v>
      </c>
      <c r="Z64" s="284">
        <v>2340.7777959600789</v>
      </c>
      <c r="AA64" s="284">
        <v>2754.565112874212</v>
      </c>
      <c r="AB64" s="284">
        <v>2561.0713804762195</v>
      </c>
      <c r="AC64" s="284">
        <v>2315.3699847336702</v>
      </c>
      <c r="AD64" s="284">
        <v>2417.9261645161705</v>
      </c>
      <c r="AE64" s="284">
        <v>1964.8781585123936</v>
      </c>
      <c r="AF64" s="284">
        <v>1704.620029188585</v>
      </c>
      <c r="AG64" s="284">
        <v>1531.0997305771477</v>
      </c>
      <c r="AH64" s="284">
        <v>1409.1623837669024</v>
      </c>
      <c r="AI64" s="284">
        <v>1226.2644298755299</v>
      </c>
      <c r="AJ64" s="284">
        <v>1174.3413827855522</v>
      </c>
      <c r="AK64" s="284">
        <v>1179.9013597310704</v>
      </c>
      <c r="AL64" s="284">
        <v>1528.6181460470618</v>
      </c>
      <c r="AM64" s="284">
        <v>1574.7923153402794</v>
      </c>
      <c r="AN64" s="284">
        <v>1531.9321380481206</v>
      </c>
      <c r="AO64" s="284">
        <v>1236.9549738566293</v>
      </c>
      <c r="AP64" s="284">
        <v>2391.7734801576562</v>
      </c>
      <c r="AQ64" s="284">
        <v>2068.4139545614726</v>
      </c>
      <c r="AR64" s="284">
        <v>2223.4036773112175</v>
      </c>
      <c r="AS64" s="284">
        <v>1741.1860512414089</v>
      </c>
      <c r="AT64" s="284">
        <v>1690.5491363133719</v>
      </c>
      <c r="AU64" s="284">
        <v>1801.1102123538408</v>
      </c>
      <c r="AV64" s="284">
        <v>2007.380967577561</v>
      </c>
      <c r="AW64" s="284">
        <v>2609.2746129174288</v>
      </c>
      <c r="AX64" s="284">
        <v>3016.7645102787596</v>
      </c>
      <c r="AY64" s="284">
        <v>4142.1754991405896</v>
      </c>
    </row>
    <row r="65" spans="1:51" ht="12.75" hidden="1" customHeight="1" x14ac:dyDescent="0.25">
      <c r="A65" s="59">
        <v>159</v>
      </c>
      <c r="B65" s="39" t="s">
        <v>351</v>
      </c>
      <c r="C65" s="347" t="s">
        <v>352</v>
      </c>
      <c r="D65" s="284">
        <v>0</v>
      </c>
      <c r="E65" s="284">
        <v>0</v>
      </c>
      <c r="F65" s="284">
        <v>0</v>
      </c>
      <c r="G65" s="284">
        <v>0</v>
      </c>
      <c r="H65" s="284">
        <v>0</v>
      </c>
      <c r="I65" s="284">
        <v>0</v>
      </c>
      <c r="J65" s="284">
        <v>0</v>
      </c>
      <c r="K65" s="284">
        <v>0</v>
      </c>
      <c r="L65" s="284">
        <v>0</v>
      </c>
      <c r="M65" s="284">
        <v>0</v>
      </c>
      <c r="N65" s="284">
        <v>0</v>
      </c>
      <c r="O65" s="284">
        <v>0</v>
      </c>
      <c r="P65" s="284">
        <v>0</v>
      </c>
      <c r="Q65" s="284">
        <v>0</v>
      </c>
      <c r="R65" s="284">
        <v>0</v>
      </c>
      <c r="S65" s="284">
        <v>0</v>
      </c>
      <c r="T65" s="284">
        <v>0</v>
      </c>
      <c r="U65" s="284">
        <v>0</v>
      </c>
      <c r="V65" s="284">
        <v>0</v>
      </c>
      <c r="W65" s="284">
        <v>0</v>
      </c>
      <c r="X65" s="284">
        <v>0</v>
      </c>
      <c r="Y65" s="284">
        <v>0</v>
      </c>
      <c r="Z65" s="284">
        <v>0</v>
      </c>
      <c r="AA65" s="284">
        <v>0</v>
      </c>
      <c r="AB65" s="284">
        <v>0</v>
      </c>
      <c r="AC65" s="284">
        <v>0</v>
      </c>
      <c r="AD65" s="284">
        <v>0</v>
      </c>
      <c r="AE65" s="284">
        <v>0</v>
      </c>
      <c r="AF65" s="284">
        <v>0</v>
      </c>
      <c r="AG65" s="284">
        <v>0</v>
      </c>
      <c r="AH65" s="284">
        <v>0</v>
      </c>
      <c r="AI65" s="284">
        <v>0</v>
      </c>
      <c r="AJ65" s="284">
        <v>0</v>
      </c>
      <c r="AK65" s="284">
        <v>0</v>
      </c>
      <c r="AL65" s="284">
        <v>0</v>
      </c>
      <c r="AM65" s="284">
        <v>0</v>
      </c>
      <c r="AN65" s="284">
        <v>0</v>
      </c>
      <c r="AO65" s="284">
        <v>0</v>
      </c>
      <c r="AP65" s="284">
        <v>0</v>
      </c>
      <c r="AQ65" s="284">
        <v>0</v>
      </c>
      <c r="AR65" s="284">
        <v>0</v>
      </c>
      <c r="AS65" s="284">
        <v>0</v>
      </c>
      <c r="AT65" s="284">
        <v>0</v>
      </c>
      <c r="AU65" s="284">
        <v>0</v>
      </c>
      <c r="AV65" s="284">
        <v>0</v>
      </c>
      <c r="AW65" s="284">
        <v>0</v>
      </c>
      <c r="AX65" s="284">
        <v>0</v>
      </c>
      <c r="AY65" s="284">
        <v>0</v>
      </c>
    </row>
    <row r="66" spans="1:51" ht="12.75" hidden="1" customHeight="1" x14ac:dyDescent="0.25">
      <c r="A66" s="59">
        <v>99.1</v>
      </c>
      <c r="B66" s="39" t="s">
        <v>3564</v>
      </c>
      <c r="C66" s="59" t="s">
        <v>240</v>
      </c>
      <c r="D66" s="284">
        <v>1460.9133007181726</v>
      </c>
      <c r="E66" s="284">
        <v>1681.3610460849238</v>
      </c>
      <c r="F66" s="284">
        <v>1838.833246725658</v>
      </c>
      <c r="G66" s="284">
        <v>1558.453377213121</v>
      </c>
      <c r="H66" s="284">
        <v>1638.1585372315012</v>
      </c>
      <c r="I66" s="284">
        <v>1224.3306181136445</v>
      </c>
      <c r="J66" s="284">
        <v>925.22167784505393</v>
      </c>
      <c r="K66" s="284">
        <v>1009.3114548679497</v>
      </c>
      <c r="L66" s="284">
        <v>876.50404059153948</v>
      </c>
      <c r="M66" s="284">
        <v>947.42231098440516</v>
      </c>
      <c r="N66" s="284">
        <v>1166.6480961900761</v>
      </c>
      <c r="O66" s="284">
        <v>1769.1235750824183</v>
      </c>
      <c r="P66" s="284">
        <v>1735.3140348836901</v>
      </c>
      <c r="Q66" s="284">
        <v>1414.8653103412191</v>
      </c>
      <c r="R66" s="284">
        <v>1421.3361423426154</v>
      </c>
      <c r="S66" s="284">
        <v>1161.7700665449004</v>
      </c>
      <c r="T66" s="284">
        <v>1179.0776643518439</v>
      </c>
      <c r="U66" s="284">
        <v>888.64562309527344</v>
      </c>
      <c r="V66" s="284">
        <v>735.17307719826454</v>
      </c>
      <c r="W66" s="284">
        <v>791.72324141230695</v>
      </c>
      <c r="X66" s="284">
        <v>820.56775556752723</v>
      </c>
      <c r="Y66" s="284">
        <v>960.11073420595017</v>
      </c>
      <c r="Z66" s="284">
        <v>1151.9287503338246</v>
      </c>
      <c r="AA66" s="284">
        <v>1355.559145196393</v>
      </c>
      <c r="AB66" s="284">
        <v>1260.3382345472355</v>
      </c>
      <c r="AC66" s="284">
        <v>1139.425219120709</v>
      </c>
      <c r="AD66" s="284">
        <v>1189.8945170693476</v>
      </c>
      <c r="AE66" s="284">
        <v>966.94340043714669</v>
      </c>
      <c r="AF66" s="284">
        <v>838.86681743400425</v>
      </c>
      <c r="AG66" s="284">
        <v>753.47510657533132</v>
      </c>
      <c r="AH66" s="284">
        <v>693.46807140412795</v>
      </c>
      <c r="AI66" s="284">
        <v>603.46148819562279</v>
      </c>
      <c r="AJ66" s="284">
        <v>577.90944696765553</v>
      </c>
      <c r="AK66" s="284">
        <v>580.64558762388936</v>
      </c>
      <c r="AL66" s="284">
        <v>752.25388490639568</v>
      </c>
      <c r="AM66" s="284">
        <v>774.97682478707861</v>
      </c>
      <c r="AN66" s="284">
        <v>753.88474567027697</v>
      </c>
      <c r="AO66" s="284">
        <v>608.72245102165027</v>
      </c>
      <c r="AP66" s="284">
        <v>1177.0244236059816</v>
      </c>
      <c r="AQ66" s="284">
        <v>1017.8947809412991</v>
      </c>
      <c r="AR66" s="284">
        <v>1094.1673421172616</v>
      </c>
      <c r="AS66" s="284">
        <v>856.86145672043517</v>
      </c>
      <c r="AT66" s="284">
        <v>831.94233870996663</v>
      </c>
      <c r="AU66" s="284">
        <v>886.35095552898576</v>
      </c>
      <c r="AV66" s="284">
        <v>987.8596137644497</v>
      </c>
      <c r="AW66" s="284">
        <v>1284.0597041390463</v>
      </c>
      <c r="AX66" s="284">
        <v>1484.5910527579656</v>
      </c>
      <c r="AY66" s="284">
        <v>2038.4211840284311</v>
      </c>
    </row>
    <row r="67" spans="1:51" ht="12.75" hidden="1" customHeight="1" x14ac:dyDescent="0.25">
      <c r="A67" s="59">
        <v>105</v>
      </c>
      <c r="B67" s="39" t="s">
        <v>3567</v>
      </c>
      <c r="C67" s="59" t="s">
        <v>253</v>
      </c>
      <c r="D67" s="284">
        <v>490.56413202357976</v>
      </c>
      <c r="E67" s="284">
        <v>530.07865381508032</v>
      </c>
      <c r="F67" s="284">
        <v>553.56198720308748</v>
      </c>
      <c r="G67" s="284">
        <v>453.28454270308418</v>
      </c>
      <c r="H67" s="284">
        <v>487.20390743700278</v>
      </c>
      <c r="I67" s="284">
        <v>380.91352120950773</v>
      </c>
      <c r="J67" s="284">
        <v>314.36936789875205</v>
      </c>
      <c r="K67" s="284">
        <v>321.6382697346404</v>
      </c>
      <c r="L67" s="284">
        <v>424.56413551149819</v>
      </c>
      <c r="M67" s="284">
        <v>547.15578250006956</v>
      </c>
      <c r="N67" s="284">
        <v>595.41700896103544</v>
      </c>
      <c r="O67" s="284">
        <v>630.39708710374759</v>
      </c>
      <c r="P67" s="284">
        <v>802.38524740246942</v>
      </c>
      <c r="Q67" s="284">
        <v>841.70941838905969</v>
      </c>
      <c r="R67" s="284">
        <v>724.85150311154814</v>
      </c>
      <c r="S67" s="284">
        <v>665.87303074432418</v>
      </c>
      <c r="T67" s="284">
        <v>714.34071428671893</v>
      </c>
      <c r="U67" s="284">
        <v>536.65254809286898</v>
      </c>
      <c r="V67" s="284">
        <v>469.61649024561626</v>
      </c>
      <c r="W67" s="284">
        <v>460.44259837944412</v>
      </c>
      <c r="X67" s="284">
        <v>448.61815999363245</v>
      </c>
      <c r="Y67" s="284">
        <v>585.05753350941131</v>
      </c>
      <c r="Z67" s="284">
        <v>747.19674488412204</v>
      </c>
      <c r="AA67" s="284">
        <v>925.69799972372118</v>
      </c>
      <c r="AB67" s="284">
        <v>983.87542247635281</v>
      </c>
      <c r="AC67" s="284">
        <v>857.85926037975617</v>
      </c>
      <c r="AD67" s="284">
        <v>841.2925406402602</v>
      </c>
      <c r="AE67" s="284">
        <v>670.92072109776939</v>
      </c>
      <c r="AF67" s="284">
        <v>591.80034435628829</v>
      </c>
      <c r="AG67" s="284">
        <v>528.37287725274177</v>
      </c>
      <c r="AH67" s="284">
        <v>504.85990025722629</v>
      </c>
      <c r="AI67" s="284">
        <v>479.80733254084146</v>
      </c>
      <c r="AJ67" s="284">
        <v>478.55593521227468</v>
      </c>
      <c r="AK67" s="284">
        <v>516.29717577986492</v>
      </c>
      <c r="AL67" s="284">
        <v>667.25368976846016</v>
      </c>
      <c r="AM67" s="284">
        <v>760.51795267070452</v>
      </c>
      <c r="AN67" s="284">
        <v>795.06101221916947</v>
      </c>
      <c r="AO67" s="284">
        <v>690.57472221589126</v>
      </c>
      <c r="AP67" s="284">
        <v>699.83323968302511</v>
      </c>
      <c r="AQ67" s="284">
        <v>562.13697645560615</v>
      </c>
      <c r="AR67" s="284">
        <v>548.77001029793746</v>
      </c>
      <c r="AS67" s="284">
        <v>471.25227928300382</v>
      </c>
      <c r="AT67" s="284">
        <v>440.4636024948847</v>
      </c>
      <c r="AU67" s="284">
        <v>447.47483521916035</v>
      </c>
      <c r="AV67" s="284">
        <v>484.76146309677523</v>
      </c>
      <c r="AW67" s="284">
        <v>571.10640271188686</v>
      </c>
      <c r="AX67" s="284">
        <v>628.6337367160304</v>
      </c>
      <c r="AY67" s="284">
        <v>820.23186577666866</v>
      </c>
    </row>
    <row r="68" spans="1:51" ht="12.75" hidden="1" customHeight="1" x14ac:dyDescent="0.25">
      <c r="A68" s="59">
        <v>6</v>
      </c>
      <c r="B68" s="39" t="s">
        <v>3534</v>
      </c>
      <c r="C68" s="59" t="s">
        <v>30</v>
      </c>
      <c r="D68" s="284">
        <v>0</v>
      </c>
      <c r="E68" s="284">
        <v>0</v>
      </c>
      <c r="F68" s="284">
        <v>0</v>
      </c>
      <c r="G68" s="284">
        <v>0</v>
      </c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  <c r="S68" s="284"/>
      <c r="T68" s="284">
        <v>0</v>
      </c>
      <c r="U68" s="284">
        <v>0</v>
      </c>
      <c r="V68" s="284">
        <v>0</v>
      </c>
      <c r="W68" s="284"/>
      <c r="X68" s="284"/>
      <c r="Y68" s="284"/>
      <c r="Z68" s="284"/>
      <c r="AA68" s="284"/>
      <c r="AB68" s="284">
        <v>0</v>
      </c>
      <c r="AC68" s="284">
        <v>0</v>
      </c>
      <c r="AD68" s="284">
        <v>0</v>
      </c>
      <c r="AE68" s="284">
        <v>0</v>
      </c>
      <c r="AF68" s="284">
        <v>0</v>
      </c>
      <c r="AG68" s="284">
        <v>0</v>
      </c>
      <c r="AH68" s="284">
        <v>0</v>
      </c>
      <c r="AI68" s="284">
        <v>0</v>
      </c>
      <c r="AJ68" s="284">
        <v>0</v>
      </c>
      <c r="AK68" s="284">
        <v>0</v>
      </c>
      <c r="AL68" s="284">
        <v>0</v>
      </c>
      <c r="AM68" s="284">
        <v>0</v>
      </c>
      <c r="AN68" s="284">
        <v>0</v>
      </c>
      <c r="AO68" s="284">
        <v>0</v>
      </c>
      <c r="AP68" s="284">
        <v>0</v>
      </c>
      <c r="AQ68" s="284">
        <v>0</v>
      </c>
      <c r="AR68" s="284">
        <v>0</v>
      </c>
      <c r="AS68" s="284">
        <v>0</v>
      </c>
      <c r="AT68" s="284">
        <v>0</v>
      </c>
      <c r="AU68" s="284">
        <v>0</v>
      </c>
      <c r="AV68" s="284">
        <v>0</v>
      </c>
      <c r="AW68" s="284">
        <v>0</v>
      </c>
      <c r="AX68" s="284">
        <v>0</v>
      </c>
      <c r="AY68" s="284">
        <v>0</v>
      </c>
    </row>
    <row r="69" spans="1:51" ht="12.75" hidden="1" customHeight="1" x14ac:dyDescent="0.25">
      <c r="A69" s="59">
        <v>167</v>
      </c>
      <c r="B69" s="39" t="s">
        <v>368</v>
      </c>
      <c r="C69" s="347" t="s">
        <v>369</v>
      </c>
      <c r="D69" s="284">
        <v>0</v>
      </c>
      <c r="E69" s="284">
        <v>0</v>
      </c>
      <c r="F69" s="284">
        <v>0</v>
      </c>
      <c r="G69" s="284">
        <v>0</v>
      </c>
      <c r="H69" s="284">
        <v>0</v>
      </c>
      <c r="I69" s="284">
        <v>0</v>
      </c>
      <c r="J69" s="284">
        <v>0</v>
      </c>
      <c r="K69" s="284">
        <v>0</v>
      </c>
      <c r="L69" s="284">
        <v>0</v>
      </c>
      <c r="M69" s="284">
        <v>0</v>
      </c>
      <c r="N69" s="284">
        <v>0</v>
      </c>
      <c r="O69" s="284">
        <v>0</v>
      </c>
      <c r="P69" s="284">
        <v>0</v>
      </c>
      <c r="Q69" s="284">
        <v>0</v>
      </c>
      <c r="R69" s="284">
        <v>0</v>
      </c>
      <c r="S69" s="284">
        <v>0</v>
      </c>
      <c r="T69" s="284">
        <v>0</v>
      </c>
      <c r="U69" s="284">
        <v>0</v>
      </c>
      <c r="V69" s="284">
        <v>0</v>
      </c>
      <c r="W69" s="284">
        <v>0</v>
      </c>
      <c r="X69" s="284">
        <v>0</v>
      </c>
      <c r="Y69" s="284">
        <v>0</v>
      </c>
      <c r="Z69" s="284">
        <v>0</v>
      </c>
      <c r="AA69" s="284">
        <v>0</v>
      </c>
      <c r="AB69" s="284">
        <v>0</v>
      </c>
      <c r="AC69" s="284">
        <v>0</v>
      </c>
      <c r="AD69" s="284">
        <v>0</v>
      </c>
      <c r="AE69" s="284">
        <v>0</v>
      </c>
      <c r="AF69" s="284">
        <v>0</v>
      </c>
      <c r="AG69" s="284">
        <v>0</v>
      </c>
      <c r="AH69" s="284">
        <v>0</v>
      </c>
      <c r="AI69" s="284">
        <v>0</v>
      </c>
      <c r="AJ69" s="284">
        <v>0</v>
      </c>
      <c r="AK69" s="284">
        <v>0</v>
      </c>
      <c r="AL69" s="284">
        <v>0</v>
      </c>
      <c r="AM69" s="284">
        <v>0</v>
      </c>
      <c r="AN69" s="284">
        <v>0</v>
      </c>
      <c r="AO69" s="284">
        <v>0</v>
      </c>
      <c r="AP69" s="284">
        <v>0</v>
      </c>
      <c r="AQ69" s="284">
        <v>0</v>
      </c>
      <c r="AR69" s="284">
        <v>0</v>
      </c>
      <c r="AS69" s="284">
        <v>0</v>
      </c>
      <c r="AT69" s="284">
        <v>0</v>
      </c>
      <c r="AU69" s="284">
        <v>0</v>
      </c>
      <c r="AV69" s="284">
        <v>0</v>
      </c>
      <c r="AW69" s="284">
        <v>0</v>
      </c>
      <c r="AX69" s="284">
        <v>0</v>
      </c>
      <c r="AY69" s="284">
        <v>0</v>
      </c>
    </row>
    <row r="70" spans="1:51" ht="12.75" hidden="1" customHeight="1" x14ac:dyDescent="0.25">
      <c r="A70" s="59">
        <v>277</v>
      </c>
      <c r="B70" s="39" t="s">
        <v>3616</v>
      </c>
      <c r="C70" s="59" t="s">
        <v>509</v>
      </c>
      <c r="D70" s="284">
        <v>6462.8859712006351</v>
      </c>
      <c r="E70" s="284">
        <v>6983.4659155425816</v>
      </c>
      <c r="F70" s="284">
        <v>7292.8446409792068</v>
      </c>
      <c r="G70" s="284">
        <v>5971.7499115019809</v>
      </c>
      <c r="H70" s="284">
        <v>6418.6170429952854</v>
      </c>
      <c r="I70" s="284">
        <v>5018.3054401279242</v>
      </c>
      <c r="J70" s="284">
        <v>4141.6264356449074</v>
      </c>
      <c r="K70" s="284">
        <v>4237.3898244344873</v>
      </c>
      <c r="L70" s="284">
        <v>5593.3759036836736</v>
      </c>
      <c r="M70" s="284">
        <v>7208.4467655516082</v>
      </c>
      <c r="N70" s="284">
        <v>7844.2592579180937</v>
      </c>
      <c r="O70" s="284">
        <v>8305.1006475392351</v>
      </c>
      <c r="P70" s="284">
        <v>10570.940719910828</v>
      </c>
      <c r="Q70" s="284">
        <v>11089.012907434952</v>
      </c>
      <c r="R70" s="284">
        <v>9549.4804957288306</v>
      </c>
      <c r="S70" s="284">
        <v>8772.4747654226976</v>
      </c>
      <c r="T70" s="284">
        <v>9411.0072050664476</v>
      </c>
      <c r="U70" s="284">
        <v>7070.0729997760336</v>
      </c>
      <c r="V70" s="284">
        <v>6186.9134503029409</v>
      </c>
      <c r="W70" s="284">
        <v>6066.0529691286965</v>
      </c>
      <c r="X70" s="284">
        <v>5910.2731393931717</v>
      </c>
      <c r="Y70" s="284">
        <v>7707.7794295027516</v>
      </c>
      <c r="Z70" s="284">
        <v>9843.865551927991</v>
      </c>
      <c r="AA70" s="284">
        <v>12195.511708743026</v>
      </c>
      <c r="AB70" s="284">
        <v>12961.964094484345</v>
      </c>
      <c r="AC70" s="284">
        <v>11301.777315644404</v>
      </c>
      <c r="AD70" s="284">
        <v>11083.520795030996</v>
      </c>
      <c r="AE70" s="284">
        <v>8838.9750353011277</v>
      </c>
      <c r="AF70" s="284">
        <v>7796.6118874506683</v>
      </c>
      <c r="AG70" s="284">
        <v>6960.993340205152</v>
      </c>
      <c r="AH70" s="284">
        <v>6651.2240781544651</v>
      </c>
      <c r="AI70" s="284">
        <v>6321.1716387947235</v>
      </c>
      <c r="AJ70" s="284">
        <v>6304.6852352620581</v>
      </c>
      <c r="AK70" s="284">
        <v>6801.9032711462269</v>
      </c>
      <c r="AL70" s="284">
        <v>8790.6641136762937</v>
      </c>
      <c r="AM70" s="284">
        <v>10019.364413958969</v>
      </c>
      <c r="AN70" s="284">
        <v>10474.448347709329</v>
      </c>
      <c r="AO70" s="284">
        <v>9097.904622306005</v>
      </c>
      <c r="AP70" s="284">
        <v>9219.879994630166</v>
      </c>
      <c r="AQ70" s="284">
        <v>7405.8149421602047</v>
      </c>
      <c r="AR70" s="284">
        <v>7229.713241243845</v>
      </c>
      <c r="AS70" s="284">
        <v>6208.4639822954996</v>
      </c>
      <c r="AT70" s="284">
        <v>5802.8417724837936</v>
      </c>
      <c r="AU70" s="284">
        <v>5895.2105264479878</v>
      </c>
      <c r="AV70" s="284">
        <v>6386.4393148829968</v>
      </c>
      <c r="AW70" s="284">
        <v>7523.9817124911615</v>
      </c>
      <c r="AX70" s="284">
        <v>8281.8695718466861</v>
      </c>
      <c r="AY70" s="284">
        <v>10806.059131540726</v>
      </c>
    </row>
    <row r="71" spans="1:51" ht="12.75" hidden="1" customHeight="1" x14ac:dyDescent="0.25">
      <c r="A71" s="59">
        <v>277.10000000000002</v>
      </c>
      <c r="B71" s="39" t="s">
        <v>3617</v>
      </c>
      <c r="C71" s="115" t="s">
        <v>3618</v>
      </c>
      <c r="D71" s="284">
        <v>3908</v>
      </c>
      <c r="E71" s="284">
        <v>2041</v>
      </c>
      <c r="F71" s="284">
        <v>1617</v>
      </c>
      <c r="G71" s="284">
        <v>216</v>
      </c>
      <c r="H71" s="284">
        <v>236</v>
      </c>
      <c r="I71" s="284">
        <v>549</v>
      </c>
      <c r="J71" s="284">
        <v>2183</v>
      </c>
      <c r="K71" s="284">
        <v>2294</v>
      </c>
      <c r="L71" s="284">
        <v>2295</v>
      </c>
      <c r="M71" s="284">
        <v>0</v>
      </c>
      <c r="N71" s="284">
        <v>2652</v>
      </c>
      <c r="O71" s="284">
        <v>2059</v>
      </c>
      <c r="P71" s="284">
        <v>1469</v>
      </c>
      <c r="Q71" s="284">
        <v>1946</v>
      </c>
      <c r="R71" s="284">
        <v>1131</v>
      </c>
      <c r="S71" s="284">
        <v>204</v>
      </c>
      <c r="T71" s="284">
        <v>260</v>
      </c>
      <c r="U71" s="284">
        <v>205</v>
      </c>
      <c r="V71" s="284">
        <v>1808</v>
      </c>
      <c r="W71" s="284">
        <v>1894</v>
      </c>
      <c r="X71" s="284">
        <v>2026</v>
      </c>
      <c r="Y71" s="284">
        <v>0</v>
      </c>
      <c r="Z71" s="284">
        <v>2364</v>
      </c>
      <c r="AA71" s="284">
        <v>1824</v>
      </c>
      <c r="AB71" s="284">
        <v>0</v>
      </c>
      <c r="AC71" s="284">
        <v>1385</v>
      </c>
      <c r="AD71" s="284">
        <v>0</v>
      </c>
      <c r="AE71" s="284">
        <v>0</v>
      </c>
      <c r="AF71" s="284">
        <v>0</v>
      </c>
      <c r="AG71" s="284">
        <v>0</v>
      </c>
      <c r="AH71" s="284">
        <v>0</v>
      </c>
      <c r="AI71" s="284">
        <v>0</v>
      </c>
      <c r="AJ71" s="284">
        <v>0</v>
      </c>
      <c r="AK71" s="284">
        <v>0</v>
      </c>
      <c r="AL71" s="284">
        <v>0</v>
      </c>
      <c r="AM71" s="284">
        <v>0</v>
      </c>
      <c r="AN71" s="284">
        <v>0</v>
      </c>
      <c r="AO71" s="284">
        <v>0</v>
      </c>
      <c r="AP71" s="284">
        <v>7</v>
      </c>
      <c r="AQ71" s="284">
        <v>234</v>
      </c>
      <c r="AR71" s="284">
        <v>187</v>
      </c>
      <c r="AS71" s="284">
        <v>347</v>
      </c>
      <c r="AT71" s="284">
        <v>1417</v>
      </c>
      <c r="AU71" s="284">
        <v>1348</v>
      </c>
      <c r="AV71" s="284">
        <v>1437</v>
      </c>
      <c r="AW71" s="284">
        <v>977</v>
      </c>
      <c r="AX71" s="284">
        <v>865</v>
      </c>
      <c r="AY71" s="284">
        <v>1349</v>
      </c>
    </row>
    <row r="72" spans="1:51" ht="12.75" hidden="1" customHeight="1" x14ac:dyDescent="0.25">
      <c r="A72" s="59">
        <v>357</v>
      </c>
      <c r="B72" s="221" t="s">
        <v>3650</v>
      </c>
      <c r="C72" s="59" t="s">
        <v>582</v>
      </c>
      <c r="D72" s="284"/>
      <c r="E72" s="284"/>
      <c r="F72" s="284"/>
      <c r="G72" s="284"/>
      <c r="H72" s="284">
        <v>49</v>
      </c>
      <c r="I72" s="284">
        <v>15</v>
      </c>
      <c r="J72" s="284">
        <v>17</v>
      </c>
      <c r="K72" s="284">
        <v>39</v>
      </c>
      <c r="L72" s="284">
        <v>89</v>
      </c>
      <c r="M72" s="284">
        <v>0</v>
      </c>
      <c r="N72" s="284">
        <v>929</v>
      </c>
      <c r="O72" s="284">
        <v>523</v>
      </c>
      <c r="P72" s="284">
        <v>481</v>
      </c>
      <c r="Q72" s="284">
        <v>101</v>
      </c>
      <c r="R72" s="284">
        <v>59</v>
      </c>
      <c r="S72" s="284">
        <v>-4</v>
      </c>
      <c r="T72" s="284">
        <v>257</v>
      </c>
      <c r="U72" s="284">
        <v>218</v>
      </c>
      <c r="V72" s="284">
        <v>140</v>
      </c>
      <c r="W72" s="284">
        <v>484</v>
      </c>
      <c r="X72" s="284">
        <v>364</v>
      </c>
      <c r="Y72" s="284">
        <v>0</v>
      </c>
      <c r="Z72" s="284">
        <v>1659</v>
      </c>
      <c r="AA72" s="284">
        <v>852</v>
      </c>
      <c r="AB72" s="284">
        <v>0</v>
      </c>
      <c r="AC72" s="284">
        <v>1448</v>
      </c>
      <c r="AD72" s="284">
        <v>0</v>
      </c>
      <c r="AE72" s="284">
        <v>327</v>
      </c>
      <c r="AF72" s="284">
        <v>185</v>
      </c>
      <c r="AG72" s="284">
        <v>160</v>
      </c>
      <c r="AH72" s="284">
        <v>175</v>
      </c>
      <c r="AI72" s="284">
        <v>292</v>
      </c>
      <c r="AJ72" s="284">
        <v>829</v>
      </c>
      <c r="AK72" s="284">
        <v>0</v>
      </c>
      <c r="AL72" s="284">
        <v>0</v>
      </c>
      <c r="AM72" s="284">
        <v>2629</v>
      </c>
      <c r="AN72" s="284">
        <v>1011</v>
      </c>
      <c r="AO72" s="284">
        <v>415</v>
      </c>
      <c r="AP72" s="284">
        <v>345</v>
      </c>
      <c r="AQ72" s="284">
        <v>368</v>
      </c>
      <c r="AR72" s="284">
        <v>327</v>
      </c>
      <c r="AS72" s="284">
        <v>292</v>
      </c>
      <c r="AT72" s="284">
        <v>351</v>
      </c>
      <c r="AU72" s="284">
        <v>271</v>
      </c>
      <c r="AV72" s="284">
        <v>524</v>
      </c>
      <c r="AW72" s="284">
        <v>998</v>
      </c>
      <c r="AX72" s="284">
        <v>1214</v>
      </c>
      <c r="AY72" s="284">
        <v>816</v>
      </c>
    </row>
    <row r="73" spans="1:51" ht="12.75" hidden="1" customHeight="1" x14ac:dyDescent="0.25">
      <c r="A73" s="59">
        <v>129</v>
      </c>
      <c r="B73" s="39" t="s">
        <v>302</v>
      </c>
      <c r="C73" s="59" t="s">
        <v>303</v>
      </c>
      <c r="D73" s="284">
        <v>0</v>
      </c>
      <c r="E73" s="284">
        <v>0</v>
      </c>
      <c r="F73" s="284">
        <v>0</v>
      </c>
      <c r="G73" s="284">
        <v>0</v>
      </c>
      <c r="H73" s="284">
        <v>0</v>
      </c>
      <c r="I73" s="284">
        <v>0</v>
      </c>
      <c r="J73" s="284">
        <v>0</v>
      </c>
      <c r="K73" s="284">
        <v>0</v>
      </c>
      <c r="L73" s="284">
        <v>0</v>
      </c>
      <c r="M73" s="284">
        <v>0</v>
      </c>
      <c r="N73" s="284">
        <v>0</v>
      </c>
      <c r="O73" s="284">
        <v>0</v>
      </c>
      <c r="P73" s="284">
        <v>0</v>
      </c>
      <c r="Q73" s="284">
        <v>0</v>
      </c>
      <c r="R73" s="284">
        <v>0</v>
      </c>
      <c r="S73" s="284">
        <v>0</v>
      </c>
      <c r="T73" s="284">
        <v>0</v>
      </c>
      <c r="U73" s="284">
        <v>0</v>
      </c>
      <c r="V73" s="284">
        <v>0</v>
      </c>
      <c r="W73" s="284">
        <v>0</v>
      </c>
      <c r="X73" s="284">
        <v>0</v>
      </c>
      <c r="Y73" s="284">
        <v>0</v>
      </c>
      <c r="Z73" s="284">
        <v>0</v>
      </c>
      <c r="AA73" s="284">
        <v>0</v>
      </c>
      <c r="AB73" s="284">
        <v>0</v>
      </c>
      <c r="AC73" s="284">
        <v>0</v>
      </c>
      <c r="AD73" s="284">
        <v>0</v>
      </c>
      <c r="AE73" s="284">
        <v>0</v>
      </c>
      <c r="AF73" s="284">
        <v>0</v>
      </c>
      <c r="AG73" s="284">
        <v>0</v>
      </c>
      <c r="AH73" s="284">
        <v>0</v>
      </c>
      <c r="AI73" s="284">
        <v>0</v>
      </c>
      <c r="AJ73" s="284">
        <v>0</v>
      </c>
      <c r="AK73" s="284">
        <v>0</v>
      </c>
      <c r="AL73" s="284">
        <v>0</v>
      </c>
      <c r="AM73" s="284">
        <v>0</v>
      </c>
      <c r="AN73" s="284">
        <v>0</v>
      </c>
      <c r="AO73" s="284">
        <v>0</v>
      </c>
      <c r="AP73" s="284">
        <v>0</v>
      </c>
      <c r="AQ73" s="284">
        <v>0</v>
      </c>
      <c r="AR73" s="284">
        <v>0</v>
      </c>
      <c r="AS73" s="284">
        <v>0</v>
      </c>
      <c r="AT73" s="284">
        <v>0</v>
      </c>
      <c r="AU73" s="284">
        <v>0</v>
      </c>
      <c r="AV73" s="284">
        <v>0</v>
      </c>
      <c r="AW73" s="284">
        <v>0</v>
      </c>
      <c r="AX73" s="284">
        <v>0</v>
      </c>
      <c r="AY73" s="284">
        <v>0</v>
      </c>
    </row>
    <row r="74" spans="1:51" ht="12.75" hidden="1" customHeight="1" x14ac:dyDescent="0.25">
      <c r="A74" s="59">
        <v>47</v>
      </c>
      <c r="B74" s="39" t="s">
        <v>3547</v>
      </c>
      <c r="C74" s="59" t="s">
        <v>126</v>
      </c>
      <c r="D74" s="284">
        <v>0</v>
      </c>
      <c r="E74" s="284">
        <v>0</v>
      </c>
      <c r="F74" s="284">
        <v>0</v>
      </c>
      <c r="G74" s="284">
        <v>0</v>
      </c>
      <c r="H74" s="284">
        <v>0</v>
      </c>
      <c r="I74" s="284">
        <v>0</v>
      </c>
      <c r="J74" s="284">
        <v>0</v>
      </c>
      <c r="K74" s="284">
        <v>0</v>
      </c>
      <c r="L74" s="284">
        <v>0</v>
      </c>
      <c r="M74" s="284">
        <v>0</v>
      </c>
      <c r="N74" s="284">
        <v>0</v>
      </c>
      <c r="O74" s="284">
        <v>0</v>
      </c>
      <c r="P74" s="284">
        <v>0</v>
      </c>
      <c r="Q74" s="284">
        <v>0</v>
      </c>
      <c r="R74" s="284">
        <v>0</v>
      </c>
      <c r="S74" s="284">
        <v>0</v>
      </c>
      <c r="T74" s="284">
        <v>0</v>
      </c>
      <c r="U74" s="284">
        <v>0</v>
      </c>
      <c r="V74" s="284">
        <v>0</v>
      </c>
      <c r="W74" s="284">
        <v>0</v>
      </c>
      <c r="X74" s="284">
        <v>0</v>
      </c>
      <c r="Y74" s="284">
        <v>0</v>
      </c>
      <c r="Z74" s="284">
        <v>0</v>
      </c>
      <c r="AA74" s="284">
        <v>0</v>
      </c>
      <c r="AB74" s="284">
        <v>0</v>
      </c>
      <c r="AC74" s="284">
        <v>0</v>
      </c>
      <c r="AD74" s="284">
        <v>0</v>
      </c>
      <c r="AE74" s="284">
        <v>0</v>
      </c>
      <c r="AF74" s="284">
        <v>0</v>
      </c>
      <c r="AG74" s="284">
        <v>0</v>
      </c>
      <c r="AH74" s="284">
        <v>0</v>
      </c>
      <c r="AI74" s="284">
        <v>0</v>
      </c>
      <c r="AJ74" s="284">
        <v>0</v>
      </c>
      <c r="AK74" s="284">
        <v>0</v>
      </c>
      <c r="AL74" s="284">
        <v>0</v>
      </c>
      <c r="AM74" s="284">
        <v>0</v>
      </c>
      <c r="AN74" s="284">
        <v>0</v>
      </c>
      <c r="AO74" s="284">
        <v>0</v>
      </c>
      <c r="AP74" s="284">
        <v>0</v>
      </c>
      <c r="AQ74" s="284">
        <v>0</v>
      </c>
      <c r="AR74" s="284">
        <v>0</v>
      </c>
      <c r="AS74" s="284">
        <v>0</v>
      </c>
      <c r="AT74" s="284">
        <v>0</v>
      </c>
      <c r="AU74" s="284">
        <v>0</v>
      </c>
      <c r="AV74" s="284">
        <v>0</v>
      </c>
      <c r="AW74" s="284">
        <v>0</v>
      </c>
      <c r="AX74" s="284">
        <v>0</v>
      </c>
      <c r="AY74" s="284">
        <v>0</v>
      </c>
    </row>
    <row r="75" spans="1:51" ht="12.75" hidden="1" customHeight="1" x14ac:dyDescent="0.25">
      <c r="A75" s="59">
        <v>336</v>
      </c>
      <c r="B75" s="221" t="s">
        <v>3637</v>
      </c>
      <c r="C75" s="59" t="s">
        <v>574</v>
      </c>
      <c r="D75" s="284">
        <v>5378.0897899128322</v>
      </c>
      <c r="E75" s="284">
        <v>5189.0902393440992</v>
      </c>
      <c r="F75" s="284">
        <v>5642.2430915579625</v>
      </c>
      <c r="G75" s="284">
        <v>4872.7614010561183</v>
      </c>
      <c r="H75" s="284">
        <v>4728.351994593002</v>
      </c>
      <c r="I75" s="284">
        <v>3672.2279666327522</v>
      </c>
      <c r="J75" s="284">
        <v>2920.0245935044354</v>
      </c>
      <c r="K75" s="284">
        <v>3190.3344482302414</v>
      </c>
      <c r="L75" s="284">
        <v>2840.8081371779522</v>
      </c>
      <c r="M75" s="284">
        <v>2493.4528480299882</v>
      </c>
      <c r="N75" s="284">
        <v>4030.4174731449734</v>
      </c>
      <c r="O75" s="284">
        <v>5162.0294872334498</v>
      </c>
      <c r="P75" s="284">
        <v>5049.048582602325</v>
      </c>
      <c r="Q75" s="284">
        <v>4250.6825613527444</v>
      </c>
      <c r="R75" s="284">
        <v>4194.7126801244249</v>
      </c>
      <c r="S75" s="284">
        <v>3430.5793366872203</v>
      </c>
      <c r="T75" s="284">
        <v>3522.1299623627333</v>
      </c>
      <c r="U75" s="284">
        <v>2734.7626975915341</v>
      </c>
      <c r="V75" s="284">
        <v>2432.8493083620833</v>
      </c>
      <c r="W75" s="284">
        <v>2582.6796307866821</v>
      </c>
      <c r="X75" s="284">
        <v>2722.5934393771149</v>
      </c>
      <c r="Y75" s="284">
        <v>2526.8465993191021</v>
      </c>
      <c r="Z75" s="284">
        <v>3979.6786821951664</v>
      </c>
      <c r="AA75" s="284">
        <v>4081.5989176897051</v>
      </c>
      <c r="AB75" s="284">
        <v>3316.993830499543</v>
      </c>
      <c r="AC75" s="284">
        <v>3848.771534925876</v>
      </c>
      <c r="AD75" s="284">
        <v>3131.5980614379564</v>
      </c>
      <c r="AE75" s="284">
        <v>3181.8290036558897</v>
      </c>
      <c r="AF75" s="284">
        <v>2207.7534282207753</v>
      </c>
      <c r="AG75" s="284">
        <v>1983.017107184088</v>
      </c>
      <c r="AH75" s="284">
        <v>1825.0888939525387</v>
      </c>
      <c r="AI75" s="284">
        <v>1588.2070212747592</v>
      </c>
      <c r="AJ75" s="284">
        <v>1520.9584361040609</v>
      </c>
      <c r="AK75" s="284">
        <v>1528.1594885099389</v>
      </c>
      <c r="AL75" s="284">
        <v>1979.8030614378788</v>
      </c>
      <c r="AM75" s="284">
        <v>2039.6059376254077</v>
      </c>
      <c r="AN75" s="284">
        <v>1984.0952069460575</v>
      </c>
      <c r="AO75" s="284">
        <v>1602.0529721140508</v>
      </c>
      <c r="AP75" s="284">
        <v>3097.7261852655465</v>
      </c>
      <c r="AQ75" s="284">
        <v>2678.924288679455</v>
      </c>
      <c r="AR75" s="284">
        <v>2879.6605735291746</v>
      </c>
      <c r="AS75" s="284">
        <v>2259.1122291037768</v>
      </c>
      <c r="AT75" s="284">
        <v>2216.5293891672359</v>
      </c>
      <c r="AU75" s="284">
        <v>2352.7235265565005</v>
      </c>
      <c r="AV75" s="284">
        <v>2650.87688577382</v>
      </c>
      <c r="AW75" s="284">
        <v>3427.4246654370272</v>
      </c>
      <c r="AX75" s="284">
        <v>3932.1887433312932</v>
      </c>
      <c r="AY75" s="284">
        <v>5494.7745549914707</v>
      </c>
    </row>
    <row r="76" spans="1:51" ht="12.75" hidden="1" customHeight="1" x14ac:dyDescent="0.25">
      <c r="A76" s="59">
        <v>91</v>
      </c>
      <c r="B76" s="289" t="s">
        <v>221</v>
      </c>
      <c r="C76" s="59" t="s">
        <v>222</v>
      </c>
      <c r="D76" s="284">
        <v>1201.3149777326187</v>
      </c>
      <c r="E76" s="284">
        <v>1382.5900596873644</v>
      </c>
      <c r="F76" s="284">
        <v>1512.0800938415018</v>
      </c>
      <c r="G76" s="284">
        <v>1281.5225812673143</v>
      </c>
      <c r="H76" s="284">
        <v>1347.0644600944734</v>
      </c>
      <c r="I76" s="284">
        <v>1006.772070945976</v>
      </c>
      <c r="J76" s="284">
        <v>760.81356694594513</v>
      </c>
      <c r="K76" s="284">
        <v>829.96093425524475</v>
      </c>
      <c r="L76" s="284">
        <v>720.75285473008603</v>
      </c>
      <c r="M76" s="284">
        <v>779.06923830737298</v>
      </c>
      <c r="N76" s="284">
        <v>959.33949742767879</v>
      </c>
      <c r="O76" s="284">
        <v>1454.7575459554093</v>
      </c>
      <c r="P76" s="284">
        <v>1426.9558228750468</v>
      </c>
      <c r="Q76" s="284">
        <v>1163.4495270538359</v>
      </c>
      <c r="R76" s="284">
        <v>1168.7705186539858</v>
      </c>
      <c r="S76" s="284">
        <v>955.3282737146136</v>
      </c>
      <c r="T76" s="284">
        <v>969.56038212503881</v>
      </c>
      <c r="U76" s="284">
        <v>730.73692764388704</v>
      </c>
      <c r="V76" s="284">
        <v>604.53582593155443</v>
      </c>
      <c r="W76" s="284">
        <v>651.03725707751789</v>
      </c>
      <c r="X76" s="284">
        <v>674.75621895092434</v>
      </c>
      <c r="Y76" s="284">
        <v>789.50298057829275</v>
      </c>
      <c r="Z76" s="284">
        <v>947.23571917413801</v>
      </c>
      <c r="AA76" s="284">
        <v>1114.6818250790916</v>
      </c>
      <c r="AB76" s="284">
        <v>1036.3812810975021</v>
      </c>
      <c r="AC76" s="284">
        <v>936.95401435737767</v>
      </c>
      <c r="AD76" s="284">
        <v>978.455124321634</v>
      </c>
      <c r="AE76" s="284">
        <v>795.12150994437445</v>
      </c>
      <c r="AF76" s="284">
        <v>689.80361230948154</v>
      </c>
      <c r="AG76" s="284">
        <v>619.58565948619741</v>
      </c>
      <c r="AH76" s="284">
        <v>570.24162922440371</v>
      </c>
      <c r="AI76" s="284">
        <v>496.2288480075029</v>
      </c>
      <c r="AJ76" s="284">
        <v>475.2173000780615</v>
      </c>
      <c r="AK76" s="284">
        <v>477.46723972191364</v>
      </c>
      <c r="AL76" s="284">
        <v>618.58144391686653</v>
      </c>
      <c r="AM76" s="284">
        <v>637.26661024628731</v>
      </c>
      <c r="AN76" s="284">
        <v>619.92250738811003</v>
      </c>
      <c r="AO76" s="284">
        <v>500.55495924017799</v>
      </c>
      <c r="AP76" s="284">
        <v>967.87199386840337</v>
      </c>
      <c r="AQ76" s="284">
        <v>837.01903836423514</v>
      </c>
      <c r="AR76" s="284">
        <v>899.7382771347136</v>
      </c>
      <c r="AS76" s="284">
        <v>704.60067773633375</v>
      </c>
      <c r="AT76" s="284">
        <v>684.10958515531183</v>
      </c>
      <c r="AU76" s="284">
        <v>728.85001312613747</v>
      </c>
      <c r="AV76" s="284">
        <v>812.32099764510758</v>
      </c>
      <c r="AW76" s="284">
        <v>1055.8875424892371</v>
      </c>
      <c r="AX76" s="284">
        <v>1220.7852900026619</v>
      </c>
      <c r="AY76" s="284">
        <v>1676.202070374067</v>
      </c>
    </row>
    <row r="77" spans="1:51" ht="12.75" hidden="1" customHeight="1" x14ac:dyDescent="0.25">
      <c r="A77" s="59">
        <v>263</v>
      </c>
      <c r="B77" s="100" t="s">
        <v>3610</v>
      </c>
      <c r="C77" s="59" t="s">
        <v>3025</v>
      </c>
      <c r="D77" s="284">
        <v>2256.6174445625979</v>
      </c>
      <c r="E77" s="284">
        <v>2597.1347275283661</v>
      </c>
      <c r="F77" s="284">
        <v>2840.3760717100176</v>
      </c>
      <c r="G77" s="284">
        <v>2407.2839064630175</v>
      </c>
      <c r="H77" s="284">
        <v>2530.4014483669143</v>
      </c>
      <c r="I77" s="284">
        <v>1891.1771351449581</v>
      </c>
      <c r="J77" s="284">
        <v>1429.1548836513741</v>
      </c>
      <c r="K77" s="284">
        <v>1559.0451773778818</v>
      </c>
      <c r="L77" s="284">
        <v>1353.9025945318833</v>
      </c>
      <c r="M77" s="284">
        <v>1463.4473608284704</v>
      </c>
      <c r="N77" s="284">
        <v>1802.0771282142935</v>
      </c>
      <c r="O77" s="284">
        <v>2732.6981821271561</v>
      </c>
      <c r="P77" s="284">
        <v>2680.4738658945744</v>
      </c>
      <c r="Q77" s="284">
        <v>2185.4888578623459</v>
      </c>
      <c r="R77" s="284">
        <v>2195.4841069767226</v>
      </c>
      <c r="S77" s="284">
        <v>1794.5422205733094</v>
      </c>
      <c r="T77" s="284">
        <v>1821.2766113926837</v>
      </c>
      <c r="U77" s="284">
        <v>1372.6572371715615</v>
      </c>
      <c r="V77" s="284">
        <v>1135.5940081884507</v>
      </c>
      <c r="W77" s="284">
        <v>1222.9449050524565</v>
      </c>
      <c r="X77" s="284">
        <v>1267.4999336024773</v>
      </c>
      <c r="Y77" s="284">
        <v>1483.0466876137461</v>
      </c>
      <c r="Z77" s="284">
        <v>1779.3407121549433</v>
      </c>
      <c r="AA77" s="284">
        <v>2093.8808707421422</v>
      </c>
      <c r="AB77" s="284">
        <v>1946.7967364869512</v>
      </c>
      <c r="AC77" s="284">
        <v>1760.0269810524344</v>
      </c>
      <c r="AD77" s="284">
        <v>1837.9849941047748</v>
      </c>
      <c r="AE77" s="284">
        <v>1493.6008483586802</v>
      </c>
      <c r="AF77" s="284">
        <v>1295.7658014036142</v>
      </c>
      <c r="AG77" s="284">
        <v>1163.864459790803</v>
      </c>
      <c r="AH77" s="284">
        <v>1071.1738652858103</v>
      </c>
      <c r="AI77" s="284">
        <v>932.14410513923599</v>
      </c>
      <c r="AJ77" s="284">
        <v>892.67483481986255</v>
      </c>
      <c r="AK77" s="284">
        <v>896.90124766215695</v>
      </c>
      <c r="AL77" s="284">
        <v>1161.9780849317042</v>
      </c>
      <c r="AM77" s="284">
        <v>1197.0773495501378</v>
      </c>
      <c r="AN77" s="284">
        <v>1164.4972137859752</v>
      </c>
      <c r="AO77" s="284">
        <v>940.27051516135896</v>
      </c>
      <c r="AP77" s="284">
        <v>1818.1050481775894</v>
      </c>
      <c r="AQ77" s="284">
        <v>1572.3035160759878</v>
      </c>
      <c r="AR77" s="284">
        <v>1690.1188525552525</v>
      </c>
      <c r="AS77" s="284">
        <v>1323.5614391751433</v>
      </c>
      <c r="AT77" s="284">
        <v>1285.0698213783214</v>
      </c>
      <c r="AU77" s="284">
        <v>1369.1127510908261</v>
      </c>
      <c r="AV77" s="284">
        <v>1525.9093308985969</v>
      </c>
      <c r="AW77" s="284">
        <v>1983.4383921315582</v>
      </c>
      <c r="AX77" s="284">
        <v>2293.1915713603744</v>
      </c>
      <c r="AY77" s="284">
        <v>3148.6719992098183</v>
      </c>
    </row>
    <row r="78" spans="1:51" ht="12.75" hidden="1" customHeight="1" x14ac:dyDescent="0.25">
      <c r="A78" s="59">
        <v>263.10000000000002</v>
      </c>
      <c r="B78" s="39" t="s">
        <v>3611</v>
      </c>
      <c r="C78" s="59" t="s">
        <v>3025</v>
      </c>
      <c r="D78" s="284">
        <v>0</v>
      </c>
      <c r="E78" s="284">
        <v>0</v>
      </c>
      <c r="F78" s="284">
        <v>0</v>
      </c>
      <c r="G78" s="284">
        <v>0</v>
      </c>
      <c r="H78" s="284">
        <v>0</v>
      </c>
      <c r="I78" s="284">
        <v>0</v>
      </c>
      <c r="J78" s="284">
        <v>0</v>
      </c>
      <c r="K78" s="284">
        <v>0</v>
      </c>
      <c r="L78" s="284">
        <v>0</v>
      </c>
      <c r="M78" s="284">
        <v>0</v>
      </c>
      <c r="N78" s="284">
        <v>0</v>
      </c>
      <c r="O78" s="284">
        <v>0</v>
      </c>
      <c r="P78" s="284">
        <v>0</v>
      </c>
      <c r="Q78" s="284">
        <v>0</v>
      </c>
      <c r="R78" s="284">
        <v>0</v>
      </c>
      <c r="S78" s="284">
        <v>0</v>
      </c>
      <c r="T78" s="284">
        <v>0</v>
      </c>
      <c r="U78" s="284">
        <v>0</v>
      </c>
      <c r="V78" s="284">
        <v>0</v>
      </c>
      <c r="W78" s="284">
        <v>0</v>
      </c>
      <c r="X78" s="284">
        <v>0</v>
      </c>
      <c r="Y78" s="284">
        <v>0</v>
      </c>
      <c r="Z78" s="284">
        <v>0</v>
      </c>
      <c r="AA78" s="284">
        <v>0</v>
      </c>
      <c r="AB78" s="284">
        <v>0</v>
      </c>
      <c r="AC78" s="284">
        <v>0</v>
      </c>
      <c r="AD78" s="284">
        <v>0</v>
      </c>
      <c r="AE78" s="284">
        <v>0</v>
      </c>
      <c r="AF78" s="284">
        <v>0</v>
      </c>
      <c r="AG78" s="284">
        <v>0</v>
      </c>
      <c r="AH78" s="284">
        <v>0</v>
      </c>
      <c r="AI78" s="284">
        <v>0</v>
      </c>
      <c r="AJ78" s="284">
        <v>0</v>
      </c>
      <c r="AK78" s="284">
        <v>0</v>
      </c>
      <c r="AL78" s="284">
        <v>0</v>
      </c>
      <c r="AM78" s="284">
        <v>0</v>
      </c>
      <c r="AN78" s="284">
        <v>0</v>
      </c>
      <c r="AO78" s="284">
        <v>0</v>
      </c>
      <c r="AP78" s="284">
        <v>0</v>
      </c>
      <c r="AQ78" s="284">
        <v>0</v>
      </c>
      <c r="AR78" s="284">
        <v>0</v>
      </c>
      <c r="AS78" s="284">
        <v>0</v>
      </c>
      <c r="AT78" s="284">
        <v>0</v>
      </c>
      <c r="AU78" s="284">
        <v>0</v>
      </c>
      <c r="AV78" s="284">
        <v>0</v>
      </c>
      <c r="AW78" s="284">
        <v>0</v>
      </c>
      <c r="AX78" s="284">
        <v>0</v>
      </c>
      <c r="AY78" s="284">
        <v>0</v>
      </c>
    </row>
    <row r="79" spans="1:51" ht="12.75" hidden="1" customHeight="1" x14ac:dyDescent="0.25">
      <c r="A79" s="59">
        <v>321</v>
      </c>
      <c r="B79" s="221" t="s">
        <v>3630</v>
      </c>
      <c r="C79" s="59" t="s">
        <v>554</v>
      </c>
      <c r="D79" s="284">
        <v>8113.7827230961284</v>
      </c>
      <c r="E79" s="284">
        <v>8181.0603180137232</v>
      </c>
      <c r="F79" s="284">
        <v>8828.7145630098858</v>
      </c>
      <c r="G79" s="284">
        <v>7287.5172467011034</v>
      </c>
      <c r="H79" s="284">
        <v>7556.9329325065819</v>
      </c>
      <c r="I79" s="284">
        <v>5017.1081171126752</v>
      </c>
      <c r="J79" s="284">
        <v>3853.4093623896438</v>
      </c>
      <c r="K79" s="284">
        <v>3632.6696241100244</v>
      </c>
      <c r="L79" s="284">
        <v>4674.4950097147694</v>
      </c>
      <c r="M79" s="284">
        <v>5536.3300273180694</v>
      </c>
      <c r="N79" s="284">
        <v>8610.1737356521589</v>
      </c>
      <c r="O79" s="284">
        <v>9992.5854322194991</v>
      </c>
      <c r="P79" s="284">
        <v>11779.319459094349</v>
      </c>
      <c r="Q79" s="284">
        <v>11008.236823250634</v>
      </c>
      <c r="R79" s="284">
        <v>9377.1354022516916</v>
      </c>
      <c r="S79" s="284">
        <v>7808.5102032861005</v>
      </c>
      <c r="T79" s="284">
        <v>7770.6162330734687</v>
      </c>
      <c r="U79" s="284">
        <v>5922.7600985966801</v>
      </c>
      <c r="V79" s="284">
        <v>4549.8094614212559</v>
      </c>
      <c r="W79" s="284">
        <v>3882.4930995843633</v>
      </c>
      <c r="X79" s="284">
        <v>3666.5499542572402</v>
      </c>
      <c r="Y79" s="284">
        <v>6723.4865686661433</v>
      </c>
      <c r="Z79" s="284">
        <v>9739.9241870210499</v>
      </c>
      <c r="AA79" s="284">
        <v>11754.356039384247</v>
      </c>
      <c r="AB79" s="284">
        <v>9784.3638437485897</v>
      </c>
      <c r="AC79" s="284">
        <v>9090.3059817463945</v>
      </c>
      <c r="AD79" s="284">
        <v>8668.3237408338828</v>
      </c>
      <c r="AE79" s="284">
        <v>5785.6047409138328</v>
      </c>
      <c r="AF79" s="284">
        <v>2961.8254141323728</v>
      </c>
      <c r="AG79" s="284">
        <v>2738.1085010860793</v>
      </c>
      <c r="AH79" s="284">
        <v>2611.9799919758234</v>
      </c>
      <c r="AI79" s="284">
        <v>2683.1261556533013</v>
      </c>
      <c r="AJ79" s="284">
        <v>2848.4464328844051</v>
      </c>
      <c r="AK79" s="284">
        <v>3586.7255819018324</v>
      </c>
      <c r="AL79" s="284">
        <v>6355.4761144709755</v>
      </c>
      <c r="AM79" s="284">
        <v>8463.1900949314877</v>
      </c>
      <c r="AN79" s="284">
        <v>8813.2372370795729</v>
      </c>
      <c r="AO79" s="284">
        <v>8353.5249248775981</v>
      </c>
      <c r="AP79" s="284">
        <v>8992.5383762762976</v>
      </c>
      <c r="AQ79" s="284">
        <v>7126.9285710809163</v>
      </c>
      <c r="AR79" s="284">
        <v>6420.466157632156</v>
      </c>
      <c r="AS79" s="284">
        <v>4868.4104940958532</v>
      </c>
      <c r="AT79" s="284">
        <v>4451.842298509423</v>
      </c>
      <c r="AU79" s="284">
        <v>4591.700551723723</v>
      </c>
      <c r="AV79" s="284">
        <v>5122.7739384646457</v>
      </c>
      <c r="AW79" s="284">
        <v>7936.9253801097993</v>
      </c>
      <c r="AX79" s="284">
        <v>9064.9976554556215</v>
      </c>
      <c r="AY79" s="284">
        <v>11053.144665145981</v>
      </c>
    </row>
    <row r="80" spans="1:51" ht="12.75" hidden="1" customHeight="1" x14ac:dyDescent="0.25">
      <c r="A80" s="59">
        <v>222</v>
      </c>
      <c r="B80" s="221" t="s">
        <v>3595</v>
      </c>
      <c r="C80" s="59" t="s">
        <v>3774</v>
      </c>
      <c r="D80" s="284">
        <v>0</v>
      </c>
      <c r="E80" s="284">
        <v>0</v>
      </c>
      <c r="F80" s="284">
        <v>0</v>
      </c>
      <c r="G80" s="284">
        <v>0</v>
      </c>
      <c r="H80" s="284">
        <v>0</v>
      </c>
      <c r="I80" s="284">
        <v>0</v>
      </c>
      <c r="J80" s="284">
        <v>0</v>
      </c>
      <c r="K80" s="284">
        <v>0</v>
      </c>
      <c r="L80" s="284">
        <v>0</v>
      </c>
      <c r="M80" s="284">
        <v>0</v>
      </c>
      <c r="N80" s="284">
        <v>0</v>
      </c>
      <c r="O80" s="284">
        <v>0</v>
      </c>
      <c r="P80" s="284">
        <v>0</v>
      </c>
      <c r="Q80" s="284">
        <v>0</v>
      </c>
      <c r="R80" s="284">
        <v>0</v>
      </c>
      <c r="S80" s="284">
        <v>0</v>
      </c>
      <c r="T80" s="284">
        <v>0</v>
      </c>
      <c r="U80" s="284">
        <v>0</v>
      </c>
      <c r="V80" s="284">
        <v>0</v>
      </c>
      <c r="W80" s="284">
        <v>0</v>
      </c>
      <c r="X80" s="284">
        <v>0</v>
      </c>
      <c r="Y80" s="284">
        <v>0</v>
      </c>
      <c r="Z80" s="284">
        <v>0</v>
      </c>
      <c r="AA80" s="284">
        <v>0</v>
      </c>
      <c r="AB80" s="284">
        <v>0</v>
      </c>
      <c r="AC80" s="284">
        <v>0</v>
      </c>
      <c r="AD80" s="284">
        <v>0</v>
      </c>
      <c r="AE80" s="284">
        <v>0</v>
      </c>
      <c r="AF80" s="284">
        <v>0</v>
      </c>
      <c r="AG80" s="284">
        <v>0</v>
      </c>
      <c r="AH80" s="284">
        <v>0</v>
      </c>
      <c r="AI80" s="284">
        <v>0</v>
      </c>
      <c r="AJ80" s="284">
        <v>0</v>
      </c>
      <c r="AK80" s="284">
        <v>0</v>
      </c>
      <c r="AL80" s="284">
        <v>0</v>
      </c>
      <c r="AM80" s="284">
        <v>0</v>
      </c>
      <c r="AN80" s="284">
        <v>0</v>
      </c>
      <c r="AO80" s="284">
        <v>0</v>
      </c>
      <c r="AP80" s="284">
        <v>0</v>
      </c>
      <c r="AQ80" s="284">
        <v>0</v>
      </c>
      <c r="AR80" s="284">
        <v>0</v>
      </c>
      <c r="AS80" s="284">
        <v>0</v>
      </c>
      <c r="AT80" s="284">
        <v>0</v>
      </c>
      <c r="AU80" s="284">
        <v>0</v>
      </c>
      <c r="AV80" s="284">
        <v>0</v>
      </c>
      <c r="AW80" s="284">
        <v>0</v>
      </c>
      <c r="AX80" s="284">
        <v>0</v>
      </c>
      <c r="AY80" s="284">
        <v>0</v>
      </c>
    </row>
    <row r="81" spans="1:51" ht="12.75" hidden="1" customHeight="1" x14ac:dyDescent="0.25">
      <c r="A81" s="59">
        <v>251</v>
      </c>
      <c r="B81" s="39" t="s">
        <v>3604</v>
      </c>
      <c r="C81" s="347" t="s">
        <v>453</v>
      </c>
      <c r="D81" s="284">
        <v>0</v>
      </c>
      <c r="E81" s="284">
        <v>0</v>
      </c>
      <c r="F81" s="284">
        <v>0</v>
      </c>
      <c r="G81" s="284">
        <v>0</v>
      </c>
      <c r="H81" s="284">
        <v>0</v>
      </c>
      <c r="I81" s="284">
        <v>0</v>
      </c>
      <c r="J81" s="284">
        <v>0</v>
      </c>
      <c r="K81" s="284">
        <v>0</v>
      </c>
      <c r="L81" s="284">
        <v>0</v>
      </c>
      <c r="M81" s="284">
        <v>0</v>
      </c>
      <c r="N81" s="284">
        <v>0</v>
      </c>
      <c r="O81" s="284">
        <v>0</v>
      </c>
      <c r="P81" s="284">
        <v>0</v>
      </c>
      <c r="Q81" s="284">
        <v>0</v>
      </c>
      <c r="R81" s="284">
        <v>0</v>
      </c>
      <c r="S81" s="284">
        <v>0</v>
      </c>
      <c r="T81" s="284">
        <v>0</v>
      </c>
      <c r="U81" s="284">
        <v>0</v>
      </c>
      <c r="V81" s="284">
        <v>0</v>
      </c>
      <c r="W81" s="284">
        <v>0</v>
      </c>
      <c r="X81" s="284">
        <v>0</v>
      </c>
      <c r="Y81" s="284">
        <v>0</v>
      </c>
      <c r="Z81" s="284">
        <v>0</v>
      </c>
      <c r="AA81" s="284">
        <v>0</v>
      </c>
      <c r="AB81" s="284">
        <v>0</v>
      </c>
      <c r="AC81" s="284">
        <v>0</v>
      </c>
      <c r="AD81" s="284">
        <v>0</v>
      </c>
      <c r="AE81" s="284">
        <v>0</v>
      </c>
      <c r="AF81" s="284">
        <v>0</v>
      </c>
      <c r="AG81" s="284">
        <v>0</v>
      </c>
      <c r="AH81" s="284">
        <v>0</v>
      </c>
      <c r="AI81" s="284">
        <v>0</v>
      </c>
      <c r="AJ81" s="284">
        <v>0</v>
      </c>
      <c r="AK81" s="284">
        <v>0</v>
      </c>
      <c r="AL81" s="284">
        <v>0</v>
      </c>
      <c r="AM81" s="284">
        <v>0</v>
      </c>
      <c r="AN81" s="284">
        <v>0</v>
      </c>
      <c r="AO81" s="284">
        <v>0</v>
      </c>
      <c r="AP81" s="284">
        <v>0</v>
      </c>
      <c r="AQ81" s="284">
        <v>0</v>
      </c>
      <c r="AR81" s="284">
        <v>0</v>
      </c>
      <c r="AS81" s="284">
        <v>0</v>
      </c>
      <c r="AT81" s="284">
        <v>0</v>
      </c>
      <c r="AU81" s="284">
        <v>0</v>
      </c>
      <c r="AV81" s="284">
        <v>0</v>
      </c>
      <c r="AW81" s="284">
        <v>0</v>
      </c>
      <c r="AX81" s="284">
        <v>0</v>
      </c>
      <c r="AY81" s="284">
        <v>0</v>
      </c>
    </row>
    <row r="82" spans="1:51" ht="12.75" hidden="1" customHeight="1" x14ac:dyDescent="0.25">
      <c r="A82" s="59">
        <v>253</v>
      </c>
      <c r="B82" s="39" t="s">
        <v>3605</v>
      </c>
      <c r="C82" s="59" t="s">
        <v>459</v>
      </c>
      <c r="D82" s="284">
        <v>3975.0861069266762</v>
      </c>
      <c r="E82" s="284">
        <v>4262.9222689602529</v>
      </c>
      <c r="F82" s="284">
        <v>4450.2039704748595</v>
      </c>
      <c r="G82" s="284">
        <v>3654.1407743873319</v>
      </c>
      <c r="H82" s="284">
        <v>3889.4676438221027</v>
      </c>
      <c r="I82" s="284">
        <v>3041.1437256720601</v>
      </c>
      <c r="J82" s="284">
        <v>2509.0421004908849</v>
      </c>
      <c r="K82" s="284">
        <v>2568.0565974263918</v>
      </c>
      <c r="L82" s="284">
        <v>3389.5276338372373</v>
      </c>
      <c r="M82" s="284">
        <v>4366.9550344416939</v>
      </c>
      <c r="N82" s="284">
        <v>4753.1371207920638</v>
      </c>
      <c r="O82" s="284">
        <v>5032.319820191683</v>
      </c>
      <c r="P82" s="284">
        <v>6404.9902488017888</v>
      </c>
      <c r="Q82" s="284">
        <v>6717.8439847167792</v>
      </c>
      <c r="R82" s="284">
        <v>5786.1785944256226</v>
      </c>
      <c r="S82" s="284">
        <v>5314.460117046292</v>
      </c>
      <c r="T82" s="284">
        <v>5701.289976882711</v>
      </c>
      <c r="U82" s="284">
        <v>4284.1267101519097</v>
      </c>
      <c r="V82" s="284">
        <v>3749.0991007066109</v>
      </c>
      <c r="W82" s="284">
        <v>3674.8805136940555</v>
      </c>
      <c r="X82" s="284">
        <v>3581.5074075515477</v>
      </c>
      <c r="Y82" s="284">
        <v>4669.4561642444842</v>
      </c>
      <c r="Z82" s="284">
        <v>5965.5202462467769</v>
      </c>
      <c r="AA82" s="284">
        <v>7388.1729290973835</v>
      </c>
      <c r="AB82" s="284">
        <v>7852.4980761690331</v>
      </c>
      <c r="AC82" s="284">
        <v>6848.7389649808338</v>
      </c>
      <c r="AD82" s="284">
        <v>6714.516803606587</v>
      </c>
      <c r="AE82" s="284">
        <v>5355.746699965257</v>
      </c>
      <c r="AF82" s="284">
        <v>4724.2718282945189</v>
      </c>
      <c r="AG82" s="284">
        <v>4217.0450723163303</v>
      </c>
      <c r="AH82" s="284">
        <v>4030.3835021578079</v>
      </c>
      <c r="AI82" s="284">
        <v>3830.434163753906</v>
      </c>
      <c r="AJ82" s="284">
        <v>3819.4465221372861</v>
      </c>
      <c r="AK82" s="284">
        <v>4120.6665873802085</v>
      </c>
      <c r="AL82" s="284">
        <v>5325.4794209979918</v>
      </c>
      <c r="AM82" s="284">
        <v>6070.839355482276</v>
      </c>
      <c r="AN82" s="284">
        <v>6346.5341258289081</v>
      </c>
      <c r="AO82" s="284">
        <v>5512.6090449770163</v>
      </c>
      <c r="AP82" s="284">
        <v>5585.5030451095317</v>
      </c>
      <c r="AQ82" s="284">
        <v>4487.5228110393391</v>
      </c>
      <c r="AR82" s="284">
        <v>4380.8384954853218</v>
      </c>
      <c r="AS82" s="284">
        <v>3761.1546461300081</v>
      </c>
      <c r="AT82" s="284">
        <v>3516.4243232421968</v>
      </c>
      <c r="AU82" s="284">
        <v>3572.382313675962</v>
      </c>
      <c r="AV82" s="284">
        <v>3868.9740280201004</v>
      </c>
      <c r="AW82" s="284">
        <v>4559.1095188813842</v>
      </c>
      <c r="AX82" s="284">
        <v>5017.2461832140361</v>
      </c>
      <c r="AY82" s="284">
        <v>6547.4275261725334</v>
      </c>
    </row>
    <row r="83" spans="1:51" ht="12.75" hidden="1" customHeight="1" x14ac:dyDescent="0.25">
      <c r="A83" s="59">
        <v>97</v>
      </c>
      <c r="B83" s="39" t="s">
        <v>233</v>
      </c>
      <c r="C83" s="59" t="s">
        <v>234</v>
      </c>
      <c r="D83" s="284">
        <v>1078</v>
      </c>
      <c r="E83" s="284">
        <v>397</v>
      </c>
      <c r="F83" s="284">
        <v>344</v>
      </c>
      <c r="G83" s="284">
        <v>180</v>
      </c>
      <c r="H83" s="284">
        <v>51</v>
      </c>
      <c r="I83" s="284">
        <v>49</v>
      </c>
      <c r="J83" s="284">
        <v>49</v>
      </c>
      <c r="K83" s="284">
        <v>400</v>
      </c>
      <c r="L83" s="284">
        <v>400</v>
      </c>
      <c r="M83" s="284">
        <v>0</v>
      </c>
      <c r="N83" s="284">
        <v>1351</v>
      </c>
      <c r="O83" s="284">
        <v>785</v>
      </c>
      <c r="P83" s="284">
        <v>601</v>
      </c>
      <c r="Q83" s="284">
        <v>407</v>
      </c>
      <c r="R83" s="284">
        <v>378</v>
      </c>
      <c r="S83" s="284">
        <v>344</v>
      </c>
      <c r="T83" s="284">
        <v>290</v>
      </c>
      <c r="U83" s="284">
        <v>254</v>
      </c>
      <c r="V83" s="284">
        <v>265</v>
      </c>
      <c r="W83" s="284">
        <v>317</v>
      </c>
      <c r="X83" s="284">
        <v>379</v>
      </c>
      <c r="Y83" s="284">
        <v>0</v>
      </c>
      <c r="Z83" s="284">
        <v>1200</v>
      </c>
      <c r="AA83" s="284">
        <v>695</v>
      </c>
      <c r="AB83" s="284">
        <v>0</v>
      </c>
      <c r="AC83" s="284">
        <v>1135</v>
      </c>
      <c r="AD83" s="284">
        <v>0</v>
      </c>
      <c r="AE83" s="284">
        <v>544</v>
      </c>
      <c r="AF83" s="284">
        <v>295</v>
      </c>
      <c r="AG83" s="284">
        <v>281</v>
      </c>
      <c r="AH83" s="284">
        <v>261</v>
      </c>
      <c r="AI83" s="284">
        <v>269</v>
      </c>
      <c r="AJ83" s="284">
        <v>320</v>
      </c>
      <c r="AK83" s="284">
        <v>0</v>
      </c>
      <c r="AL83" s="284">
        <v>0</v>
      </c>
      <c r="AM83" s="284">
        <v>336</v>
      </c>
      <c r="AN83" s="284">
        <v>634</v>
      </c>
      <c r="AO83" s="284">
        <v>457</v>
      </c>
      <c r="AP83" s="284">
        <v>388</v>
      </c>
      <c r="AQ83" s="284">
        <v>66</v>
      </c>
      <c r="AR83" s="284">
        <v>10</v>
      </c>
      <c r="AS83" s="284">
        <v>10</v>
      </c>
      <c r="AT83" s="284">
        <v>11</v>
      </c>
      <c r="AU83" s="284">
        <v>10</v>
      </c>
      <c r="AV83" s="284">
        <v>22</v>
      </c>
      <c r="AW83" s="284">
        <v>267</v>
      </c>
      <c r="AX83" s="284">
        <v>117</v>
      </c>
      <c r="AY83" s="284">
        <v>669</v>
      </c>
    </row>
    <row r="84" spans="1:51" ht="12.75" hidden="1" customHeight="1" x14ac:dyDescent="0.25">
      <c r="A84" s="59">
        <v>352</v>
      </c>
      <c r="B84" s="221" t="s">
        <v>3649</v>
      </c>
      <c r="C84" s="59" t="s">
        <v>578</v>
      </c>
      <c r="D84" s="284">
        <v>4099.6551070915993</v>
      </c>
      <c r="E84" s="284">
        <v>2650.1420169563257</v>
      </c>
      <c r="F84" s="284">
        <v>2688.4477504653146</v>
      </c>
      <c r="G84" s="284">
        <v>4184.7124640133889</v>
      </c>
      <c r="H84" s="284">
        <v>3207.5149176344212</v>
      </c>
      <c r="I84" s="284">
        <v>2862.5723337266895</v>
      </c>
      <c r="J84" s="284">
        <v>2767.2919532249603</v>
      </c>
      <c r="K84" s="284">
        <v>2449.2186686347586</v>
      </c>
      <c r="L84" s="284">
        <v>2209.0442899559553</v>
      </c>
      <c r="M84" s="284">
        <v>906.1219419118961</v>
      </c>
      <c r="N84" s="284">
        <v>3958.9422804809701</v>
      </c>
      <c r="O84" s="284">
        <v>2540.6281136849188</v>
      </c>
      <c r="P84" s="284">
        <v>2574.712792950304</v>
      </c>
      <c r="Q84" s="284">
        <v>2604.2186270426032</v>
      </c>
      <c r="R84" s="284">
        <v>2795.2143857749547</v>
      </c>
      <c r="S84" s="284">
        <v>2563.6824306569051</v>
      </c>
      <c r="T84" s="284">
        <v>3265.1706374632413</v>
      </c>
      <c r="U84" s="284">
        <v>3212.7677170663164</v>
      </c>
      <c r="V84" s="284">
        <v>3053.5264109840732</v>
      </c>
      <c r="W84" s="284">
        <v>2489.981072247735</v>
      </c>
      <c r="X84" s="284">
        <v>2020.7644432915554</v>
      </c>
      <c r="Y84" s="284">
        <v>909.71094064303816</v>
      </c>
      <c r="Z84" s="284">
        <v>4188.3925310083641</v>
      </c>
      <c r="AA84" s="284">
        <v>2621.4254114133582</v>
      </c>
      <c r="AB84" s="284">
        <v>1340.8765789389154</v>
      </c>
      <c r="AC84" s="284">
        <v>3570.5170115078627</v>
      </c>
      <c r="AD84" s="284">
        <v>1218.8467221609012</v>
      </c>
      <c r="AE84" s="284">
        <v>4286.9611006329251</v>
      </c>
      <c r="AF84" s="284">
        <v>2780.870152530943</v>
      </c>
      <c r="AG84" s="284">
        <v>2531.4490641816892</v>
      </c>
      <c r="AH84" s="284">
        <v>2487.1309489001246</v>
      </c>
      <c r="AI84" s="284">
        <v>2545.4130781000367</v>
      </c>
      <c r="AJ84" s="284">
        <v>2227.1078240637512</v>
      </c>
      <c r="AK84" s="284">
        <v>810.52570648908068</v>
      </c>
      <c r="AL84" s="284">
        <v>971.6401636772041</v>
      </c>
      <c r="AM84" s="284">
        <v>4420.586253209085</v>
      </c>
      <c r="AN84" s="284">
        <v>3371.5514905798127</v>
      </c>
      <c r="AO84" s="284">
        <v>2553.4392839460684</v>
      </c>
      <c r="AP84" s="284">
        <v>3068.9043266487224</v>
      </c>
      <c r="AQ84" s="284">
        <v>3113.2345011647162</v>
      </c>
      <c r="AR84" s="284">
        <v>3111.5537133390617</v>
      </c>
      <c r="AS84" s="284">
        <v>2864.9302111418497</v>
      </c>
      <c r="AT84" s="284">
        <v>2868.3169410661676</v>
      </c>
      <c r="AU84" s="284">
        <v>2700.3758571666995</v>
      </c>
      <c r="AV84" s="284">
        <v>3409.9102342257161</v>
      </c>
      <c r="AW84" s="284">
        <v>3529.8547475042765</v>
      </c>
      <c r="AX84" s="284">
        <v>3478.5601604933354</v>
      </c>
      <c r="AY84" s="284">
        <v>2879.9851782276801</v>
      </c>
    </row>
    <row r="85" spans="1:51" ht="12.75" hidden="1" customHeight="1" x14ac:dyDescent="0.25">
      <c r="A85" s="59">
        <v>42</v>
      </c>
      <c r="B85" s="39" t="s">
        <v>113</v>
      </c>
      <c r="C85" s="59" t="s">
        <v>114</v>
      </c>
      <c r="D85" s="284">
        <v>0</v>
      </c>
      <c r="E85" s="284">
        <v>0</v>
      </c>
      <c r="F85" s="284">
        <v>0</v>
      </c>
      <c r="G85" s="284">
        <v>0</v>
      </c>
      <c r="H85" s="284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>
        <v>0</v>
      </c>
      <c r="U85" s="284">
        <v>0</v>
      </c>
      <c r="V85" s="284">
        <v>0</v>
      </c>
      <c r="W85" s="284"/>
      <c r="X85" s="284"/>
      <c r="Y85" s="284"/>
      <c r="Z85" s="284"/>
      <c r="AA85" s="284"/>
      <c r="AB85" s="284">
        <v>0</v>
      </c>
      <c r="AC85" s="284">
        <v>0</v>
      </c>
      <c r="AD85" s="284">
        <v>0</v>
      </c>
      <c r="AE85" s="284">
        <v>0</v>
      </c>
      <c r="AF85" s="284">
        <v>0</v>
      </c>
      <c r="AG85" s="284">
        <v>0</v>
      </c>
      <c r="AH85" s="284">
        <v>0</v>
      </c>
      <c r="AI85" s="284">
        <v>0</v>
      </c>
      <c r="AJ85" s="284">
        <v>0</v>
      </c>
      <c r="AK85" s="284">
        <v>0</v>
      </c>
      <c r="AL85" s="284">
        <v>0</v>
      </c>
      <c r="AM85" s="284">
        <v>0</v>
      </c>
      <c r="AN85" s="284">
        <v>0</v>
      </c>
      <c r="AO85" s="284">
        <v>0</v>
      </c>
      <c r="AP85" s="284">
        <v>0</v>
      </c>
      <c r="AQ85" s="284">
        <v>0</v>
      </c>
      <c r="AR85" s="284">
        <v>0</v>
      </c>
      <c r="AS85" s="284">
        <v>0</v>
      </c>
      <c r="AT85" s="284">
        <v>0</v>
      </c>
      <c r="AU85" s="284">
        <v>0</v>
      </c>
      <c r="AV85" s="284">
        <v>0</v>
      </c>
      <c r="AW85" s="284">
        <v>0</v>
      </c>
      <c r="AX85" s="284">
        <v>0</v>
      </c>
      <c r="AY85" s="284">
        <v>0</v>
      </c>
    </row>
    <row r="86" spans="1:51" ht="12.75" hidden="1" customHeight="1" x14ac:dyDescent="0.25">
      <c r="A86" s="59">
        <v>228</v>
      </c>
      <c r="B86" s="39" t="s">
        <v>3599</v>
      </c>
      <c r="C86" s="59" t="s">
        <v>434</v>
      </c>
      <c r="D86" s="284">
        <v>1608.325164418947</v>
      </c>
      <c r="E86" s="284">
        <v>1923.1362721567168</v>
      </c>
      <c r="F86" s="284">
        <v>2055.4866793384417</v>
      </c>
      <c r="G86" s="284">
        <v>1652.4183102658635</v>
      </c>
      <c r="H86" s="284">
        <v>1780.0858363937368</v>
      </c>
      <c r="I86" s="284">
        <v>1133.8358700077213</v>
      </c>
      <c r="J86" s="284">
        <v>848.9054789608299</v>
      </c>
      <c r="K86" s="284">
        <v>788.83826612407938</v>
      </c>
      <c r="L86" s="284">
        <v>1046.4674484624338</v>
      </c>
      <c r="M86" s="284">
        <v>1375.6609337466309</v>
      </c>
      <c r="N86" s="284">
        <v>1948.3658542086932</v>
      </c>
      <c r="O86" s="284">
        <v>2365.6641459010348</v>
      </c>
      <c r="P86" s="284">
        <v>2812.3630344853127</v>
      </c>
      <c r="Q86" s="284">
        <v>2611.8200670399087</v>
      </c>
      <c r="R86" s="284">
        <v>2236.5917983830532</v>
      </c>
      <c r="S86" s="284">
        <v>1844.0883411367772</v>
      </c>
      <c r="T86" s="284">
        <v>1830.6968292470974</v>
      </c>
      <c r="U86" s="284">
        <v>1361.1075450510928</v>
      </c>
      <c r="V86" s="284">
        <v>1016.2311630237176</v>
      </c>
      <c r="W86" s="284">
        <v>852.15651096892407</v>
      </c>
      <c r="X86" s="284">
        <v>780.11177084938231</v>
      </c>
      <c r="Y86" s="284">
        <v>1670.644229199745</v>
      </c>
      <c r="Z86" s="284">
        <v>2185.1041933413712</v>
      </c>
      <c r="AA86" s="284">
        <v>2779.3244364953093</v>
      </c>
      <c r="AB86" s="284">
        <v>2431.2075029833964</v>
      </c>
      <c r="AC86" s="284">
        <v>2076.862281448799</v>
      </c>
      <c r="AD86" s="284">
        <v>2153.8951385653259</v>
      </c>
      <c r="AE86" s="284">
        <v>1426.4188802309202</v>
      </c>
      <c r="AF86" s="284">
        <v>682.52802766434968</v>
      </c>
      <c r="AG86" s="284">
        <v>612.03037459903089</v>
      </c>
      <c r="AH86" s="284">
        <v>588.14447293677995</v>
      </c>
      <c r="AI86" s="284">
        <v>592.40493201677418</v>
      </c>
      <c r="AJ86" s="284">
        <v>604.4114990687093</v>
      </c>
      <c r="AK86" s="284">
        <v>891.22545779341999</v>
      </c>
      <c r="AL86" s="284">
        <v>1579.2014137337949</v>
      </c>
      <c r="AM86" s="284">
        <v>1946.8790460270309</v>
      </c>
      <c r="AN86" s="284">
        <v>2109.3959295657833</v>
      </c>
      <c r="AO86" s="284">
        <v>1980.5068893119251</v>
      </c>
      <c r="AP86" s="284">
        <v>2154.9423863449033</v>
      </c>
      <c r="AQ86" s="284">
        <v>1666.7783958083626</v>
      </c>
      <c r="AR86" s="284">
        <v>1511.115734010802</v>
      </c>
      <c r="AS86" s="284">
        <v>1135.1533985574579</v>
      </c>
      <c r="AT86" s="284">
        <v>1019.9665051372705</v>
      </c>
      <c r="AU86" s="284">
        <v>1053.7244080353582</v>
      </c>
      <c r="AV86" s="284">
        <v>1183.6970830875007</v>
      </c>
      <c r="AW86" s="284">
        <v>1897.6144571432751</v>
      </c>
      <c r="AX86" s="284">
        <v>2176.4256888467426</v>
      </c>
      <c r="AY86" s="284">
        <v>2661.9898959594238</v>
      </c>
    </row>
    <row r="87" spans="1:51" ht="12.75" hidden="1" customHeight="1" x14ac:dyDescent="0.25">
      <c r="A87" s="59">
        <v>228.1</v>
      </c>
      <c r="B87" s="39" t="s">
        <v>3600</v>
      </c>
      <c r="C87" s="59" t="s">
        <v>434</v>
      </c>
      <c r="D87" s="284">
        <v>0</v>
      </c>
      <c r="E87" s="284">
        <v>0</v>
      </c>
      <c r="F87" s="284">
        <v>0</v>
      </c>
      <c r="G87" s="284">
        <v>0</v>
      </c>
      <c r="H87" s="284">
        <v>0</v>
      </c>
      <c r="I87" s="284">
        <v>0</v>
      </c>
      <c r="J87" s="284">
        <v>0</v>
      </c>
      <c r="K87" s="284">
        <v>0</v>
      </c>
      <c r="L87" s="284">
        <v>0</v>
      </c>
      <c r="M87" s="284">
        <v>0</v>
      </c>
      <c r="N87" s="284">
        <v>0</v>
      </c>
      <c r="O87" s="284">
        <v>0</v>
      </c>
      <c r="P87" s="284">
        <v>0</v>
      </c>
      <c r="Q87" s="284">
        <v>0</v>
      </c>
      <c r="R87" s="284">
        <v>0</v>
      </c>
      <c r="S87" s="284">
        <v>0</v>
      </c>
      <c r="T87" s="284">
        <v>0</v>
      </c>
      <c r="U87" s="284">
        <v>0</v>
      </c>
      <c r="V87" s="284">
        <v>0</v>
      </c>
      <c r="W87" s="284">
        <v>0</v>
      </c>
      <c r="X87" s="284">
        <v>0</v>
      </c>
      <c r="Y87" s="284">
        <v>0</v>
      </c>
      <c r="Z87" s="284">
        <v>0</v>
      </c>
      <c r="AA87" s="284">
        <v>0</v>
      </c>
      <c r="AB87" s="284">
        <v>0</v>
      </c>
      <c r="AC87" s="284">
        <v>0</v>
      </c>
      <c r="AD87" s="284">
        <v>0</v>
      </c>
      <c r="AE87" s="284">
        <v>0</v>
      </c>
      <c r="AF87" s="284">
        <v>0</v>
      </c>
      <c r="AG87" s="284">
        <v>0</v>
      </c>
      <c r="AH87" s="284">
        <v>0</v>
      </c>
      <c r="AI87" s="284">
        <v>0</v>
      </c>
      <c r="AJ87" s="284">
        <v>0</v>
      </c>
      <c r="AK87" s="284">
        <v>0</v>
      </c>
      <c r="AL87" s="284">
        <v>0</v>
      </c>
      <c r="AM87" s="284">
        <v>0</v>
      </c>
      <c r="AN87" s="284">
        <v>0</v>
      </c>
      <c r="AO87" s="284">
        <v>0</v>
      </c>
      <c r="AP87" s="284">
        <v>0</v>
      </c>
      <c r="AQ87" s="284">
        <v>0</v>
      </c>
      <c r="AR87" s="284">
        <v>0</v>
      </c>
      <c r="AS87" s="284">
        <v>0</v>
      </c>
      <c r="AT87" s="284">
        <v>0</v>
      </c>
      <c r="AU87" s="284">
        <v>0</v>
      </c>
      <c r="AV87" s="284">
        <v>0</v>
      </c>
      <c r="AW87" s="284">
        <v>0</v>
      </c>
      <c r="AX87" s="284">
        <v>0</v>
      </c>
      <c r="AY87" s="284">
        <v>0</v>
      </c>
    </row>
    <row r="88" spans="1:51" ht="12.75" hidden="1" customHeight="1" x14ac:dyDescent="0.25">
      <c r="A88" s="59">
        <v>154</v>
      </c>
      <c r="B88" s="221" t="s">
        <v>3587</v>
      </c>
      <c r="C88" s="59" t="s">
        <v>346</v>
      </c>
      <c r="D88" s="284">
        <v>3771.9476475065853</v>
      </c>
      <c r="E88" s="284">
        <v>2677.8786654599467</v>
      </c>
      <c r="F88" s="284">
        <v>2747.2804603798359</v>
      </c>
      <c r="G88" s="284">
        <v>2306.6010761821835</v>
      </c>
      <c r="H88" s="284">
        <v>1754.6495121284167</v>
      </c>
      <c r="I88" s="284">
        <v>1592.354608269841</v>
      </c>
      <c r="J88" s="284">
        <v>1458.860146768845</v>
      </c>
      <c r="K88" s="284">
        <v>1673.2864302221512</v>
      </c>
      <c r="L88" s="284">
        <v>1513.2726651384096</v>
      </c>
      <c r="M88" s="284">
        <v>692.0773664160007</v>
      </c>
      <c r="N88" s="284">
        <v>2070.2184168394142</v>
      </c>
      <c r="O88" s="284">
        <v>2108.3174496865454</v>
      </c>
      <c r="P88" s="284">
        <v>2087.6201027176321</v>
      </c>
      <c r="Q88" s="284">
        <v>1965.5372583709677</v>
      </c>
      <c r="R88" s="284">
        <v>1802.264101214043</v>
      </c>
      <c r="S88" s="284">
        <v>1449.6550915187086</v>
      </c>
      <c r="T88" s="284">
        <v>1421.2980244223793</v>
      </c>
      <c r="U88" s="284">
        <v>1214.1419036457607</v>
      </c>
      <c r="V88" s="284">
        <v>1339.0325790604029</v>
      </c>
      <c r="W88" s="284">
        <v>1411.341600671876</v>
      </c>
      <c r="X88" s="284">
        <v>1458.4120727946531</v>
      </c>
      <c r="Y88" s="284">
        <v>701.34606362243903</v>
      </c>
      <c r="Z88" s="284">
        <v>2099.4661620133948</v>
      </c>
      <c r="AA88" s="284">
        <v>1739.2150206425601</v>
      </c>
      <c r="AB88" s="284">
        <v>920.65761598177107</v>
      </c>
      <c r="AC88" s="284">
        <v>1524.3325255636869</v>
      </c>
      <c r="AD88" s="284">
        <v>869.19956827969202</v>
      </c>
      <c r="AE88" s="284">
        <v>706.33722078230437</v>
      </c>
      <c r="AF88" s="284">
        <v>612.77925488188544</v>
      </c>
      <c r="AG88" s="284">
        <v>550.40192886829129</v>
      </c>
      <c r="AH88" s="284">
        <v>506.5677164096802</v>
      </c>
      <c r="AI88" s="284">
        <v>440.81929741549186</v>
      </c>
      <c r="AJ88" s="284">
        <v>422.15392591792772</v>
      </c>
      <c r="AK88" s="284">
        <v>424.15263441102041</v>
      </c>
      <c r="AL88" s="284">
        <v>549.50984529938216</v>
      </c>
      <c r="AM88" s="284">
        <v>566.10860195470332</v>
      </c>
      <c r="AN88" s="284">
        <v>550.70116390078329</v>
      </c>
      <c r="AO88" s="284">
        <v>444.66234951088359</v>
      </c>
      <c r="AP88" s="284">
        <v>861.79816376727422</v>
      </c>
      <c r="AQ88" s="284">
        <v>743.55641735994743</v>
      </c>
      <c r="AR88" s="284">
        <v>799.27234536423543</v>
      </c>
      <c r="AS88" s="284">
        <v>681.9240609758217</v>
      </c>
      <c r="AT88" s="284">
        <v>1079.7210301139291</v>
      </c>
      <c r="AU88" s="284">
        <v>1410.4656844268716</v>
      </c>
      <c r="AV88" s="284">
        <v>1417.6161915930238</v>
      </c>
      <c r="AW88" s="284">
        <v>1438.9857831700228</v>
      </c>
      <c r="AX88" s="284">
        <v>1399.4708363791137</v>
      </c>
      <c r="AY88" s="284">
        <v>2065.0351940552978</v>
      </c>
    </row>
    <row r="89" spans="1:51" ht="12.75" hidden="1" customHeight="1" x14ac:dyDescent="0.25">
      <c r="A89" s="59">
        <v>7</v>
      </c>
      <c r="B89" s="39" t="s">
        <v>32</v>
      </c>
      <c r="C89" s="59" t="s">
        <v>33</v>
      </c>
      <c r="D89" s="284">
        <v>5630.7182911396767</v>
      </c>
      <c r="E89" s="284">
        <v>6480.3779878970854</v>
      </c>
      <c r="F89" s="284">
        <v>7087.3144844420294</v>
      </c>
      <c r="G89" s="284">
        <v>6006.6616770813862</v>
      </c>
      <c r="H89" s="284">
        <v>6313.8649191855429</v>
      </c>
      <c r="I89" s="284">
        <v>4718.8705876152135</v>
      </c>
      <c r="J89" s="284">
        <v>3566.031346446131</v>
      </c>
      <c r="K89" s="284">
        <v>3890.1339782367463</v>
      </c>
      <c r="L89" s="284">
        <v>3378.2616197624043</v>
      </c>
      <c r="M89" s="284">
        <v>3651.5980334159699</v>
      </c>
      <c r="N89" s="284">
        <v>4496.5479959087534</v>
      </c>
      <c r="O89" s="284">
        <v>6818.6363068951659</v>
      </c>
      <c r="P89" s="284">
        <v>6688.3260439121304</v>
      </c>
      <c r="Q89" s="284">
        <v>5453.238038507111</v>
      </c>
      <c r="R89" s="284">
        <v>5478.178212637391</v>
      </c>
      <c r="S89" s="284">
        <v>4477.7468728480562</v>
      </c>
      <c r="T89" s="284">
        <v>4544.4546011570101</v>
      </c>
      <c r="U89" s="284">
        <v>3425.058257628285</v>
      </c>
      <c r="V89" s="284">
        <v>2833.5374117675156</v>
      </c>
      <c r="W89" s="284">
        <v>3051.4956190413004</v>
      </c>
      <c r="X89" s="284">
        <v>3162.6694535001934</v>
      </c>
      <c r="Y89" s="284">
        <v>3700.502329573827</v>
      </c>
      <c r="Z89" s="284">
        <v>4439.81602563669</v>
      </c>
      <c r="AA89" s="284">
        <v>5224.6575274705137</v>
      </c>
      <c r="AB89" s="284">
        <v>4857.6527756980331</v>
      </c>
      <c r="AC89" s="284">
        <v>4391.6243486419526</v>
      </c>
      <c r="AD89" s="284">
        <v>4586.1454054087553</v>
      </c>
      <c r="AE89" s="284">
        <v>3726.8371016005708</v>
      </c>
      <c r="AF89" s="284">
        <v>3233.1985275469669</v>
      </c>
      <c r="AG89" s="284">
        <v>2904.077923328171</v>
      </c>
      <c r="AH89" s="284">
        <v>2672.7960872538088</v>
      </c>
      <c r="AI89" s="284">
        <v>2325.8886327553269</v>
      </c>
      <c r="AJ89" s="284">
        <v>2227.4047967552428</v>
      </c>
      <c r="AK89" s="284">
        <v>2237.9505541472886</v>
      </c>
      <c r="AL89" s="284">
        <v>2899.3710353934584</v>
      </c>
      <c r="AM89" s="284">
        <v>2986.9508206905948</v>
      </c>
      <c r="AN89" s="284">
        <v>2905.6567729036678</v>
      </c>
      <c r="AO89" s="284">
        <v>2346.1656742463979</v>
      </c>
      <c r="AP89" s="284">
        <v>4536.5409075667358</v>
      </c>
      <c r="AQ89" s="284">
        <v>3923.2162228136604</v>
      </c>
      <c r="AR89" s="284">
        <v>4217.1893868025418</v>
      </c>
      <c r="AS89" s="284">
        <v>3302.5542822811854</v>
      </c>
      <c r="AT89" s="284">
        <v>3206.5098876469269</v>
      </c>
      <c r="AU89" s="284">
        <v>3416.2140458388317</v>
      </c>
      <c r="AV89" s="284">
        <v>3807.4533194866895</v>
      </c>
      <c r="AW89" s="284">
        <v>4949.0811394877664</v>
      </c>
      <c r="AX89" s="284">
        <v>5721.9781567579803</v>
      </c>
      <c r="AY89" s="284">
        <v>7856.5753630370164</v>
      </c>
    </row>
    <row r="90" spans="1:51" ht="12.75" hidden="1" customHeight="1" x14ac:dyDescent="0.25">
      <c r="A90" s="59">
        <v>166</v>
      </c>
      <c r="B90" s="39" t="s">
        <v>3589</v>
      </c>
      <c r="C90" s="59" t="s">
        <v>366</v>
      </c>
      <c r="D90" s="284">
        <v>3005.3692152772364</v>
      </c>
      <c r="E90" s="284">
        <v>3001.8120797024267</v>
      </c>
      <c r="F90" s="284">
        <v>3104.0261320618683</v>
      </c>
      <c r="G90" s="284">
        <v>2672.5795426029836</v>
      </c>
      <c r="H90" s="284">
        <v>2771.7386405284665</v>
      </c>
      <c r="I90" s="284">
        <v>2235.4850760501768</v>
      </c>
      <c r="J90" s="284">
        <v>1930.6632823637617</v>
      </c>
      <c r="K90" s="284">
        <v>1977.1392396239535</v>
      </c>
      <c r="L90" s="284">
        <v>2419.9476561782208</v>
      </c>
      <c r="M90" s="284">
        <v>3021.4144956090577</v>
      </c>
      <c r="N90" s="284">
        <v>3297.9600295417677</v>
      </c>
      <c r="O90" s="284">
        <v>3404.1265350005287</v>
      </c>
      <c r="P90" s="284">
        <v>4085.5667002997152</v>
      </c>
      <c r="Q90" s="284">
        <v>4432.5350145965986</v>
      </c>
      <c r="R90" s="284">
        <v>3932.4008340636519</v>
      </c>
      <c r="S90" s="284">
        <v>3667.1881704293633</v>
      </c>
      <c r="T90" s="284">
        <v>3918.641491568922</v>
      </c>
      <c r="U90" s="284">
        <v>2989.5678372872076</v>
      </c>
      <c r="V90" s="284">
        <v>2682.0418509910646</v>
      </c>
      <c r="W90" s="284">
        <v>2618.8702894104872</v>
      </c>
      <c r="X90" s="284">
        <v>2550.9888832716119</v>
      </c>
      <c r="Y90" s="284">
        <v>3215.8971882013379</v>
      </c>
      <c r="Z90" s="284">
        <v>4114.2416173195925</v>
      </c>
      <c r="AA90" s="284">
        <v>4913.505145124529</v>
      </c>
      <c r="AB90" s="284">
        <v>5137.1563466389771</v>
      </c>
      <c r="AC90" s="284">
        <v>4642.341212567474</v>
      </c>
      <c r="AD90" s="284">
        <v>4435.5572615271685</v>
      </c>
      <c r="AE90" s="284">
        <v>3668.6135571425775</v>
      </c>
      <c r="AF90" s="284">
        <v>3248.2842752581269</v>
      </c>
      <c r="AG90" s="284">
        <v>2904.2568388752034</v>
      </c>
      <c r="AH90" s="284">
        <v>2644.1735203923922</v>
      </c>
      <c r="AI90" s="284">
        <v>2641.2276238436339</v>
      </c>
      <c r="AJ90" s="284">
        <v>2582.2521526122969</v>
      </c>
      <c r="AK90" s="284">
        <v>2477.8189077387888</v>
      </c>
      <c r="AL90" s="284">
        <v>3214.3035981591206</v>
      </c>
      <c r="AM90" s="284">
        <v>3713.8858626446045</v>
      </c>
      <c r="AN90" s="284">
        <v>3856.6750649467126</v>
      </c>
      <c r="AO90" s="284">
        <v>3314.2135657208632</v>
      </c>
      <c r="AP90" s="284">
        <v>3358.6471414092093</v>
      </c>
      <c r="AQ90" s="284">
        <v>2697.813767617235</v>
      </c>
      <c r="AR90" s="284">
        <v>2633.6628811930614</v>
      </c>
      <c r="AS90" s="284">
        <v>2579.1849024405396</v>
      </c>
      <c r="AT90" s="284">
        <v>2461.6135854595486</v>
      </c>
      <c r="AU90" s="284">
        <v>2473.3319296082827</v>
      </c>
      <c r="AV90" s="284">
        <v>2748.3036025437027</v>
      </c>
      <c r="AW90" s="284">
        <v>3098.8099320432289</v>
      </c>
      <c r="AX90" s="284">
        <v>3432.6014202605675</v>
      </c>
      <c r="AY90" s="284">
        <v>4161.9187856389608</v>
      </c>
    </row>
    <row r="91" spans="1:51" ht="12.75" hidden="1" customHeight="1" x14ac:dyDescent="0.25">
      <c r="A91" s="59">
        <v>40.1</v>
      </c>
      <c r="B91" s="39" t="s">
        <v>107</v>
      </c>
      <c r="C91" s="59" t="s">
        <v>108</v>
      </c>
      <c r="D91" s="284">
        <v>1070.2271799726884</v>
      </c>
      <c r="E91" s="284">
        <v>1122.1129310695048</v>
      </c>
      <c r="F91" s="284">
        <v>1174.0302072783961</v>
      </c>
      <c r="G91" s="284">
        <v>967.98005719954949</v>
      </c>
      <c r="H91" s="284">
        <v>1003.3708493319035</v>
      </c>
      <c r="I91" s="284">
        <v>784.47138346773079</v>
      </c>
      <c r="J91" s="284">
        <v>649.42719600066141</v>
      </c>
      <c r="K91" s="284">
        <v>662.39711741847884</v>
      </c>
      <c r="L91" s="284">
        <v>875.36753018882553</v>
      </c>
      <c r="M91" s="284">
        <v>1126.8385861107749</v>
      </c>
      <c r="N91" s="284">
        <v>1226.2300463284869</v>
      </c>
      <c r="O91" s="284">
        <v>1299.2696793855919</v>
      </c>
      <c r="P91" s="284">
        <v>1652.4702591423822</v>
      </c>
      <c r="Q91" s="284">
        <v>1733.4563231697732</v>
      </c>
      <c r="R91" s="284">
        <v>1492.7935864524707</v>
      </c>
      <c r="S91" s="284">
        <v>1371.3305213824278</v>
      </c>
      <c r="T91" s="284">
        <v>1471.1471691119432</v>
      </c>
      <c r="U91" s="284">
        <v>1105.2077266964386</v>
      </c>
      <c r="V91" s="284">
        <v>969.15048768146289</v>
      </c>
      <c r="W91" s="284">
        <v>949.25733938578674</v>
      </c>
      <c r="X91" s="284">
        <v>923.90552979448387</v>
      </c>
      <c r="Y91" s="284">
        <v>1204.8952509299643</v>
      </c>
      <c r="Z91" s="284">
        <v>1550.8124378484301</v>
      </c>
      <c r="AA91" s="284">
        <v>1917.4263936096074</v>
      </c>
      <c r="AB91" s="284">
        <v>2026.2397390861054</v>
      </c>
      <c r="AC91" s="284">
        <v>1787.7160742256008</v>
      </c>
      <c r="AD91" s="284">
        <v>1732.5977853491695</v>
      </c>
      <c r="AE91" s="284">
        <v>1397.7259744561611</v>
      </c>
      <c r="AF91" s="284">
        <v>1229.781715597102</v>
      </c>
      <c r="AG91" s="284">
        <v>1097.156179620903</v>
      </c>
      <c r="AH91" s="284">
        <v>1049.7324388869222</v>
      </c>
      <c r="AI91" s="284">
        <v>999.1379919544861</v>
      </c>
      <c r="AJ91" s="284">
        <v>996.56080490559509</v>
      </c>
      <c r="AK91" s="284">
        <v>1063.2869069033281</v>
      </c>
      <c r="AL91" s="284">
        <v>1374.1739161018438</v>
      </c>
      <c r="AM91" s="284">
        <v>1589.2467653793074</v>
      </c>
      <c r="AN91" s="284">
        <v>1650.3863816028236</v>
      </c>
      <c r="AO91" s="284">
        <v>1432.2023571239461</v>
      </c>
      <c r="AP91" s="284">
        <v>1451.2697873985144</v>
      </c>
      <c r="AQ91" s="284">
        <v>1167.6915679397769</v>
      </c>
      <c r="AR91" s="284">
        <v>1140.1630034478246</v>
      </c>
      <c r="AS91" s="284">
        <v>979.51930925846068</v>
      </c>
      <c r="AT91" s="284">
        <v>927.11164707197645</v>
      </c>
      <c r="AU91" s="284">
        <v>932.55091249254338</v>
      </c>
      <c r="AV91" s="284">
        <v>1009.3407635409415</v>
      </c>
      <c r="AW91" s="284">
        <v>1187.1636300546481</v>
      </c>
      <c r="AX91" s="284">
        <v>1305.6381519097527</v>
      </c>
      <c r="AY91" s="284">
        <v>1701.2244320102138</v>
      </c>
    </row>
    <row r="92" spans="1:51" ht="12.75" hidden="1" customHeight="1" x14ac:dyDescent="0.25">
      <c r="A92" s="59">
        <v>220</v>
      </c>
      <c r="B92" s="39" t="s">
        <v>3594</v>
      </c>
      <c r="C92" s="347" t="s">
        <v>420</v>
      </c>
      <c r="D92" s="284">
        <v>0</v>
      </c>
      <c r="E92" s="284">
        <v>0</v>
      </c>
      <c r="F92" s="284">
        <v>0</v>
      </c>
      <c r="G92" s="284">
        <v>0</v>
      </c>
      <c r="H92" s="284">
        <v>0</v>
      </c>
      <c r="I92" s="284">
        <v>0</v>
      </c>
      <c r="J92" s="284">
        <v>0</v>
      </c>
      <c r="K92" s="284">
        <v>0</v>
      </c>
      <c r="L92" s="284">
        <v>0</v>
      </c>
      <c r="M92" s="284">
        <v>0</v>
      </c>
      <c r="N92" s="284">
        <v>0</v>
      </c>
      <c r="O92" s="284">
        <v>0</v>
      </c>
      <c r="P92" s="284">
        <v>0</v>
      </c>
      <c r="Q92" s="284">
        <v>0</v>
      </c>
      <c r="R92" s="284">
        <v>0</v>
      </c>
      <c r="S92" s="284">
        <v>0</v>
      </c>
      <c r="T92" s="284">
        <v>0</v>
      </c>
      <c r="U92" s="284">
        <v>0</v>
      </c>
      <c r="V92" s="284">
        <v>0</v>
      </c>
      <c r="W92" s="284">
        <v>0</v>
      </c>
      <c r="X92" s="284">
        <v>0</v>
      </c>
      <c r="Y92" s="284">
        <v>0</v>
      </c>
      <c r="Z92" s="284">
        <v>0</v>
      </c>
      <c r="AA92" s="284">
        <v>0</v>
      </c>
      <c r="AB92" s="284">
        <v>0</v>
      </c>
      <c r="AC92" s="284">
        <v>0</v>
      </c>
      <c r="AD92" s="284">
        <v>0</v>
      </c>
      <c r="AE92" s="284">
        <v>0</v>
      </c>
      <c r="AF92" s="284">
        <v>0</v>
      </c>
      <c r="AG92" s="284">
        <v>0</v>
      </c>
      <c r="AH92" s="284">
        <v>0</v>
      </c>
      <c r="AI92" s="284">
        <v>0</v>
      </c>
      <c r="AJ92" s="284">
        <v>0</v>
      </c>
      <c r="AK92" s="284">
        <v>0</v>
      </c>
      <c r="AL92" s="284">
        <v>0</v>
      </c>
      <c r="AM92" s="284">
        <v>0</v>
      </c>
      <c r="AN92" s="284">
        <v>0</v>
      </c>
      <c r="AO92" s="284">
        <v>0</v>
      </c>
      <c r="AP92" s="284">
        <v>0</v>
      </c>
      <c r="AQ92" s="284">
        <v>0</v>
      </c>
      <c r="AR92" s="284">
        <v>0</v>
      </c>
      <c r="AS92" s="284">
        <v>0</v>
      </c>
      <c r="AT92" s="284">
        <v>0</v>
      </c>
      <c r="AU92" s="284">
        <v>0</v>
      </c>
      <c r="AV92" s="284">
        <v>0</v>
      </c>
      <c r="AW92" s="284">
        <v>0</v>
      </c>
      <c r="AX92" s="284">
        <v>0</v>
      </c>
      <c r="AY92" s="284">
        <v>0</v>
      </c>
    </row>
    <row r="93" spans="1:51" ht="12.75" hidden="1" customHeight="1" x14ac:dyDescent="0.25">
      <c r="A93" s="59">
        <v>250</v>
      </c>
      <c r="B93" s="39" t="s">
        <v>3603</v>
      </c>
      <c r="C93" s="59" t="s">
        <v>450</v>
      </c>
      <c r="D93" s="284">
        <v>10136.579566227856</v>
      </c>
      <c r="E93" s="284">
        <v>11552.150671808327</v>
      </c>
      <c r="F93" s="284">
        <v>12761.545822187554</v>
      </c>
      <c r="G93" s="284">
        <v>10207.150402640778</v>
      </c>
      <c r="H93" s="284">
        <v>11219.112971996105</v>
      </c>
      <c r="I93" s="284">
        <v>7146.0782717583743</v>
      </c>
      <c r="J93" s="284">
        <v>5350.2849560909663</v>
      </c>
      <c r="K93" s="284">
        <v>4971.7072308203178</v>
      </c>
      <c r="L93" s="284">
        <v>6595.4328076680968</v>
      </c>
      <c r="M93" s="284">
        <v>8670.1973080871867</v>
      </c>
      <c r="N93" s="284">
        <v>12279.709316395038</v>
      </c>
      <c r="O93" s="284">
        <v>14909.760396966534</v>
      </c>
      <c r="P93" s="284">
        <v>17725.110754253237</v>
      </c>
      <c r="Q93" s="284">
        <v>16461.17495884946</v>
      </c>
      <c r="R93" s="284">
        <v>14096.273081490432</v>
      </c>
      <c r="S93" s="284">
        <v>11622.493144189139</v>
      </c>
      <c r="T93" s="284">
        <v>11538.092222792831</v>
      </c>
      <c r="U93" s="284">
        <v>8578.4735784992936</v>
      </c>
      <c r="V93" s="284">
        <v>6404.8665466176135</v>
      </c>
      <c r="W93" s="284">
        <v>5370.7748081130876</v>
      </c>
      <c r="X93" s="284">
        <v>4916.7078963304939</v>
      </c>
      <c r="Y93" s="284">
        <v>10529.349742693814</v>
      </c>
      <c r="Z93" s="284">
        <v>13771.768922303145</v>
      </c>
      <c r="AA93" s="284">
        <v>17516.882726307613</v>
      </c>
      <c r="AB93" s="284">
        <v>15322.851896621751</v>
      </c>
      <c r="AC93" s="284">
        <v>13089.566854852386</v>
      </c>
      <c r="AD93" s="284">
        <v>13575.071715840895</v>
      </c>
      <c r="AE93" s="284">
        <v>8990.1027442134764</v>
      </c>
      <c r="AF93" s="284">
        <v>4301.6796675563755</v>
      </c>
      <c r="AG93" s="284">
        <v>3857.3633779538914</v>
      </c>
      <c r="AH93" s="284">
        <v>3706.82084584225</v>
      </c>
      <c r="AI93" s="284">
        <v>3733.6726811604035</v>
      </c>
      <c r="AJ93" s="284">
        <v>3809.3448928074549</v>
      </c>
      <c r="AK93" s="284">
        <v>5617.0095228439877</v>
      </c>
      <c r="AL93" s="284">
        <v>9953.0251317029924</v>
      </c>
      <c r="AM93" s="284">
        <v>12270.338605940111</v>
      </c>
      <c r="AN93" s="284">
        <v>13294.612401619424</v>
      </c>
      <c r="AO93" s="284">
        <v>12482.280392737384</v>
      </c>
      <c r="AP93" s="284">
        <v>13581.672066738891</v>
      </c>
      <c r="AQ93" s="284">
        <v>10504.985062821575</v>
      </c>
      <c r="AR93" s="284">
        <v>9523.9104693814843</v>
      </c>
      <c r="AS93" s="284">
        <v>7154.3820857324636</v>
      </c>
      <c r="AT93" s="284">
        <v>6428.4087962688454</v>
      </c>
      <c r="AU93" s="284">
        <v>6641.1702926911721</v>
      </c>
      <c r="AV93" s="284">
        <v>7460.3319841501852</v>
      </c>
      <c r="AW93" s="284">
        <v>11959.845158430009</v>
      </c>
      <c r="AX93" s="284">
        <v>13717.072052993479</v>
      </c>
      <c r="AY93" s="284">
        <v>16777.373743720447</v>
      </c>
    </row>
    <row r="94" spans="1:51" ht="12.75" hidden="1" customHeight="1" x14ac:dyDescent="0.25">
      <c r="A94" s="59">
        <v>276</v>
      </c>
      <c r="B94" s="39" t="s">
        <v>3615</v>
      </c>
      <c r="C94" s="59" t="s">
        <v>506</v>
      </c>
      <c r="D94" s="284">
        <v>758.21761537213376</v>
      </c>
      <c r="E94" s="284">
        <v>756.29892184526841</v>
      </c>
      <c r="F94" s="284">
        <v>825.27459808425078</v>
      </c>
      <c r="G94" s="284">
        <v>683.78308773935066</v>
      </c>
      <c r="H94" s="284">
        <v>677.96223907099181</v>
      </c>
      <c r="I94" s="284">
        <v>441.27108268375241</v>
      </c>
      <c r="J94" s="284">
        <v>339.9143983439443</v>
      </c>
      <c r="K94" s="284">
        <v>319.91458587695735</v>
      </c>
      <c r="L94" s="284">
        <v>420.27211354967932</v>
      </c>
      <c r="M94" s="284">
        <v>503.84030041210019</v>
      </c>
      <c r="N94" s="284">
        <v>748.59534403845259</v>
      </c>
      <c r="O94" s="284">
        <v>866.43220339092557</v>
      </c>
      <c r="P94" s="284">
        <v>1030.0371271747874</v>
      </c>
      <c r="Q94" s="284">
        <v>956.58761175674192</v>
      </c>
      <c r="R94" s="284">
        <v>829.15903545175945</v>
      </c>
      <c r="S94" s="284">
        <v>684.40336502419825</v>
      </c>
      <c r="T94" s="284">
        <v>675.49868015022116</v>
      </c>
      <c r="U94" s="284">
        <v>506.51007437129545</v>
      </c>
      <c r="V94" s="284">
        <v>382.19797546443323</v>
      </c>
      <c r="W94" s="284">
        <v>329.10509941237279</v>
      </c>
      <c r="X94" s="284">
        <v>303.71847854200996</v>
      </c>
      <c r="Y94" s="284">
        <v>611.8788937541874</v>
      </c>
      <c r="Z94" s="284">
        <v>822.30153230158385</v>
      </c>
      <c r="AA94" s="284">
        <v>1067.9366329845939</v>
      </c>
      <c r="AB94" s="284">
        <v>890.43767153521253</v>
      </c>
      <c r="AC94" s="284">
        <v>833.65757929886058</v>
      </c>
      <c r="AD94" s="284">
        <v>788.87111427618083</v>
      </c>
      <c r="AE94" s="284">
        <v>577.43056373759475</v>
      </c>
      <c r="AF94" s="284">
        <v>295.97811456454491</v>
      </c>
      <c r="AG94" s="284">
        <v>245.15811936991494</v>
      </c>
      <c r="AH94" s="284">
        <v>237.40983003938507</v>
      </c>
      <c r="AI94" s="284">
        <v>240.97023706272873</v>
      </c>
      <c r="AJ94" s="284">
        <v>247.36768137619737</v>
      </c>
      <c r="AK94" s="284">
        <v>326.41422851675708</v>
      </c>
      <c r="AL94" s="284">
        <v>578.38766456778228</v>
      </c>
      <c r="AM94" s="284">
        <v>769.05079569625047</v>
      </c>
      <c r="AN94" s="284">
        <v>798.5731339523752</v>
      </c>
      <c r="AO94" s="284">
        <v>750.36710289611221</v>
      </c>
      <c r="AP94" s="284">
        <v>814.25467218854453</v>
      </c>
      <c r="AQ94" s="284">
        <v>635.46301967542547</v>
      </c>
      <c r="AR94" s="284">
        <v>573.45106247066042</v>
      </c>
      <c r="AS94" s="284">
        <v>437.75363180906112</v>
      </c>
      <c r="AT94" s="284">
        <v>399.56605668740485</v>
      </c>
      <c r="AU94" s="284">
        <v>415.929998644477</v>
      </c>
      <c r="AV94" s="284">
        <v>464.5329144772943</v>
      </c>
      <c r="AW94" s="284">
        <v>723.00747945896501</v>
      </c>
      <c r="AX94" s="284">
        <v>829.12300174624352</v>
      </c>
      <c r="AY94" s="284">
        <v>1004.9624751073994</v>
      </c>
    </row>
    <row r="95" spans="1:51" ht="12.75" hidden="1" customHeight="1" x14ac:dyDescent="0.25">
      <c r="A95" s="59">
        <v>221</v>
      </c>
      <c r="B95" s="39" t="s">
        <v>422</v>
      </c>
      <c r="C95" s="59" t="s">
        <v>423</v>
      </c>
      <c r="D95" s="284">
        <v>0</v>
      </c>
      <c r="E95" s="284">
        <v>0</v>
      </c>
      <c r="F95" s="284">
        <v>0</v>
      </c>
      <c r="G95" s="284">
        <v>0</v>
      </c>
      <c r="H95" s="284"/>
      <c r="I95" s="284"/>
      <c r="J95" s="284"/>
      <c r="K95" s="284"/>
      <c r="L95" s="284"/>
      <c r="M95" s="284"/>
      <c r="N95" s="284"/>
      <c r="O95" s="284"/>
      <c r="P95" s="284"/>
      <c r="Q95" s="284"/>
      <c r="R95" s="284"/>
      <c r="S95" s="284"/>
      <c r="T95" s="284">
        <v>0</v>
      </c>
      <c r="U95" s="284">
        <v>0</v>
      </c>
      <c r="V95" s="284">
        <v>0</v>
      </c>
      <c r="W95" s="284"/>
      <c r="X95" s="284"/>
      <c r="Y95" s="284"/>
      <c r="Z95" s="284"/>
      <c r="AA95" s="284"/>
      <c r="AB95" s="284">
        <v>0</v>
      </c>
      <c r="AC95" s="284">
        <v>0</v>
      </c>
      <c r="AD95" s="284">
        <v>0</v>
      </c>
      <c r="AE95" s="284">
        <v>0</v>
      </c>
      <c r="AF95" s="284">
        <v>0</v>
      </c>
      <c r="AG95" s="284">
        <v>0</v>
      </c>
      <c r="AH95" s="284">
        <v>0</v>
      </c>
      <c r="AI95" s="284">
        <v>0</v>
      </c>
      <c r="AJ95" s="284">
        <v>0</v>
      </c>
      <c r="AK95" s="284">
        <v>0</v>
      </c>
      <c r="AL95" s="284">
        <v>0</v>
      </c>
      <c r="AM95" s="284">
        <v>0</v>
      </c>
      <c r="AN95" s="284">
        <v>0</v>
      </c>
      <c r="AO95" s="284">
        <v>0</v>
      </c>
      <c r="AP95" s="284">
        <v>0</v>
      </c>
      <c r="AQ95" s="284">
        <v>0</v>
      </c>
      <c r="AR95" s="284">
        <v>0</v>
      </c>
      <c r="AS95" s="284">
        <v>0</v>
      </c>
      <c r="AT95" s="284">
        <v>0</v>
      </c>
      <c r="AU95" s="284">
        <v>0</v>
      </c>
      <c r="AV95" s="284">
        <v>0</v>
      </c>
      <c r="AW95" s="284">
        <v>0</v>
      </c>
      <c r="AX95" s="284">
        <v>0</v>
      </c>
      <c r="AY95" s="284">
        <v>0</v>
      </c>
    </row>
    <row r="96" spans="1:51" ht="12.75" hidden="1" customHeight="1" x14ac:dyDescent="0.25">
      <c r="A96" s="59">
        <v>257</v>
      </c>
      <c r="B96" s="39" t="s">
        <v>476</v>
      </c>
      <c r="C96" s="59" t="s">
        <v>477</v>
      </c>
      <c r="D96" s="284">
        <v>3878.8267857068731</v>
      </c>
      <c r="E96" s="284">
        <v>4464.1309369914798</v>
      </c>
      <c r="F96" s="284">
        <v>4882.2306213117045</v>
      </c>
      <c r="G96" s="284">
        <v>4137.8024971351379</v>
      </c>
      <c r="H96" s="284">
        <v>4349.4252604342082</v>
      </c>
      <c r="I96" s="284">
        <v>3250.6832498312565</v>
      </c>
      <c r="J96" s="284">
        <v>2456.5281355011548</v>
      </c>
      <c r="K96" s="284">
        <v>2679.7923629951365</v>
      </c>
      <c r="L96" s="284">
        <v>2327.1794080835948</v>
      </c>
      <c r="M96" s="284">
        <v>2515.4723660987102</v>
      </c>
      <c r="N96" s="284">
        <v>3097.5321278623674</v>
      </c>
      <c r="O96" s="284">
        <v>4697.1465773374957</v>
      </c>
      <c r="P96" s="284">
        <v>4607.379888191198</v>
      </c>
      <c r="Q96" s="284">
        <v>3756.5661570889433</v>
      </c>
      <c r="R96" s="284">
        <v>3773.7466677191674</v>
      </c>
      <c r="S96" s="284">
        <v>3084.5806186661143</v>
      </c>
      <c r="T96" s="284">
        <v>3130.5334989204125</v>
      </c>
      <c r="U96" s="284">
        <v>2359.416157118053</v>
      </c>
      <c r="V96" s="284">
        <v>1951.9358353198293</v>
      </c>
      <c r="W96" s="284">
        <v>2102.0804685309308</v>
      </c>
      <c r="X96" s="284">
        <v>2178.6646669710226</v>
      </c>
      <c r="Y96" s="284">
        <v>2549.1610154086443</v>
      </c>
      <c r="Z96" s="284">
        <v>3058.45123719812</v>
      </c>
      <c r="AA96" s="284">
        <v>3599.1041490367043</v>
      </c>
      <c r="AB96" s="284">
        <v>3346.2859848076664</v>
      </c>
      <c r="AC96" s="284">
        <v>3025.2534890760971</v>
      </c>
      <c r="AD96" s="284">
        <v>3159.2529979057899</v>
      </c>
      <c r="AE96" s="284">
        <v>2567.3022211751545</v>
      </c>
      <c r="AF96" s="284">
        <v>2227.2499535079482</v>
      </c>
      <c r="AG96" s="284">
        <v>2000.5290008045042</v>
      </c>
      <c r="AH96" s="284">
        <v>1841.206133911242</v>
      </c>
      <c r="AI96" s="284">
        <v>1602.2323729991604</v>
      </c>
      <c r="AJ96" s="284">
        <v>1534.3899199967793</v>
      </c>
      <c r="AK96" s="284">
        <v>1541.6545644227313</v>
      </c>
      <c r="AL96" s="284">
        <v>1997.2865720317463</v>
      </c>
      <c r="AM96" s="284">
        <v>2057.617563484745</v>
      </c>
      <c r="AN96" s="284">
        <v>2001.6166211945485</v>
      </c>
      <c r="AO96" s="284">
        <v>1616.2005965194555</v>
      </c>
      <c r="AP96" s="284">
        <v>3125.082001423169</v>
      </c>
      <c r="AQ96" s="284">
        <v>2702.581692839281</v>
      </c>
      <c r="AR96" s="284">
        <v>2905.0906666150368</v>
      </c>
      <c r="AS96" s="284">
        <v>2275.0269768460403</v>
      </c>
      <c r="AT96" s="284">
        <v>2208.8649791643984</v>
      </c>
      <c r="AU96" s="284">
        <v>2353.3236545608966</v>
      </c>
      <c r="AV96" s="284">
        <v>2622.8362275187342</v>
      </c>
      <c r="AW96" s="284">
        <v>3409.2681423414597</v>
      </c>
      <c r="AX96" s="284">
        <v>3941.6928700885583</v>
      </c>
      <c r="AY96" s="284">
        <v>5412.1505261639686</v>
      </c>
    </row>
    <row r="97" spans="1:51" ht="12.75" hidden="1" customHeight="1" x14ac:dyDescent="0.25">
      <c r="A97" s="59">
        <v>128</v>
      </c>
      <c r="B97" s="39" t="s">
        <v>3577</v>
      </c>
      <c r="C97" s="347" t="s">
        <v>300</v>
      </c>
      <c r="D97" s="284">
        <v>0</v>
      </c>
      <c r="E97" s="284">
        <v>0</v>
      </c>
      <c r="F97" s="284">
        <v>0</v>
      </c>
      <c r="G97" s="284">
        <v>0</v>
      </c>
      <c r="H97" s="284">
        <v>0</v>
      </c>
      <c r="I97" s="284">
        <v>0</v>
      </c>
      <c r="J97" s="284">
        <v>0</v>
      </c>
      <c r="K97" s="284">
        <v>0</v>
      </c>
      <c r="L97" s="284">
        <v>0</v>
      </c>
      <c r="M97" s="284">
        <v>0</v>
      </c>
      <c r="N97" s="284">
        <v>0</v>
      </c>
      <c r="O97" s="284">
        <v>0</v>
      </c>
      <c r="P97" s="284">
        <v>0</v>
      </c>
      <c r="Q97" s="284">
        <v>0</v>
      </c>
      <c r="R97" s="284">
        <v>0</v>
      </c>
      <c r="S97" s="284">
        <v>0</v>
      </c>
      <c r="T97" s="284">
        <v>0</v>
      </c>
      <c r="U97" s="284">
        <v>0</v>
      </c>
      <c r="V97" s="284">
        <v>0</v>
      </c>
      <c r="W97" s="284">
        <v>0</v>
      </c>
      <c r="X97" s="284">
        <v>0</v>
      </c>
      <c r="Y97" s="284">
        <v>0</v>
      </c>
      <c r="Z97" s="284">
        <v>0</v>
      </c>
      <c r="AA97" s="284">
        <v>0</v>
      </c>
      <c r="AB97" s="284">
        <v>0</v>
      </c>
      <c r="AC97" s="284">
        <v>0</v>
      </c>
      <c r="AD97" s="284">
        <v>0</v>
      </c>
      <c r="AE97" s="284">
        <v>0</v>
      </c>
      <c r="AF97" s="284">
        <v>0</v>
      </c>
      <c r="AG97" s="284">
        <v>0</v>
      </c>
      <c r="AH97" s="284">
        <v>0</v>
      </c>
      <c r="AI97" s="284">
        <v>0</v>
      </c>
      <c r="AJ97" s="284">
        <v>0</v>
      </c>
      <c r="AK97" s="284">
        <v>0</v>
      </c>
      <c r="AL97" s="284">
        <v>0</v>
      </c>
      <c r="AM97" s="284">
        <v>0</v>
      </c>
      <c r="AN97" s="284">
        <v>0</v>
      </c>
      <c r="AO97" s="284">
        <v>0</v>
      </c>
      <c r="AP97" s="284">
        <v>0</v>
      </c>
      <c r="AQ97" s="284">
        <v>0</v>
      </c>
      <c r="AR97" s="284">
        <v>0</v>
      </c>
      <c r="AS97" s="284">
        <v>0</v>
      </c>
      <c r="AT97" s="284">
        <v>0</v>
      </c>
      <c r="AU97" s="284">
        <v>0</v>
      </c>
      <c r="AV97" s="284">
        <v>0</v>
      </c>
      <c r="AW97" s="284">
        <v>0</v>
      </c>
      <c r="AX97" s="284">
        <v>0</v>
      </c>
      <c r="AY97" s="284">
        <v>0</v>
      </c>
    </row>
    <row r="98" spans="1:51" ht="12.75" hidden="1" customHeight="1" x14ac:dyDescent="0.25">
      <c r="A98" s="59">
        <v>350</v>
      </c>
      <c r="B98" s="221" t="s">
        <v>3648</v>
      </c>
      <c r="C98" s="285" t="s">
        <v>576</v>
      </c>
      <c r="D98" s="284">
        <v>12088.097989778369</v>
      </c>
      <c r="E98" s="284">
        <v>13061.783957124901</v>
      </c>
      <c r="F98" s="284">
        <v>13640.44190741145</v>
      </c>
      <c r="G98" s="284">
        <v>11169.483481893425</v>
      </c>
      <c r="H98" s="284">
        <v>12005.297961364851</v>
      </c>
      <c r="I98" s="284">
        <v>9386.1733246138083</v>
      </c>
      <c r="J98" s="284">
        <v>7746.4442996866765</v>
      </c>
      <c r="K98" s="284">
        <v>7925.5588984402502</v>
      </c>
      <c r="L98" s="284">
        <v>10461.777651452605</v>
      </c>
      <c r="M98" s="284">
        <v>13482.585217251035</v>
      </c>
      <c r="N98" s="284">
        <v>14671.800645946501</v>
      </c>
      <c r="O98" s="284">
        <v>15533.752396342479</v>
      </c>
      <c r="P98" s="284">
        <v>19771.750242203594</v>
      </c>
      <c r="Q98" s="284">
        <v>20740.745733765249</v>
      </c>
      <c r="R98" s="284">
        <v>17861.224304163705</v>
      </c>
      <c r="S98" s="284">
        <v>16407.922876842535</v>
      </c>
      <c r="T98" s="284">
        <v>17602.225659602598</v>
      </c>
      <c r="U98" s="284">
        <v>13223.772722745729</v>
      </c>
      <c r="V98" s="284">
        <v>11571.922570629245</v>
      </c>
      <c r="W98" s="284">
        <v>11345.866696204677</v>
      </c>
      <c r="X98" s="284">
        <v>11054.498125713841</v>
      </c>
      <c r="Y98" s="284">
        <v>14416.530547284015</v>
      </c>
      <c r="Z98" s="284">
        <v>18411.838290224914</v>
      </c>
      <c r="AA98" s="284">
        <v>22810.326722101869</v>
      </c>
      <c r="AB98" s="284">
        <v>24243.889310800816</v>
      </c>
      <c r="AC98" s="284">
        <v>21138.697519799192</v>
      </c>
      <c r="AD98" s="284">
        <v>20730.473358048621</v>
      </c>
      <c r="AE98" s="284">
        <v>16532.304118012387</v>
      </c>
      <c r="AF98" s="284">
        <v>14582.681623000393</v>
      </c>
      <c r="AG98" s="284">
        <v>13019.751544055565</v>
      </c>
      <c r="AH98" s="284">
        <v>12440.363139157806</v>
      </c>
      <c r="AI98" s="284">
        <v>11823.037342830199</v>
      </c>
      <c r="AJ98" s="284">
        <v>11792.201387764624</v>
      </c>
      <c r="AK98" s="284">
        <v>12722.191544922913</v>
      </c>
      <c r="AL98" s="284">
        <v>16441.943997598722</v>
      </c>
      <c r="AM98" s="284">
        <v>18740.089082638471</v>
      </c>
      <c r="AN98" s="284">
        <v>19591.272162343375</v>
      </c>
      <c r="AO98" s="284">
        <v>17016.602654937731</v>
      </c>
      <c r="AP98" s="284">
        <v>17244.743807290488</v>
      </c>
      <c r="AQ98" s="284">
        <v>13851.740091643069</v>
      </c>
      <c r="AR98" s="284">
        <v>13522.361757207107</v>
      </c>
      <c r="AS98" s="284">
        <v>11612.230405800519</v>
      </c>
      <c r="AT98" s="284">
        <v>10853.559892212075</v>
      </c>
      <c r="AU98" s="284">
        <v>11026.325210072924</v>
      </c>
      <c r="AV98" s="284">
        <v>11945.113156582118</v>
      </c>
      <c r="AW98" s="284">
        <v>14072.757684288428</v>
      </c>
      <c r="AX98" s="284">
        <v>15490.301294059253</v>
      </c>
      <c r="AY98" s="284">
        <v>20211.512665933202</v>
      </c>
    </row>
    <row r="99" spans="1:51" ht="12.75" hidden="1" customHeight="1" x14ac:dyDescent="0.25">
      <c r="A99" s="59">
        <v>344</v>
      </c>
      <c r="B99" s="221" t="s">
        <v>3638</v>
      </c>
      <c r="C99" s="285" t="s">
        <v>3639</v>
      </c>
      <c r="D99" s="284">
        <v>9129</v>
      </c>
      <c r="E99" s="284">
        <v>4641</v>
      </c>
      <c r="F99" s="284">
        <v>3603</v>
      </c>
      <c r="G99" s="284">
        <v>876</v>
      </c>
      <c r="H99" s="284">
        <v>1772</v>
      </c>
      <c r="I99" s="284">
        <v>4330</v>
      </c>
      <c r="J99" s="284">
        <v>4330</v>
      </c>
      <c r="K99" s="284">
        <v>4875</v>
      </c>
      <c r="L99" s="284">
        <v>4875</v>
      </c>
      <c r="M99" s="284">
        <v>0</v>
      </c>
      <c r="N99" s="284">
        <v>6975</v>
      </c>
      <c r="O99" s="284">
        <v>0</v>
      </c>
      <c r="P99" s="284">
        <v>4167</v>
      </c>
      <c r="Q99" s="284">
        <v>5069</v>
      </c>
      <c r="R99" s="284">
        <v>0</v>
      </c>
      <c r="S99" s="284">
        <v>883</v>
      </c>
      <c r="T99" s="284">
        <v>1215</v>
      </c>
      <c r="U99" s="284">
        <v>990</v>
      </c>
      <c r="V99" s="284">
        <v>3950</v>
      </c>
      <c r="W99" s="284">
        <v>4175</v>
      </c>
      <c r="X99" s="284">
        <v>4820</v>
      </c>
      <c r="Y99" s="284">
        <v>0</v>
      </c>
      <c r="Z99" s="284">
        <v>6393</v>
      </c>
      <c r="AA99" s="284">
        <v>4786</v>
      </c>
      <c r="AB99" s="284">
        <v>0</v>
      </c>
      <c r="AC99" s="284">
        <v>4451</v>
      </c>
      <c r="AD99" s="284">
        <v>0</v>
      </c>
      <c r="AE99" s="284">
        <v>2824</v>
      </c>
      <c r="AF99" s="284">
        <v>1274</v>
      </c>
      <c r="AG99" s="284">
        <v>1150</v>
      </c>
      <c r="AH99" s="284">
        <v>818</v>
      </c>
      <c r="AI99" s="284">
        <v>793</v>
      </c>
      <c r="AJ99" s="284">
        <v>807</v>
      </c>
      <c r="AK99" s="284">
        <v>0</v>
      </c>
      <c r="AL99" s="284">
        <v>0</v>
      </c>
      <c r="AM99" s="284">
        <v>1930</v>
      </c>
      <c r="AN99" s="284">
        <v>886</v>
      </c>
      <c r="AO99" s="284">
        <v>902</v>
      </c>
      <c r="AP99" s="284">
        <v>971</v>
      </c>
      <c r="AQ99" s="284">
        <v>1098</v>
      </c>
      <c r="AR99" s="284">
        <v>883</v>
      </c>
      <c r="AS99" s="284">
        <v>1209</v>
      </c>
      <c r="AT99" s="284">
        <v>4570</v>
      </c>
      <c r="AU99" s="284">
        <v>4158</v>
      </c>
      <c r="AV99" s="284">
        <v>4314</v>
      </c>
      <c r="AW99" s="284">
        <v>3121</v>
      </c>
      <c r="AX99" s="284">
        <v>2559</v>
      </c>
      <c r="AY99" s="284">
        <v>4406</v>
      </c>
    </row>
    <row r="100" spans="1:51" ht="12.75" hidden="1" customHeight="1" x14ac:dyDescent="0.25">
      <c r="A100" s="59">
        <v>45</v>
      </c>
      <c r="B100" s="39" t="s">
        <v>119</v>
      </c>
      <c r="C100" s="59" t="s">
        <v>120</v>
      </c>
      <c r="D100" s="284">
        <v>838.06722677905964</v>
      </c>
      <c r="E100" s="284">
        <v>905.57282601376244</v>
      </c>
      <c r="F100" s="284">
        <v>945.69115265707546</v>
      </c>
      <c r="G100" s="284">
        <v>774.37972906410607</v>
      </c>
      <c r="H100" s="284">
        <v>832.32670496591572</v>
      </c>
      <c r="I100" s="284">
        <v>650.74292538646989</v>
      </c>
      <c r="J100" s="284">
        <v>537.06059440670515</v>
      </c>
      <c r="K100" s="284">
        <v>549.47860054629655</v>
      </c>
      <c r="L100" s="284">
        <v>725.31451936821884</v>
      </c>
      <c r="M100" s="284">
        <v>934.7469562530481</v>
      </c>
      <c r="N100" s="284">
        <v>1017.195202222963</v>
      </c>
      <c r="O100" s="284">
        <v>1076.9542738058167</v>
      </c>
      <c r="P100" s="284">
        <v>1370.7744517014437</v>
      </c>
      <c r="Q100" s="284">
        <v>1437.9548604854544</v>
      </c>
      <c r="R100" s="284">
        <v>1238.3177843302431</v>
      </c>
      <c r="S100" s="284">
        <v>1137.5604693333753</v>
      </c>
      <c r="T100" s="284">
        <v>1220.361421305191</v>
      </c>
      <c r="U100" s="284">
        <v>916.80349900201963</v>
      </c>
      <c r="V100" s="284">
        <v>802.28081088272756</v>
      </c>
      <c r="W100" s="284">
        <v>786.60836845743347</v>
      </c>
      <c r="X100" s="284">
        <v>766.40780009272339</v>
      </c>
      <c r="Y100" s="284">
        <v>999.49733909788029</v>
      </c>
      <c r="Z100" s="284">
        <v>1276.4918243416894</v>
      </c>
      <c r="AA100" s="284">
        <v>1581.4388065087721</v>
      </c>
      <c r="AB100" s="284">
        <v>1680.8276288148995</v>
      </c>
      <c r="AC100" s="284">
        <v>1465.5448378330284</v>
      </c>
      <c r="AD100" s="284">
        <v>1437.2426771927189</v>
      </c>
      <c r="AE100" s="284">
        <v>1146.1838145394368</v>
      </c>
      <c r="AF100" s="284">
        <v>1011.0165848361037</v>
      </c>
      <c r="AG100" s="284">
        <v>902.65872092579605</v>
      </c>
      <c r="AH100" s="284">
        <v>862.48975190095837</v>
      </c>
      <c r="AI100" s="284">
        <v>819.69058543284007</v>
      </c>
      <c r="AJ100" s="284">
        <v>817.55273021618461</v>
      </c>
      <c r="AK100" s="284">
        <v>882.02890112417344</v>
      </c>
      <c r="AL100" s="284">
        <v>1139.9191519274577</v>
      </c>
      <c r="AM100" s="284">
        <v>1299.2494353007232</v>
      </c>
      <c r="AN100" s="284">
        <v>1358.2619154851784</v>
      </c>
      <c r="AO100" s="284">
        <v>1179.7602077914923</v>
      </c>
      <c r="AP100" s="284">
        <v>1195.5772224308614</v>
      </c>
      <c r="AQ100" s="284">
        <v>960.34044516216431</v>
      </c>
      <c r="AR100" s="284">
        <v>937.50466177132239</v>
      </c>
      <c r="AS100" s="284">
        <v>805.07535107159947</v>
      </c>
      <c r="AT100" s="284">
        <v>752.47676245163984</v>
      </c>
      <c r="AU100" s="284">
        <v>764.4545732656884</v>
      </c>
      <c r="AV100" s="284">
        <v>828.1540954717542</v>
      </c>
      <c r="AW100" s="284">
        <v>975.66358376464007</v>
      </c>
      <c r="AX100" s="284">
        <v>1073.9418110658726</v>
      </c>
      <c r="AY100" s="284">
        <v>1401.2631584614612</v>
      </c>
    </row>
    <row r="101" spans="1:51" ht="12.75" hidden="1" customHeight="1" x14ac:dyDescent="0.25">
      <c r="A101" s="59">
        <v>347</v>
      </c>
      <c r="B101" s="221" t="s">
        <v>3642</v>
      </c>
      <c r="C101" s="285" t="s">
        <v>3643</v>
      </c>
      <c r="D101" s="284">
        <v>1898</v>
      </c>
      <c r="E101" s="284">
        <v>873</v>
      </c>
      <c r="F101" s="284">
        <v>738</v>
      </c>
      <c r="G101" s="284">
        <v>0</v>
      </c>
      <c r="H101" s="284">
        <v>797</v>
      </c>
      <c r="I101" s="284">
        <v>475</v>
      </c>
      <c r="J101" s="284">
        <v>843</v>
      </c>
      <c r="K101" s="284">
        <v>942</v>
      </c>
      <c r="L101" s="284">
        <v>995</v>
      </c>
      <c r="M101" s="284">
        <v>0</v>
      </c>
      <c r="N101" s="284">
        <v>1657</v>
      </c>
      <c r="O101" s="284">
        <v>1120</v>
      </c>
      <c r="P101" s="284">
        <v>925</v>
      </c>
      <c r="Q101" s="284">
        <v>1026</v>
      </c>
      <c r="R101" s="284">
        <v>691</v>
      </c>
      <c r="S101" s="284">
        <v>591</v>
      </c>
      <c r="T101" s="284">
        <v>1500</v>
      </c>
      <c r="U101" s="284">
        <v>736</v>
      </c>
      <c r="V101" s="284">
        <v>115</v>
      </c>
      <c r="W101" s="284">
        <v>1248</v>
      </c>
      <c r="X101" s="284">
        <v>1020</v>
      </c>
      <c r="Y101" s="284">
        <v>0</v>
      </c>
      <c r="Z101" s="284">
        <v>1520</v>
      </c>
      <c r="AA101" s="284">
        <v>1232</v>
      </c>
      <c r="AB101" s="284">
        <v>0</v>
      </c>
      <c r="AC101" s="284">
        <v>2205</v>
      </c>
      <c r="AD101" s="284">
        <v>0</v>
      </c>
      <c r="AE101" s="284">
        <v>903</v>
      </c>
      <c r="AF101" s="284">
        <v>0</v>
      </c>
      <c r="AG101" s="284">
        <v>0</v>
      </c>
      <c r="AH101" s="284">
        <v>194</v>
      </c>
      <c r="AI101" s="284">
        <v>295</v>
      </c>
      <c r="AJ101" s="284">
        <v>552</v>
      </c>
      <c r="AK101" s="284">
        <v>0</v>
      </c>
      <c r="AL101" s="284">
        <v>0</v>
      </c>
      <c r="AM101" s="284">
        <v>857</v>
      </c>
      <c r="AN101" s="284">
        <v>413</v>
      </c>
      <c r="AO101" s="284">
        <v>0</v>
      </c>
      <c r="AP101" s="284">
        <v>729</v>
      </c>
      <c r="AQ101" s="284">
        <v>397</v>
      </c>
      <c r="AR101" s="284">
        <v>362</v>
      </c>
      <c r="AS101" s="284">
        <v>301</v>
      </c>
      <c r="AT101" s="284">
        <v>930</v>
      </c>
      <c r="AU101" s="284">
        <v>950</v>
      </c>
      <c r="AV101" s="284">
        <v>1028</v>
      </c>
      <c r="AW101" s="284">
        <v>785</v>
      </c>
      <c r="AX101" s="284">
        <v>488</v>
      </c>
      <c r="AY101" s="284">
        <v>498</v>
      </c>
    </row>
    <row r="102" spans="1:51" ht="12.75" hidden="1" customHeight="1" x14ac:dyDescent="0.25">
      <c r="A102" s="59">
        <v>41</v>
      </c>
      <c r="B102" s="39" t="s">
        <v>3771</v>
      </c>
      <c r="C102" s="59" t="s">
        <v>111</v>
      </c>
      <c r="D102" s="284">
        <v>0</v>
      </c>
      <c r="E102" s="284">
        <v>2519.2868738574039</v>
      </c>
      <c r="F102" s="284">
        <v>961.38840120061263</v>
      </c>
      <c r="G102" s="284">
        <v>748.76595813362076</v>
      </c>
      <c r="H102" s="284">
        <v>288</v>
      </c>
      <c r="I102" s="284">
        <v>244</v>
      </c>
      <c r="J102" s="284">
        <v>312</v>
      </c>
      <c r="K102" s="284">
        <v>343</v>
      </c>
      <c r="L102" s="284">
        <v>448</v>
      </c>
      <c r="M102" s="284">
        <v>0</v>
      </c>
      <c r="N102" s="284">
        <v>1280</v>
      </c>
      <c r="O102" s="284">
        <v>1116</v>
      </c>
      <c r="P102" s="284">
        <v>1326</v>
      </c>
      <c r="Q102" s="284">
        <v>775</v>
      </c>
      <c r="R102" s="284">
        <v>639</v>
      </c>
      <c r="S102" s="284">
        <v>859</v>
      </c>
      <c r="T102" s="284">
        <v>696</v>
      </c>
      <c r="U102" s="284">
        <v>370</v>
      </c>
      <c r="V102" s="284">
        <v>40</v>
      </c>
      <c r="W102" s="284">
        <v>668</v>
      </c>
      <c r="X102" s="284">
        <v>933</v>
      </c>
      <c r="Y102" s="284">
        <v>0</v>
      </c>
      <c r="Z102" s="284">
        <v>2640</v>
      </c>
      <c r="AA102" s="284">
        <v>1177</v>
      </c>
      <c r="AB102" s="284">
        <v>0</v>
      </c>
      <c r="AC102" s="284">
        <v>1620</v>
      </c>
      <c r="AD102" s="284">
        <v>0</v>
      </c>
      <c r="AE102" s="284">
        <v>175</v>
      </c>
      <c r="AF102" s="284">
        <v>20</v>
      </c>
      <c r="AG102" s="284">
        <v>17</v>
      </c>
      <c r="AH102" s="284">
        <v>6</v>
      </c>
      <c r="AI102" s="284">
        <v>5</v>
      </c>
      <c r="AJ102" s="284">
        <v>6</v>
      </c>
      <c r="AK102" s="284">
        <v>0</v>
      </c>
      <c r="AL102" s="284">
        <v>0</v>
      </c>
      <c r="AM102" s="284">
        <v>15</v>
      </c>
      <c r="AN102" s="284">
        <v>503</v>
      </c>
      <c r="AO102" s="284">
        <v>397</v>
      </c>
      <c r="AP102" s="284">
        <v>386</v>
      </c>
      <c r="AQ102" s="284">
        <v>271</v>
      </c>
      <c r="AR102" s="284">
        <v>124</v>
      </c>
      <c r="AS102" s="284">
        <v>102</v>
      </c>
      <c r="AT102" s="284">
        <v>361</v>
      </c>
      <c r="AU102" s="284">
        <v>870</v>
      </c>
      <c r="AV102" s="284">
        <v>1466</v>
      </c>
      <c r="AW102" s="284">
        <v>2073</v>
      </c>
      <c r="AX102" s="284">
        <v>2336</v>
      </c>
      <c r="AY102" s="284">
        <v>1406</v>
      </c>
    </row>
    <row r="103" spans="1:51" ht="12.75" hidden="1" customHeight="1" x14ac:dyDescent="0.25">
      <c r="A103" s="59">
        <v>93</v>
      </c>
      <c r="B103" s="39" t="s">
        <v>3561</v>
      </c>
      <c r="C103" s="59" t="s">
        <v>3772</v>
      </c>
      <c r="D103" s="284">
        <v>373.7363976319981</v>
      </c>
      <c r="E103" s="284">
        <v>192.30104232687631</v>
      </c>
      <c r="F103" s="284">
        <v>184.93893100705043</v>
      </c>
      <c r="G103" s="284">
        <v>187.48928063988529</v>
      </c>
      <c r="H103" s="284">
        <v>74</v>
      </c>
      <c r="I103" s="284">
        <v>51</v>
      </c>
      <c r="J103" s="284">
        <v>56</v>
      </c>
      <c r="K103" s="284">
        <v>73</v>
      </c>
      <c r="L103" s="284">
        <v>92</v>
      </c>
      <c r="M103" s="284">
        <v>0</v>
      </c>
      <c r="N103" s="284">
        <v>162</v>
      </c>
      <c r="O103" s="284">
        <v>77</v>
      </c>
      <c r="P103" s="284">
        <v>72</v>
      </c>
      <c r="Q103" s="284">
        <v>79</v>
      </c>
      <c r="R103" s="284">
        <v>69</v>
      </c>
      <c r="S103" s="284">
        <v>63</v>
      </c>
      <c r="T103" s="284">
        <v>66</v>
      </c>
      <c r="U103" s="284">
        <v>55</v>
      </c>
      <c r="V103" s="284">
        <v>52</v>
      </c>
      <c r="W103" s="284">
        <v>57</v>
      </c>
      <c r="X103" s="284">
        <v>71</v>
      </c>
      <c r="Y103" s="284">
        <v>0</v>
      </c>
      <c r="Z103" s="284">
        <v>132</v>
      </c>
      <c r="AA103" s="284">
        <v>68</v>
      </c>
      <c r="AB103" s="284">
        <v>0</v>
      </c>
      <c r="AC103" s="284">
        <v>103</v>
      </c>
      <c r="AD103" s="284">
        <v>0</v>
      </c>
      <c r="AE103" s="284">
        <v>39</v>
      </c>
      <c r="AF103" s="284">
        <v>8</v>
      </c>
      <c r="AG103" s="284">
        <v>32</v>
      </c>
      <c r="AH103" s="284">
        <v>33</v>
      </c>
      <c r="AI103" s="284">
        <v>2</v>
      </c>
      <c r="AJ103" s="284">
        <v>26</v>
      </c>
      <c r="AK103" s="284">
        <v>0</v>
      </c>
      <c r="AL103" s="284">
        <v>0</v>
      </c>
      <c r="AM103" s="284">
        <v>113</v>
      </c>
      <c r="AN103" s="284">
        <v>53</v>
      </c>
      <c r="AO103" s="284">
        <v>50</v>
      </c>
      <c r="AP103" s="284">
        <v>65</v>
      </c>
      <c r="AQ103" s="284">
        <v>67</v>
      </c>
      <c r="AR103" s="284">
        <v>57</v>
      </c>
      <c r="AS103" s="284">
        <v>55</v>
      </c>
      <c r="AT103" s="284">
        <v>68</v>
      </c>
      <c r="AU103" s="284">
        <v>69</v>
      </c>
      <c r="AV103" s="284">
        <v>76</v>
      </c>
      <c r="AW103" s="284">
        <v>55</v>
      </c>
      <c r="AX103" s="284">
        <v>93</v>
      </c>
      <c r="AY103" s="284">
        <v>64</v>
      </c>
    </row>
    <row r="104" spans="1:51" ht="12.75" hidden="1" customHeight="1" x14ac:dyDescent="0.25">
      <c r="A104" s="59">
        <v>85</v>
      </c>
      <c r="B104" s="39" t="s">
        <v>3558</v>
      </c>
      <c r="C104" s="59" t="s">
        <v>201</v>
      </c>
      <c r="D104" s="284">
        <v>0</v>
      </c>
      <c r="E104" s="284">
        <v>0</v>
      </c>
      <c r="F104" s="284">
        <v>0</v>
      </c>
      <c r="G104" s="284">
        <v>0</v>
      </c>
      <c r="H104" s="284">
        <v>0</v>
      </c>
      <c r="I104" s="284">
        <v>0</v>
      </c>
      <c r="J104" s="284">
        <v>0</v>
      </c>
      <c r="K104" s="284">
        <v>0</v>
      </c>
      <c r="L104" s="284">
        <v>0</v>
      </c>
      <c r="M104" s="284">
        <v>0</v>
      </c>
      <c r="N104" s="284">
        <v>0</v>
      </c>
      <c r="O104" s="284">
        <v>0</v>
      </c>
      <c r="P104" s="284">
        <v>0</v>
      </c>
      <c r="Q104" s="284">
        <v>0</v>
      </c>
      <c r="R104" s="284">
        <v>0</v>
      </c>
      <c r="S104" s="284">
        <v>0</v>
      </c>
      <c r="T104" s="284">
        <v>0</v>
      </c>
      <c r="U104" s="284">
        <v>0</v>
      </c>
      <c r="V104" s="284">
        <v>0</v>
      </c>
      <c r="W104" s="284">
        <v>0</v>
      </c>
      <c r="X104" s="284">
        <v>0</v>
      </c>
      <c r="Y104" s="284">
        <v>0</v>
      </c>
      <c r="Z104" s="284">
        <v>0</v>
      </c>
      <c r="AA104" s="284">
        <v>0</v>
      </c>
      <c r="AB104" s="284">
        <v>0</v>
      </c>
      <c r="AC104" s="284">
        <v>0</v>
      </c>
      <c r="AD104" s="284">
        <v>0</v>
      </c>
      <c r="AE104" s="284">
        <v>0</v>
      </c>
      <c r="AF104" s="284">
        <v>0</v>
      </c>
      <c r="AG104" s="284">
        <v>0</v>
      </c>
      <c r="AH104" s="284">
        <v>0</v>
      </c>
      <c r="AI104" s="284">
        <v>0</v>
      </c>
      <c r="AJ104" s="284">
        <v>0</v>
      </c>
      <c r="AK104" s="284">
        <v>0</v>
      </c>
      <c r="AL104" s="284">
        <v>0</v>
      </c>
      <c r="AM104" s="284">
        <v>0</v>
      </c>
      <c r="AN104" s="284">
        <v>0</v>
      </c>
      <c r="AO104" s="284">
        <v>0</v>
      </c>
      <c r="AP104" s="284">
        <v>0</v>
      </c>
      <c r="AQ104" s="284">
        <v>0</v>
      </c>
      <c r="AR104" s="284">
        <v>0</v>
      </c>
      <c r="AS104" s="284">
        <v>0</v>
      </c>
      <c r="AT104" s="284">
        <v>0</v>
      </c>
      <c r="AU104" s="284">
        <v>0</v>
      </c>
      <c r="AV104" s="284">
        <v>0</v>
      </c>
      <c r="AW104" s="284">
        <v>0</v>
      </c>
      <c r="AX104" s="284">
        <v>0</v>
      </c>
      <c r="AY104" s="284">
        <v>0</v>
      </c>
    </row>
    <row r="105" spans="1:51" ht="12.75" hidden="1" customHeight="1" x14ac:dyDescent="0.25">
      <c r="A105" s="59">
        <v>348</v>
      </c>
      <c r="B105" s="221" t="s">
        <v>3644</v>
      </c>
      <c r="C105" s="285" t="s">
        <v>3645</v>
      </c>
      <c r="D105" s="284">
        <v>3506</v>
      </c>
      <c r="E105" s="284">
        <v>2778</v>
      </c>
      <c r="F105" s="284">
        <v>1318</v>
      </c>
      <c r="G105" s="284">
        <v>1627</v>
      </c>
      <c r="H105" s="284">
        <v>812</v>
      </c>
      <c r="I105" s="284">
        <v>835</v>
      </c>
      <c r="J105" s="284">
        <v>1277</v>
      </c>
      <c r="K105" s="284">
        <v>1472</v>
      </c>
      <c r="L105" s="284">
        <v>1662</v>
      </c>
      <c r="M105" s="284">
        <v>0</v>
      </c>
      <c r="N105" s="284">
        <v>2541</v>
      </c>
      <c r="O105" s="284">
        <v>1815</v>
      </c>
      <c r="P105" s="284">
        <v>1542</v>
      </c>
      <c r="Q105" s="284">
        <v>1682</v>
      </c>
      <c r="R105" s="284">
        <v>1107</v>
      </c>
      <c r="S105" s="284">
        <v>788</v>
      </c>
      <c r="T105" s="284">
        <v>951</v>
      </c>
      <c r="U105" s="284">
        <v>663</v>
      </c>
      <c r="V105" s="284">
        <v>1175</v>
      </c>
      <c r="W105" s="284">
        <v>1463</v>
      </c>
      <c r="X105" s="284">
        <v>1659</v>
      </c>
      <c r="Y105" s="284">
        <v>0</v>
      </c>
      <c r="Z105" s="284">
        <v>2569</v>
      </c>
      <c r="AA105" s="284">
        <v>1794</v>
      </c>
      <c r="AB105" s="284">
        <v>0</v>
      </c>
      <c r="AC105" s="284">
        <v>2213</v>
      </c>
      <c r="AD105" s="284">
        <v>0</v>
      </c>
      <c r="AE105" s="284">
        <v>1017</v>
      </c>
      <c r="AF105" s="284">
        <v>510</v>
      </c>
      <c r="AG105" s="284">
        <v>464</v>
      </c>
      <c r="AH105" s="284">
        <v>446</v>
      </c>
      <c r="AI105" s="284">
        <v>456</v>
      </c>
      <c r="AJ105" s="284">
        <v>500</v>
      </c>
      <c r="AK105" s="284">
        <v>0</v>
      </c>
      <c r="AL105" s="284">
        <v>0</v>
      </c>
      <c r="AM105" s="284">
        <v>1101</v>
      </c>
      <c r="AN105" s="284">
        <v>496</v>
      </c>
      <c r="AO105" s="284">
        <v>467</v>
      </c>
      <c r="AP105" s="284">
        <v>492</v>
      </c>
      <c r="AQ105" s="284">
        <v>506</v>
      </c>
      <c r="AR105" s="284">
        <v>463</v>
      </c>
      <c r="AS105" s="284">
        <v>471</v>
      </c>
      <c r="AT105" s="284">
        <v>1362</v>
      </c>
      <c r="AU105" s="284">
        <v>1375</v>
      </c>
      <c r="AV105" s="284">
        <v>1529</v>
      </c>
      <c r="AW105" s="284">
        <v>1175</v>
      </c>
      <c r="AX105" s="284">
        <v>973</v>
      </c>
      <c r="AY105" s="284">
        <v>1584</v>
      </c>
    </row>
    <row r="106" spans="1:51" ht="12.75" hidden="1" customHeight="1" x14ac:dyDescent="0.25">
      <c r="A106" s="59">
        <v>76</v>
      </c>
      <c r="B106" s="39" t="s">
        <v>3554</v>
      </c>
      <c r="C106" s="59" t="s">
        <v>183</v>
      </c>
      <c r="D106" s="284">
        <v>0</v>
      </c>
      <c r="E106" s="284">
        <v>0</v>
      </c>
      <c r="F106" s="284">
        <v>0</v>
      </c>
      <c r="G106" s="284">
        <v>0</v>
      </c>
      <c r="H106" s="284">
        <v>0</v>
      </c>
      <c r="I106" s="284">
        <v>0</v>
      </c>
      <c r="J106" s="284">
        <v>0</v>
      </c>
      <c r="K106" s="284">
        <v>0</v>
      </c>
      <c r="L106" s="284">
        <v>0</v>
      </c>
      <c r="M106" s="284">
        <v>0</v>
      </c>
      <c r="N106" s="284">
        <v>0</v>
      </c>
      <c r="O106" s="284">
        <v>0</v>
      </c>
      <c r="P106" s="284">
        <v>0</v>
      </c>
      <c r="Q106" s="284">
        <v>0</v>
      </c>
      <c r="R106" s="284">
        <v>0</v>
      </c>
      <c r="S106" s="284">
        <v>0</v>
      </c>
      <c r="T106" s="284">
        <v>0</v>
      </c>
      <c r="U106" s="284">
        <v>0</v>
      </c>
      <c r="V106" s="284">
        <v>0</v>
      </c>
      <c r="W106" s="284">
        <v>0</v>
      </c>
      <c r="X106" s="284">
        <v>0</v>
      </c>
      <c r="Y106" s="284">
        <v>0</v>
      </c>
      <c r="Z106" s="284">
        <v>0</v>
      </c>
      <c r="AA106" s="284">
        <v>0</v>
      </c>
      <c r="AB106" s="284">
        <v>0</v>
      </c>
      <c r="AC106" s="284">
        <v>0</v>
      </c>
      <c r="AD106" s="284">
        <v>0</v>
      </c>
      <c r="AE106" s="284">
        <v>0</v>
      </c>
      <c r="AF106" s="284">
        <v>0</v>
      </c>
      <c r="AG106" s="284">
        <v>0</v>
      </c>
      <c r="AH106" s="284">
        <v>0</v>
      </c>
      <c r="AI106" s="284">
        <v>0</v>
      </c>
      <c r="AJ106" s="284">
        <v>0</v>
      </c>
      <c r="AK106" s="284">
        <v>0</v>
      </c>
      <c r="AL106" s="284">
        <v>0</v>
      </c>
      <c r="AM106" s="284">
        <v>0</v>
      </c>
      <c r="AN106" s="284">
        <v>0</v>
      </c>
      <c r="AO106" s="284">
        <v>0</v>
      </c>
      <c r="AP106" s="284">
        <v>0</v>
      </c>
      <c r="AQ106" s="284">
        <v>0</v>
      </c>
      <c r="AR106" s="284">
        <v>0</v>
      </c>
      <c r="AS106" s="284">
        <v>0</v>
      </c>
      <c r="AT106" s="284">
        <v>0</v>
      </c>
      <c r="AU106" s="284">
        <v>0</v>
      </c>
      <c r="AV106" s="284">
        <v>0</v>
      </c>
      <c r="AW106" s="284">
        <v>0</v>
      </c>
      <c r="AX106" s="284">
        <v>0</v>
      </c>
      <c r="AY106" s="284">
        <v>0</v>
      </c>
    </row>
    <row r="107" spans="1:51" ht="12.75" hidden="1" customHeight="1" x14ac:dyDescent="0.25">
      <c r="A107" s="59">
        <v>40</v>
      </c>
      <c r="B107" s="39" t="s">
        <v>3544</v>
      </c>
      <c r="C107" s="59" t="s">
        <v>105</v>
      </c>
      <c r="D107" s="284">
        <v>765.73503390360452</v>
      </c>
      <c r="E107" s="284">
        <v>827.4143367888081</v>
      </c>
      <c r="F107" s="284">
        <v>864.0701171734429</v>
      </c>
      <c r="G107" s="284">
        <v>707.54429852617591</v>
      </c>
      <c r="H107" s="284">
        <v>760.48996701069404</v>
      </c>
      <c r="I107" s="284">
        <v>594.57838239116063</v>
      </c>
      <c r="J107" s="284">
        <v>490.70778491941371</v>
      </c>
      <c r="K107" s="284">
        <v>502.05401353744571</v>
      </c>
      <c r="L107" s="284">
        <v>662.71382573181074</v>
      </c>
      <c r="M107" s="284">
        <v>854.07049621619149</v>
      </c>
      <c r="N107" s="284">
        <v>929.40277077095038</v>
      </c>
      <c r="O107" s="284">
        <v>984.0041359626332</v>
      </c>
      <c r="P107" s="284">
        <v>1252.4651814412498</v>
      </c>
      <c r="Q107" s="284">
        <v>1313.847360524413</v>
      </c>
      <c r="R107" s="284">
        <v>1131.4406294252287</v>
      </c>
      <c r="S107" s="284">
        <v>1039.3795112358371</v>
      </c>
      <c r="T107" s="284">
        <v>1115.0340503222392</v>
      </c>
      <c r="U107" s="284">
        <v>837.67570901126646</v>
      </c>
      <c r="V107" s="284">
        <v>733.03728423144048</v>
      </c>
      <c r="W107" s="284">
        <v>718.7175043278545</v>
      </c>
      <c r="X107" s="284">
        <v>700.26041352730795</v>
      </c>
      <c r="Y107" s="284">
        <v>913.23238087014181</v>
      </c>
      <c r="Z107" s="284">
        <v>1166.3199313336765</v>
      </c>
      <c r="AA107" s="284">
        <v>1444.9474450546886</v>
      </c>
      <c r="AB107" s="284">
        <v>1535.7581828885943</v>
      </c>
      <c r="AC107" s="284">
        <v>1339.0560926697331</v>
      </c>
      <c r="AD107" s="284">
        <v>1313.1966445909143</v>
      </c>
      <c r="AE107" s="284">
        <v>1047.2585898141799</v>
      </c>
      <c r="AF107" s="284">
        <v>923.75741960695416</v>
      </c>
      <c r="AG107" s="284">
        <v>824.75174327956336</v>
      </c>
      <c r="AH107" s="284">
        <v>788.04969137339128</v>
      </c>
      <c r="AI107" s="284">
        <v>748.94445000454994</v>
      </c>
      <c r="AJ107" s="284">
        <v>746.9911095272015</v>
      </c>
      <c r="AK107" s="284">
        <v>805.90244902194991</v>
      </c>
      <c r="AL107" s="284">
        <v>1041.534619845786</v>
      </c>
      <c r="AM107" s="284">
        <v>1187.1133706216622</v>
      </c>
      <c r="AN107" s="284">
        <v>1241.0325814807361</v>
      </c>
      <c r="AO107" s="284">
        <v>1077.9370602324025</v>
      </c>
      <c r="AP107" s="284">
        <v>1092.3889345619593</v>
      </c>
      <c r="AQ107" s="284">
        <v>877.45505353011231</v>
      </c>
      <c r="AR107" s="284">
        <v>856.59018874330263</v>
      </c>
      <c r="AS107" s="284">
        <v>735.59063228979971</v>
      </c>
      <c r="AT107" s="284">
        <v>687.53174064815755</v>
      </c>
      <c r="AU107" s="284">
        <v>698.47576646937523</v>
      </c>
      <c r="AV107" s="284">
        <v>756.67748852402406</v>
      </c>
      <c r="AW107" s="284">
        <v>891.45567744470145</v>
      </c>
      <c r="AX107" s="284">
        <v>981.25167388728175</v>
      </c>
      <c r="AY107" s="284">
        <v>1280.3224584693535</v>
      </c>
    </row>
    <row r="108" spans="1:51" ht="12.75" hidden="1" customHeight="1" x14ac:dyDescent="0.25">
      <c r="A108" s="59">
        <v>145</v>
      </c>
      <c r="B108" s="39" t="s">
        <v>3584</v>
      </c>
      <c r="C108" s="59" t="s">
        <v>332</v>
      </c>
      <c r="D108" s="284">
        <v>1881.5748223649848</v>
      </c>
      <c r="E108" s="284">
        <v>2033.134067053315</v>
      </c>
      <c r="F108" s="284">
        <v>2123.2051626831799</v>
      </c>
      <c r="G108" s="284">
        <v>1738.5877344908567</v>
      </c>
      <c r="H108" s="284">
        <v>1868.6865707239313</v>
      </c>
      <c r="I108" s="284">
        <v>1461.0063072686087</v>
      </c>
      <c r="J108" s="284">
        <v>1205.7740241242407</v>
      </c>
      <c r="K108" s="284">
        <v>1233.6541355874097</v>
      </c>
      <c r="L108" s="284">
        <v>1628.4296704741403</v>
      </c>
      <c r="M108" s="284">
        <v>2098.6339543757294</v>
      </c>
      <c r="N108" s="284">
        <v>2283.7414717778447</v>
      </c>
      <c r="O108" s="284">
        <v>2417.9087090892822</v>
      </c>
      <c r="P108" s="284">
        <v>3077.5749403485074</v>
      </c>
      <c r="Q108" s="284">
        <v>3228.4040882797458</v>
      </c>
      <c r="R108" s="284">
        <v>2780.191720463059</v>
      </c>
      <c r="S108" s="284">
        <v>2553.977854785689</v>
      </c>
      <c r="T108" s="284">
        <v>2739.8772450968836</v>
      </c>
      <c r="U108" s="284">
        <v>2058.3484542262067</v>
      </c>
      <c r="V108" s="284">
        <v>1801.2294550941415</v>
      </c>
      <c r="W108" s="284">
        <v>1766.042691872613</v>
      </c>
      <c r="X108" s="284">
        <v>1720.6896705182512</v>
      </c>
      <c r="Y108" s="284">
        <v>2244.0073638187505</v>
      </c>
      <c r="Z108" s="284">
        <v>2865.8976283644388</v>
      </c>
      <c r="AA108" s="284">
        <v>3550.5450474109698</v>
      </c>
      <c r="AB108" s="284">
        <v>3773.6864610114535</v>
      </c>
      <c r="AC108" s="284">
        <v>3290.3473370646097</v>
      </c>
      <c r="AD108" s="284">
        <v>3226.8051399976735</v>
      </c>
      <c r="AE108" s="284">
        <v>2573.338436736431</v>
      </c>
      <c r="AF108" s="284">
        <v>2269.869636034045</v>
      </c>
      <c r="AG108" s="284">
        <v>2026.5915050868762</v>
      </c>
      <c r="AH108" s="284">
        <v>1936.4067104278927</v>
      </c>
      <c r="AI108" s="284">
        <v>1840.3167650495022</v>
      </c>
      <c r="AJ108" s="284">
        <v>1835.5169895410618</v>
      </c>
      <c r="AK108" s="284">
        <v>1980.2747559188615</v>
      </c>
      <c r="AL108" s="284">
        <v>2559.2734177681873</v>
      </c>
      <c r="AM108" s="284">
        <v>2916.9915578601267</v>
      </c>
      <c r="AN108" s="284">
        <v>3049.4825960160147</v>
      </c>
      <c r="AO108" s="284">
        <v>2648.7220028158486</v>
      </c>
      <c r="AP108" s="284">
        <v>2684.2333503061864</v>
      </c>
      <c r="AQ108" s="284">
        <v>2156.0948152817796</v>
      </c>
      <c r="AR108" s="284">
        <v>2104.8253780525915</v>
      </c>
      <c r="AS108" s="284">
        <v>1807.5035776125426</v>
      </c>
      <c r="AT108" s="284">
        <v>1689.4125977043873</v>
      </c>
      <c r="AU108" s="284">
        <v>1716.3044108365887</v>
      </c>
      <c r="AV108" s="284">
        <v>1859.3184953274626</v>
      </c>
      <c r="AW108" s="284">
        <v>2190.4973439486448</v>
      </c>
      <c r="AX108" s="284">
        <v>2411.1453208267726</v>
      </c>
      <c r="AY108" s="284">
        <v>3146.0262306186155</v>
      </c>
    </row>
    <row r="109" spans="1:51" ht="12.75" hidden="1" customHeight="1" x14ac:dyDescent="0.25">
      <c r="A109" s="59">
        <v>158</v>
      </c>
      <c r="B109" s="39" t="s">
        <v>3588</v>
      </c>
      <c r="C109" s="59" t="s">
        <v>349</v>
      </c>
      <c r="D109" s="284">
        <v>0</v>
      </c>
      <c r="E109" s="284">
        <v>0</v>
      </c>
      <c r="F109" s="284">
        <v>0</v>
      </c>
      <c r="G109" s="284">
        <v>0</v>
      </c>
      <c r="H109" s="284">
        <v>0</v>
      </c>
      <c r="I109" s="284">
        <v>0</v>
      </c>
      <c r="J109" s="284">
        <v>0</v>
      </c>
      <c r="K109" s="284">
        <v>0</v>
      </c>
      <c r="L109" s="284">
        <v>0</v>
      </c>
      <c r="M109" s="284">
        <v>0</v>
      </c>
      <c r="N109" s="284">
        <v>0</v>
      </c>
      <c r="O109" s="284">
        <v>0</v>
      </c>
      <c r="P109" s="284">
        <v>0</v>
      </c>
      <c r="Q109" s="284">
        <v>0</v>
      </c>
      <c r="R109" s="284">
        <v>0</v>
      </c>
      <c r="S109" s="284">
        <v>0</v>
      </c>
      <c r="T109" s="284">
        <v>0</v>
      </c>
      <c r="U109" s="284">
        <v>0</v>
      </c>
      <c r="V109" s="284">
        <v>0</v>
      </c>
      <c r="W109" s="284">
        <v>0</v>
      </c>
      <c r="X109" s="284">
        <v>0</v>
      </c>
      <c r="Y109" s="284">
        <v>0</v>
      </c>
      <c r="Z109" s="284">
        <v>0</v>
      </c>
      <c r="AA109" s="284">
        <v>0</v>
      </c>
      <c r="AB109" s="284">
        <v>0</v>
      </c>
      <c r="AC109" s="284">
        <v>0</v>
      </c>
      <c r="AD109" s="284">
        <v>0</v>
      </c>
      <c r="AE109" s="284">
        <v>0</v>
      </c>
      <c r="AF109" s="284">
        <v>0</v>
      </c>
      <c r="AG109" s="284">
        <v>0</v>
      </c>
      <c r="AH109" s="284">
        <v>0</v>
      </c>
      <c r="AI109" s="284">
        <v>0</v>
      </c>
      <c r="AJ109" s="284">
        <v>0</v>
      </c>
      <c r="AK109" s="284">
        <v>0</v>
      </c>
      <c r="AL109" s="284">
        <v>0</v>
      </c>
      <c r="AM109" s="284">
        <v>0</v>
      </c>
      <c r="AN109" s="284">
        <v>0</v>
      </c>
      <c r="AO109" s="284">
        <v>0</v>
      </c>
      <c r="AP109" s="284">
        <v>0</v>
      </c>
      <c r="AQ109" s="284">
        <v>0</v>
      </c>
      <c r="AR109" s="284">
        <v>0</v>
      </c>
      <c r="AS109" s="284">
        <v>0</v>
      </c>
      <c r="AT109" s="284">
        <v>0</v>
      </c>
      <c r="AU109" s="284">
        <v>0</v>
      </c>
      <c r="AV109" s="284">
        <v>0</v>
      </c>
      <c r="AW109" s="284">
        <v>0</v>
      </c>
      <c r="AX109" s="284">
        <v>0</v>
      </c>
      <c r="AY109" s="284">
        <v>0</v>
      </c>
    </row>
    <row r="110" spans="1:51" ht="12.75" hidden="1" customHeight="1" x14ac:dyDescent="0.25">
      <c r="A110" s="59">
        <v>121</v>
      </c>
      <c r="B110" s="39" t="s">
        <v>291</v>
      </c>
      <c r="C110" s="59" t="s">
        <v>292</v>
      </c>
      <c r="D110" s="284">
        <v>1635.1647026439157</v>
      </c>
      <c r="E110" s="284">
        <v>1774.8812645562857</v>
      </c>
      <c r="F110" s="284">
        <v>1853.945917342387</v>
      </c>
      <c r="G110" s="284">
        <v>1532.8355888344433</v>
      </c>
      <c r="H110" s="284">
        <v>1649.5159391426885</v>
      </c>
      <c r="I110" s="284">
        <v>1289.6332615292588</v>
      </c>
      <c r="J110" s="284">
        <v>1069.7450395071285</v>
      </c>
      <c r="K110" s="284">
        <v>1110.6508893057817</v>
      </c>
      <c r="L110" s="284">
        <v>1447.4292807636757</v>
      </c>
      <c r="M110" s="284">
        <v>1853.5754592515561</v>
      </c>
      <c r="N110" s="284">
        <v>1989.4019958431477</v>
      </c>
      <c r="O110" s="284">
        <v>2124.0080862572977</v>
      </c>
      <c r="P110" s="284">
        <v>2785.6208875498337</v>
      </c>
      <c r="Q110" s="284">
        <v>2840.5766187717236</v>
      </c>
      <c r="R110" s="284">
        <v>2551.4849602301401</v>
      </c>
      <c r="S110" s="284">
        <v>2341.3881983763067</v>
      </c>
      <c r="T110" s="284">
        <v>2470.8025017423483</v>
      </c>
      <c r="U110" s="284">
        <v>1820.1516533646613</v>
      </c>
      <c r="V110" s="284">
        <v>1545.6493591470057</v>
      </c>
      <c r="W110" s="284">
        <v>1563.7661581079428</v>
      </c>
      <c r="X110" s="284">
        <v>1640.3806738529584</v>
      </c>
      <c r="Y110" s="284">
        <v>2090.8215309419634</v>
      </c>
      <c r="Z110" s="284">
        <v>2574.2834024372155</v>
      </c>
      <c r="AA110" s="284">
        <v>3171.4641015533975</v>
      </c>
      <c r="AB110" s="284">
        <v>3338.6986657818584</v>
      </c>
      <c r="AC110" s="284">
        <v>2814.0028331286594</v>
      </c>
      <c r="AD110" s="284">
        <v>2860.0480795213025</v>
      </c>
      <c r="AE110" s="284">
        <v>2429.7993857215465</v>
      </c>
      <c r="AF110" s="284">
        <v>2039.448851259333</v>
      </c>
      <c r="AG110" s="284">
        <v>1736.8886346977288</v>
      </c>
      <c r="AH110" s="284">
        <v>1690.9869641851619</v>
      </c>
      <c r="AI110" s="284">
        <v>1753.2721864414093</v>
      </c>
      <c r="AJ110" s="284">
        <v>1701.1611256875954</v>
      </c>
      <c r="AK110" s="284">
        <v>1781.5009720756682</v>
      </c>
      <c r="AL110" s="284">
        <v>2215.3389717769455</v>
      </c>
      <c r="AM110" s="284">
        <v>2578.6337313931754</v>
      </c>
      <c r="AN110" s="284">
        <v>2671.6720200663722</v>
      </c>
      <c r="AO110" s="284">
        <v>2263.623501030816</v>
      </c>
      <c r="AP110" s="284">
        <v>2292.9139419913345</v>
      </c>
      <c r="AQ110" s="284">
        <v>1854.3796960767365</v>
      </c>
      <c r="AR110" s="284">
        <v>1878.7388367373344</v>
      </c>
      <c r="AS110" s="284">
        <v>1542.975453537452</v>
      </c>
      <c r="AT110" s="284">
        <v>1445.2392897064644</v>
      </c>
      <c r="AU110" s="284">
        <v>1465.1745787505679</v>
      </c>
      <c r="AV110" s="284">
        <v>1587.1787893940968</v>
      </c>
      <c r="AW110" s="284">
        <v>1869.7067636679101</v>
      </c>
      <c r="AX110" s="284">
        <v>2057.9395468135108</v>
      </c>
      <c r="AY110" s="284">
        <v>2684.8682785416872</v>
      </c>
    </row>
    <row r="111" spans="1:51" ht="12.75" hidden="1" customHeight="1" x14ac:dyDescent="0.25">
      <c r="A111" s="59">
        <v>65</v>
      </c>
      <c r="B111" s="39" t="s">
        <v>164</v>
      </c>
      <c r="C111" s="59" t="s">
        <v>165</v>
      </c>
      <c r="D111" s="284">
        <v>6909.2218865851864</v>
      </c>
      <c r="E111" s="284">
        <v>7465.7538076483843</v>
      </c>
      <c r="F111" s="284">
        <v>7796.4986591831002</v>
      </c>
      <c r="G111" s="284">
        <v>6384.1672858878528</v>
      </c>
      <c r="H111" s="284">
        <v>6861.8956844805798</v>
      </c>
      <c r="I111" s="284">
        <v>5364.8766100789026</v>
      </c>
      <c r="J111" s="284">
        <v>4427.6529313268375</v>
      </c>
      <c r="K111" s="284">
        <v>4530.0298732544734</v>
      </c>
      <c r="L111" s="284">
        <v>5979.6622415806041</v>
      </c>
      <c r="M111" s="284">
        <v>7706.272148815423</v>
      </c>
      <c r="N111" s="284">
        <v>8385.994738320851</v>
      </c>
      <c r="O111" s="284">
        <v>8878.6624767898957</v>
      </c>
      <c r="P111" s="284">
        <v>11300.984623473731</v>
      </c>
      <c r="Q111" s="284">
        <v>11854.835598537085</v>
      </c>
      <c r="R111" s="284">
        <v>10208.980932143962</v>
      </c>
      <c r="S111" s="284">
        <v>9378.3141028426362</v>
      </c>
      <c r="T111" s="284">
        <v>10060.944482976305</v>
      </c>
      <c r="U111" s="284">
        <v>7558.3420978620088</v>
      </c>
      <c r="V111" s="284">
        <v>6614.1903186480213</v>
      </c>
      <c r="W111" s="284">
        <v>6484.9830441465992</v>
      </c>
      <c r="X111" s="284">
        <v>6318.4448421895486</v>
      </c>
      <c r="Y111" s="284">
        <v>8240.0894226821947</v>
      </c>
      <c r="Z111" s="284">
        <v>10523.696630740296</v>
      </c>
      <c r="AA111" s="284">
        <v>13037.750749685538</v>
      </c>
      <c r="AB111" s="284">
        <v>13857.135405733488</v>
      </c>
      <c r="AC111" s="284">
        <v>12082.293813402352</v>
      </c>
      <c r="AD111" s="284">
        <v>11848.9641931937</v>
      </c>
      <c r="AE111" s="284">
        <v>9449.406974070027</v>
      </c>
      <c r="AF111" s="284">
        <v>8335.0567740215029</v>
      </c>
      <c r="AG111" s="284">
        <v>7441.7292449280776</v>
      </c>
      <c r="AH111" s="284">
        <v>7110.5668857762657</v>
      </c>
      <c r="AI111" s="284">
        <v>6757.7205648127037</v>
      </c>
      <c r="AJ111" s="284">
        <v>6740.0955872676022</v>
      </c>
      <c r="AK111" s="284">
        <v>7271.6521939049908</v>
      </c>
      <c r="AL111" s="284">
        <v>9397.7596328452528</v>
      </c>
      <c r="AM111" s="284">
        <v>10711.315688854354</v>
      </c>
      <c r="AN111" s="284">
        <v>11197.828353523442</v>
      </c>
      <c r="AO111" s="284">
        <v>9726.2185993393814</v>
      </c>
      <c r="AP111" s="284">
        <v>9856.6177609278566</v>
      </c>
      <c r="AQ111" s="284">
        <v>7917.2708468608707</v>
      </c>
      <c r="AR111" s="284">
        <v>7729.0073169675597</v>
      </c>
      <c r="AS111" s="284">
        <v>6637.2291604245966</v>
      </c>
      <c r="AT111" s="284">
        <v>6203.5941153062849</v>
      </c>
      <c r="AU111" s="284">
        <v>6302.3419841948717</v>
      </c>
      <c r="AV111" s="284">
        <v>6827.4957176043727</v>
      </c>
      <c r="AW111" s="284">
        <v>8043.5983790927376</v>
      </c>
      <c r="AX111" s="284">
        <v>8853.827030622484</v>
      </c>
      <c r="AY111" s="284">
        <v>11552.340640400429</v>
      </c>
    </row>
    <row r="112" spans="1:51" ht="12.75" hidden="1" customHeight="1" x14ac:dyDescent="0.25">
      <c r="A112" s="59">
        <v>27</v>
      </c>
      <c r="B112" s="39" t="s">
        <v>3541</v>
      </c>
      <c r="C112" s="59" t="s">
        <v>84</v>
      </c>
      <c r="D112" s="284">
        <v>1143.8227572651424</v>
      </c>
      <c r="E112" s="284">
        <v>1235.9567033021822</v>
      </c>
      <c r="F112" s="284">
        <v>1290.7115648833706</v>
      </c>
      <c r="G112" s="284">
        <v>1056.8998865073763</v>
      </c>
      <c r="H112" s="284">
        <v>1135.9878971505348</v>
      </c>
      <c r="I112" s="284">
        <v>888.15615669286422</v>
      </c>
      <c r="J112" s="284">
        <v>732.9986309972752</v>
      </c>
      <c r="K112" s="284">
        <v>749.94714964644515</v>
      </c>
      <c r="L112" s="284">
        <v>989.93401354771493</v>
      </c>
      <c r="M112" s="284">
        <v>1275.7745520675646</v>
      </c>
      <c r="N112" s="284">
        <v>1388.3027324134653</v>
      </c>
      <c r="O112" s="284">
        <v>1469.8639530952573</v>
      </c>
      <c r="P112" s="284">
        <v>1870.8797609945343</v>
      </c>
      <c r="Q112" s="284">
        <v>1962.569876004585</v>
      </c>
      <c r="R112" s="284">
        <v>1690.0983801583393</v>
      </c>
      <c r="S112" s="284">
        <v>1552.5813574520778</v>
      </c>
      <c r="T112" s="284">
        <v>1665.5909229884585</v>
      </c>
      <c r="U112" s="284">
        <v>1251.2847091385897</v>
      </c>
      <c r="V112" s="284">
        <v>1094.980235334654</v>
      </c>
      <c r="W112" s="284">
        <v>1073.5899509574974</v>
      </c>
      <c r="X112" s="284">
        <v>1046.0195257374965</v>
      </c>
      <c r="Y112" s="284">
        <v>1364.148084730565</v>
      </c>
      <c r="Z112" s="284">
        <v>1742.1996129790732</v>
      </c>
      <c r="AA112" s="284">
        <v>2158.4016631446648</v>
      </c>
      <c r="AB112" s="284">
        <v>2294.0509203151764</v>
      </c>
      <c r="AC112" s="284">
        <v>2000.2256188306969</v>
      </c>
      <c r="AD112" s="284">
        <v>1961.5978639373604</v>
      </c>
      <c r="AE112" s="284">
        <v>1564.350793334155</v>
      </c>
      <c r="AF112" s="284">
        <v>1379.8699445061211</v>
      </c>
      <c r="AG112" s="284">
        <v>1231.9794332095564</v>
      </c>
      <c r="AH112" s="284">
        <v>1177.1554531774621</v>
      </c>
      <c r="AI112" s="284">
        <v>1118.741689896967</v>
      </c>
      <c r="AJ112" s="284">
        <v>1115.8238721248215</v>
      </c>
      <c r="AK112" s="284">
        <v>1203.8231509766088</v>
      </c>
      <c r="AL112" s="284">
        <v>1555.8005679665439</v>
      </c>
      <c r="AM112" s="284">
        <v>1773.2599772125884</v>
      </c>
      <c r="AN112" s="284">
        <v>1853.8022244700785</v>
      </c>
      <c r="AO112" s="284">
        <v>1610.1770009239544</v>
      </c>
      <c r="AP112" s="284">
        <v>1631.7646023936345</v>
      </c>
      <c r="AQ112" s="284">
        <v>1310.7054193257563</v>
      </c>
      <c r="AR112" s="284">
        <v>1279.5383626890116</v>
      </c>
      <c r="AS112" s="284">
        <v>1098.7943191718286</v>
      </c>
      <c r="AT112" s="284">
        <v>1027.0059700500485</v>
      </c>
      <c r="AU112" s="284">
        <v>1043.3536950935159</v>
      </c>
      <c r="AV112" s="284">
        <v>1130.2929772871898</v>
      </c>
      <c r="AW112" s="284">
        <v>1331.6189619225727</v>
      </c>
      <c r="AX112" s="284">
        <v>1465.7524411219231</v>
      </c>
      <c r="AY112" s="284">
        <v>1912.4917886664923</v>
      </c>
    </row>
    <row r="113" spans="1:51" ht="12.75" hidden="1" customHeight="1" x14ac:dyDescent="0.25">
      <c r="A113" s="59">
        <v>2</v>
      </c>
      <c r="B113" s="39" t="s">
        <v>3530</v>
      </c>
      <c r="C113" s="115" t="s">
        <v>15</v>
      </c>
      <c r="D113" s="284">
        <v>0</v>
      </c>
      <c r="E113" s="284">
        <v>0</v>
      </c>
      <c r="F113" s="284">
        <v>0</v>
      </c>
      <c r="G113" s="284">
        <v>0</v>
      </c>
      <c r="H113" s="284"/>
      <c r="I113" s="284"/>
      <c r="J113" s="284"/>
      <c r="K113" s="284"/>
      <c r="L113" s="284"/>
      <c r="M113" s="284"/>
      <c r="N113" s="284"/>
      <c r="O113" s="284"/>
      <c r="P113" s="284"/>
      <c r="Q113" s="284"/>
      <c r="R113" s="284"/>
      <c r="S113" s="284"/>
      <c r="T113" s="284">
        <v>0</v>
      </c>
      <c r="U113" s="284">
        <v>0</v>
      </c>
      <c r="V113" s="284">
        <v>0</v>
      </c>
      <c r="W113" s="284"/>
      <c r="X113" s="284"/>
      <c r="Y113" s="284"/>
      <c r="Z113" s="284"/>
      <c r="AA113" s="284"/>
      <c r="AB113" s="284">
        <v>0</v>
      </c>
      <c r="AC113" s="284">
        <v>0</v>
      </c>
      <c r="AD113" s="284">
        <v>0</v>
      </c>
      <c r="AE113" s="284">
        <v>0</v>
      </c>
      <c r="AF113" s="284">
        <v>0</v>
      </c>
      <c r="AG113" s="284">
        <v>0</v>
      </c>
      <c r="AH113" s="284">
        <v>0</v>
      </c>
      <c r="AI113" s="284">
        <v>0</v>
      </c>
      <c r="AJ113" s="284">
        <v>0</v>
      </c>
      <c r="AK113" s="284">
        <v>0</v>
      </c>
      <c r="AL113" s="284">
        <v>0</v>
      </c>
      <c r="AM113" s="284">
        <v>0</v>
      </c>
      <c r="AN113" s="284">
        <v>0</v>
      </c>
      <c r="AO113" s="284">
        <v>0</v>
      </c>
      <c r="AP113" s="284">
        <v>0</v>
      </c>
      <c r="AQ113" s="284">
        <v>0</v>
      </c>
      <c r="AR113" s="284">
        <v>0</v>
      </c>
      <c r="AS113" s="284">
        <v>0</v>
      </c>
      <c r="AT113" s="284">
        <v>0</v>
      </c>
      <c r="AU113" s="284">
        <v>0</v>
      </c>
      <c r="AV113" s="284">
        <v>0</v>
      </c>
      <c r="AW113" s="284">
        <v>0</v>
      </c>
      <c r="AX113" s="284">
        <v>0</v>
      </c>
      <c r="AY113" s="284">
        <v>0</v>
      </c>
    </row>
    <row r="114" spans="1:51" ht="12.75" hidden="1" customHeight="1" x14ac:dyDescent="0.25">
      <c r="A114" s="59">
        <v>117</v>
      </c>
      <c r="B114" s="221" t="s">
        <v>3571</v>
      </c>
      <c r="C114" s="59" t="s">
        <v>3572</v>
      </c>
      <c r="D114" s="284">
        <v>3667.3192420739474</v>
      </c>
      <c r="E114" s="284">
        <v>3779.2603786534223</v>
      </c>
      <c r="F114" s="284">
        <v>3948.8315450625219</v>
      </c>
      <c r="G114" s="284">
        <v>3181.2890173172323</v>
      </c>
      <c r="H114" s="284">
        <v>3322.4908865562384</v>
      </c>
      <c r="I114" s="284">
        <v>2580.5134711947576</v>
      </c>
      <c r="J114" s="284">
        <v>2141.3345117862145</v>
      </c>
      <c r="K114" s="284">
        <v>2306.6773209809198</v>
      </c>
      <c r="L114" s="284">
        <v>3654.2676672513849</v>
      </c>
      <c r="M114" s="284">
        <v>4382.7740664287712</v>
      </c>
      <c r="N114" s="284">
        <v>4700.6017401607678</v>
      </c>
      <c r="O114" s="284">
        <v>4827.1227462877996</v>
      </c>
      <c r="P114" s="284">
        <v>5838.3401145138505</v>
      </c>
      <c r="Q114" s="284">
        <v>6029.1601036648226</v>
      </c>
      <c r="R114" s="284">
        <v>5068.9121217397133</v>
      </c>
      <c r="S114" s="284">
        <v>4851.2233637987565</v>
      </c>
      <c r="T114" s="284">
        <v>5098.1091126620513</v>
      </c>
      <c r="U114" s="284">
        <v>3711.4849592405894</v>
      </c>
      <c r="V114" s="284">
        <v>3199.6010669144102</v>
      </c>
      <c r="W114" s="284">
        <v>3364.2829938654936</v>
      </c>
      <c r="X114" s="284">
        <v>3696.5109798708418</v>
      </c>
      <c r="Y114" s="284">
        <v>4115.571052340144</v>
      </c>
      <c r="Z114" s="284">
        <v>5228.6893916952886</v>
      </c>
      <c r="AA114" s="284">
        <v>6379.878330947713</v>
      </c>
      <c r="AB114" s="284">
        <v>6867.230037720652</v>
      </c>
      <c r="AC114" s="284">
        <v>6599.9250238038248</v>
      </c>
      <c r="AD114" s="284">
        <v>6019.4587769966429</v>
      </c>
      <c r="AE114" s="284">
        <v>4559.0634774311566</v>
      </c>
      <c r="AF114" s="284">
        <v>4008.6755012235913</v>
      </c>
      <c r="AG114" s="284">
        <v>3568.3198711687178</v>
      </c>
      <c r="AH114" s="284">
        <v>3409.5270438766061</v>
      </c>
      <c r="AI114" s="284">
        <v>3240.3367257229093</v>
      </c>
      <c r="AJ114" s="284">
        <v>3235.8940947788105</v>
      </c>
      <c r="AK114" s="284">
        <v>3486.7676807004773</v>
      </c>
      <c r="AL114" s="284">
        <v>4506.2392541631707</v>
      </c>
      <c r="AM114" s="284">
        <v>5136.0912713869693</v>
      </c>
      <c r="AN114" s="284">
        <v>5369.3747935061247</v>
      </c>
      <c r="AO114" s="284">
        <v>4663.7358007895273</v>
      </c>
      <c r="AP114" s="284">
        <v>4726.262386232961</v>
      </c>
      <c r="AQ114" s="284">
        <v>3834.4041773383001</v>
      </c>
      <c r="AR114" s="284">
        <v>3922.3853473422528</v>
      </c>
      <c r="AS114" s="284">
        <v>3291.7492395282829</v>
      </c>
      <c r="AT114" s="284">
        <v>3002.6916832593265</v>
      </c>
      <c r="AU114" s="284">
        <v>3359.8177312255189</v>
      </c>
      <c r="AV114" s="284">
        <v>4262.7427463831646</v>
      </c>
      <c r="AW114" s="284">
        <v>4849.551435473717</v>
      </c>
      <c r="AX114" s="284">
        <v>5164.8732121918838</v>
      </c>
      <c r="AY114" s="284">
        <v>6149.2955723314635</v>
      </c>
    </row>
    <row r="115" spans="1:51" ht="12.75" hidden="1" customHeight="1" x14ac:dyDescent="0.25">
      <c r="A115" s="59">
        <v>117.1</v>
      </c>
      <c r="B115" s="39" t="s">
        <v>3573</v>
      </c>
      <c r="C115" s="59" t="s">
        <v>3572</v>
      </c>
      <c r="D115" s="284">
        <v>0</v>
      </c>
      <c r="E115" s="284">
        <v>0</v>
      </c>
      <c r="F115" s="284">
        <v>0</v>
      </c>
      <c r="G115" s="284">
        <v>0</v>
      </c>
      <c r="H115" s="284">
        <v>0</v>
      </c>
      <c r="I115" s="284">
        <v>0</v>
      </c>
      <c r="J115" s="284">
        <v>0</v>
      </c>
      <c r="K115" s="284">
        <v>0</v>
      </c>
      <c r="L115" s="284">
        <v>0</v>
      </c>
      <c r="M115" s="284">
        <v>0</v>
      </c>
      <c r="N115" s="284">
        <v>0</v>
      </c>
      <c r="O115" s="284">
        <v>0</v>
      </c>
      <c r="P115" s="284">
        <v>0</v>
      </c>
      <c r="Q115" s="284">
        <v>0</v>
      </c>
      <c r="R115" s="284">
        <v>0</v>
      </c>
      <c r="S115" s="284">
        <v>0</v>
      </c>
      <c r="T115" s="284">
        <v>0</v>
      </c>
      <c r="U115" s="284">
        <v>0</v>
      </c>
      <c r="V115" s="284">
        <v>0</v>
      </c>
      <c r="W115" s="284">
        <v>0</v>
      </c>
      <c r="X115" s="284">
        <v>0</v>
      </c>
      <c r="Y115" s="284">
        <v>0</v>
      </c>
      <c r="Z115" s="284">
        <v>0</v>
      </c>
      <c r="AA115" s="284">
        <v>0</v>
      </c>
      <c r="AB115" s="284">
        <v>0</v>
      </c>
      <c r="AC115" s="284">
        <v>0</v>
      </c>
      <c r="AD115" s="284">
        <v>0</v>
      </c>
      <c r="AE115" s="284">
        <v>0</v>
      </c>
      <c r="AF115" s="284">
        <v>0</v>
      </c>
      <c r="AG115" s="284">
        <v>0</v>
      </c>
      <c r="AH115" s="284">
        <v>0</v>
      </c>
      <c r="AI115" s="284">
        <v>0</v>
      </c>
      <c r="AJ115" s="284">
        <v>0</v>
      </c>
      <c r="AK115" s="284">
        <v>0</v>
      </c>
      <c r="AL115" s="284">
        <v>0</v>
      </c>
      <c r="AM115" s="284">
        <v>0</v>
      </c>
      <c r="AN115" s="284">
        <v>0</v>
      </c>
      <c r="AO115" s="284">
        <v>0</v>
      </c>
      <c r="AP115" s="284">
        <v>0</v>
      </c>
      <c r="AQ115" s="284">
        <v>0</v>
      </c>
      <c r="AR115" s="284">
        <v>0</v>
      </c>
      <c r="AS115" s="284">
        <v>0</v>
      </c>
      <c r="AT115" s="284">
        <v>0</v>
      </c>
      <c r="AU115" s="284">
        <v>0</v>
      </c>
      <c r="AV115" s="284">
        <v>0</v>
      </c>
      <c r="AW115" s="284">
        <v>0</v>
      </c>
      <c r="AX115" s="284">
        <v>0</v>
      </c>
      <c r="AY115" s="284">
        <v>0</v>
      </c>
    </row>
    <row r="116" spans="1:51" ht="12.75" hidden="1" customHeight="1" x14ac:dyDescent="0.25">
      <c r="A116" s="59">
        <v>139</v>
      </c>
      <c r="B116" s="39" t="s">
        <v>3581</v>
      </c>
      <c r="C116" s="59" t="s">
        <v>317</v>
      </c>
      <c r="D116" s="284">
        <v>5310.4918541217257</v>
      </c>
      <c r="E116" s="284">
        <v>5738.2474367153445</v>
      </c>
      <c r="F116" s="284">
        <v>5992.4609890804868</v>
      </c>
      <c r="G116" s="284">
        <v>4906.9300311346778</v>
      </c>
      <c r="H116" s="284">
        <v>5274.116497404495</v>
      </c>
      <c r="I116" s="284">
        <v>4123.4937890051106</v>
      </c>
      <c r="J116" s="284">
        <v>3403.1349999544477</v>
      </c>
      <c r="K116" s="284">
        <v>3481.8228645332638</v>
      </c>
      <c r="L116" s="284">
        <v>4596.0237123036768</v>
      </c>
      <c r="M116" s="284">
        <v>5923.1120585932949</v>
      </c>
      <c r="N116" s="284">
        <v>6445.5531284972085</v>
      </c>
      <c r="O116" s="284">
        <v>6824.2221095887262</v>
      </c>
      <c r="P116" s="284">
        <v>8686.0413186373044</v>
      </c>
      <c r="Q116" s="284">
        <v>9111.7363013359991</v>
      </c>
      <c r="R116" s="284">
        <v>7846.7171801642062</v>
      </c>
      <c r="S116" s="284">
        <v>7208.2589712798444</v>
      </c>
      <c r="T116" s="284">
        <v>7732.9349959584397</v>
      </c>
      <c r="U116" s="284">
        <v>5809.4116530392075</v>
      </c>
      <c r="V116" s="284">
        <v>5083.7278618867867</v>
      </c>
      <c r="W116" s="284">
        <v>4984.4179555042319</v>
      </c>
      <c r="X116" s="284">
        <v>4856.4151529585315</v>
      </c>
      <c r="Y116" s="284">
        <v>6333.4089532353692</v>
      </c>
      <c r="Z116" s="284">
        <v>8088.6105773070904</v>
      </c>
      <c r="AA116" s="284">
        <v>10020.935828780295</v>
      </c>
      <c r="AB116" s="284">
        <v>10650.722454939088</v>
      </c>
      <c r="AC116" s="284">
        <v>9286.5627893288565</v>
      </c>
      <c r="AD116" s="284">
        <v>9107.2234848770531</v>
      </c>
      <c r="AE116" s="284">
        <v>7262.901609732693</v>
      </c>
      <c r="AF116" s="284">
        <v>6406.4017379473635</v>
      </c>
      <c r="AG116" s="284">
        <v>5719.781935575088</v>
      </c>
      <c r="AH116" s="284">
        <v>5465.2474829933926</v>
      </c>
      <c r="AI116" s="284">
        <v>5194.0465367809211</v>
      </c>
      <c r="AJ116" s="284">
        <v>5180.4998160041478</v>
      </c>
      <c r="AK116" s="284">
        <v>5589.0591409019617</v>
      </c>
      <c r="AL116" s="284">
        <v>7223.2049855160458</v>
      </c>
      <c r="AM116" s="284">
        <v>8232.8163208984479</v>
      </c>
      <c r="AN116" s="284">
        <v>8606.7544553312928</v>
      </c>
      <c r="AO116" s="284">
        <v>7475.6615854939637</v>
      </c>
      <c r="AP116" s="284">
        <v>7575.8875873168909</v>
      </c>
      <c r="AQ116" s="284">
        <v>6085.2876097036442</v>
      </c>
      <c r="AR116" s="284">
        <v>5940.5865191412231</v>
      </c>
      <c r="AS116" s="284">
        <v>5101.4357287915163</v>
      </c>
      <c r="AT116" s="284">
        <v>4768.1398218770782</v>
      </c>
      <c r="AU116" s="284">
        <v>4844.0383473482152</v>
      </c>
      <c r="AV116" s="284">
        <v>5247.676364654837</v>
      </c>
      <c r="AW116" s="284">
        <v>6182.3841195394571</v>
      </c>
      <c r="AX116" s="284">
        <v>6805.1333559301429</v>
      </c>
      <c r="AY116" s="284">
        <v>8879.2358783554391</v>
      </c>
    </row>
    <row r="117" spans="1:51" ht="12.75" hidden="1" customHeight="1" x14ac:dyDescent="0.25">
      <c r="A117" s="59">
        <v>191</v>
      </c>
      <c r="B117" s="39" t="s">
        <v>386</v>
      </c>
      <c r="C117" s="59" t="s">
        <v>387</v>
      </c>
      <c r="D117" s="284">
        <v>0</v>
      </c>
      <c r="E117" s="284">
        <v>0</v>
      </c>
      <c r="F117" s="284">
        <v>0</v>
      </c>
      <c r="G117" s="284">
        <v>0</v>
      </c>
      <c r="H117" s="284">
        <v>0</v>
      </c>
      <c r="I117" s="284">
        <v>0</v>
      </c>
      <c r="J117" s="284">
        <v>0</v>
      </c>
      <c r="K117" s="284">
        <v>0</v>
      </c>
      <c r="L117" s="284">
        <v>0</v>
      </c>
      <c r="M117" s="284">
        <v>0</v>
      </c>
      <c r="N117" s="284">
        <v>0</v>
      </c>
      <c r="O117" s="284">
        <v>0</v>
      </c>
      <c r="P117" s="284">
        <v>0</v>
      </c>
      <c r="Q117" s="284">
        <v>0</v>
      </c>
      <c r="R117" s="284">
        <v>0</v>
      </c>
      <c r="S117" s="284">
        <v>0</v>
      </c>
      <c r="T117" s="284">
        <v>0</v>
      </c>
      <c r="U117" s="284">
        <v>0</v>
      </c>
      <c r="V117" s="284">
        <v>0</v>
      </c>
      <c r="W117" s="284">
        <v>0</v>
      </c>
      <c r="X117" s="284">
        <v>0</v>
      </c>
      <c r="Y117" s="284">
        <v>0</v>
      </c>
      <c r="Z117" s="284">
        <v>0</v>
      </c>
      <c r="AA117" s="284">
        <v>0</v>
      </c>
      <c r="AB117" s="284">
        <v>0</v>
      </c>
      <c r="AC117" s="284">
        <v>0</v>
      </c>
      <c r="AD117" s="284">
        <v>0</v>
      </c>
      <c r="AE117" s="284">
        <v>0</v>
      </c>
      <c r="AF117" s="284">
        <v>0</v>
      </c>
      <c r="AG117" s="284">
        <v>0</v>
      </c>
      <c r="AH117" s="284">
        <v>0</v>
      </c>
      <c r="AI117" s="284">
        <v>0</v>
      </c>
      <c r="AJ117" s="284">
        <v>0</v>
      </c>
      <c r="AK117" s="284">
        <v>0</v>
      </c>
      <c r="AL117" s="284">
        <v>0</v>
      </c>
      <c r="AM117" s="284">
        <v>0</v>
      </c>
      <c r="AN117" s="284">
        <v>0</v>
      </c>
      <c r="AO117" s="284">
        <v>0</v>
      </c>
      <c r="AP117" s="284">
        <v>0</v>
      </c>
      <c r="AQ117" s="284">
        <v>0</v>
      </c>
      <c r="AR117" s="284">
        <v>0</v>
      </c>
      <c r="AS117" s="284">
        <v>0</v>
      </c>
      <c r="AT117" s="284">
        <v>0</v>
      </c>
      <c r="AU117" s="284">
        <v>0</v>
      </c>
      <c r="AV117" s="284">
        <v>0</v>
      </c>
      <c r="AW117" s="284">
        <v>0</v>
      </c>
      <c r="AX117" s="284">
        <v>0</v>
      </c>
      <c r="AY117" s="284">
        <v>0</v>
      </c>
    </row>
    <row r="118" spans="1:51" ht="12.75" hidden="1" customHeight="1" x14ac:dyDescent="0.25">
      <c r="A118" s="59">
        <v>192</v>
      </c>
      <c r="B118" s="39" t="s">
        <v>395</v>
      </c>
      <c r="C118" s="59" t="s">
        <v>396</v>
      </c>
      <c r="D118" s="284">
        <v>0</v>
      </c>
      <c r="E118" s="284">
        <v>0</v>
      </c>
      <c r="F118" s="284">
        <v>0</v>
      </c>
      <c r="G118" s="284">
        <v>0</v>
      </c>
      <c r="H118" s="284">
        <v>0</v>
      </c>
      <c r="I118" s="284">
        <v>0</v>
      </c>
      <c r="J118" s="284">
        <v>0</v>
      </c>
      <c r="K118" s="284">
        <v>0</v>
      </c>
      <c r="L118" s="284">
        <v>0</v>
      </c>
      <c r="M118" s="284">
        <v>0</v>
      </c>
      <c r="N118" s="284">
        <v>0</v>
      </c>
      <c r="O118" s="284">
        <v>0</v>
      </c>
      <c r="P118" s="284">
        <v>0</v>
      </c>
      <c r="Q118" s="284">
        <v>0</v>
      </c>
      <c r="R118" s="284">
        <v>0</v>
      </c>
      <c r="S118" s="284">
        <v>0</v>
      </c>
      <c r="T118" s="284">
        <v>0</v>
      </c>
      <c r="U118" s="284">
        <v>0</v>
      </c>
      <c r="V118" s="284">
        <v>0</v>
      </c>
      <c r="W118" s="284">
        <v>0</v>
      </c>
      <c r="X118" s="284">
        <v>0</v>
      </c>
      <c r="Y118" s="284">
        <v>0</v>
      </c>
      <c r="Z118" s="284">
        <v>0</v>
      </c>
      <c r="AA118" s="284">
        <v>0</v>
      </c>
      <c r="AB118" s="284">
        <v>0</v>
      </c>
      <c r="AC118" s="284">
        <v>0</v>
      </c>
      <c r="AD118" s="284">
        <v>0</v>
      </c>
      <c r="AE118" s="284">
        <v>0</v>
      </c>
      <c r="AF118" s="284">
        <v>0</v>
      </c>
      <c r="AG118" s="284">
        <v>0</v>
      </c>
      <c r="AH118" s="284">
        <v>0</v>
      </c>
      <c r="AI118" s="284">
        <v>0</v>
      </c>
      <c r="AJ118" s="284">
        <v>0</v>
      </c>
      <c r="AK118" s="284">
        <v>0</v>
      </c>
      <c r="AL118" s="284">
        <v>0</v>
      </c>
      <c r="AM118" s="284">
        <v>0</v>
      </c>
      <c r="AN118" s="284">
        <v>0</v>
      </c>
      <c r="AO118" s="284">
        <v>0</v>
      </c>
      <c r="AP118" s="284">
        <v>0</v>
      </c>
      <c r="AQ118" s="284">
        <v>0</v>
      </c>
      <c r="AR118" s="284">
        <v>0</v>
      </c>
      <c r="AS118" s="284">
        <v>0</v>
      </c>
      <c r="AT118" s="284">
        <v>0</v>
      </c>
      <c r="AU118" s="284">
        <v>0</v>
      </c>
      <c r="AV118" s="284">
        <v>0</v>
      </c>
      <c r="AW118" s="284">
        <v>0</v>
      </c>
      <c r="AX118" s="284">
        <v>0</v>
      </c>
      <c r="AY118" s="284">
        <v>0</v>
      </c>
    </row>
    <row r="119" spans="1:51" ht="12.75" hidden="1" customHeight="1" x14ac:dyDescent="0.25">
      <c r="A119" s="59">
        <v>162</v>
      </c>
      <c r="B119" s="39" t="s">
        <v>359</v>
      </c>
      <c r="C119" s="59" t="s">
        <v>357</v>
      </c>
      <c r="D119" s="284">
        <v>0</v>
      </c>
      <c r="E119" s="284">
        <v>0</v>
      </c>
      <c r="F119" s="284">
        <v>0</v>
      </c>
      <c r="G119" s="284">
        <v>0</v>
      </c>
      <c r="H119" s="284">
        <v>0</v>
      </c>
      <c r="I119" s="284">
        <v>0</v>
      </c>
      <c r="J119" s="284">
        <v>0</v>
      </c>
      <c r="K119" s="284">
        <v>0</v>
      </c>
      <c r="L119" s="284">
        <v>0</v>
      </c>
      <c r="M119" s="284">
        <v>0</v>
      </c>
      <c r="N119" s="284">
        <v>0</v>
      </c>
      <c r="O119" s="284">
        <v>0</v>
      </c>
      <c r="P119" s="284">
        <v>0</v>
      </c>
      <c r="Q119" s="284">
        <v>0</v>
      </c>
      <c r="R119" s="284">
        <v>0</v>
      </c>
      <c r="S119" s="284">
        <v>0</v>
      </c>
      <c r="T119" s="284">
        <v>0</v>
      </c>
      <c r="U119" s="284">
        <v>0</v>
      </c>
      <c r="V119" s="284">
        <v>0</v>
      </c>
      <c r="W119" s="284">
        <v>0</v>
      </c>
      <c r="X119" s="284">
        <v>0</v>
      </c>
      <c r="Y119" s="284">
        <v>0</v>
      </c>
      <c r="Z119" s="284">
        <v>0</v>
      </c>
      <c r="AA119" s="284">
        <v>0</v>
      </c>
      <c r="AB119" s="284">
        <v>0</v>
      </c>
      <c r="AC119" s="284">
        <v>0</v>
      </c>
      <c r="AD119" s="284">
        <v>0</v>
      </c>
      <c r="AE119" s="284">
        <v>0</v>
      </c>
      <c r="AF119" s="284">
        <v>0</v>
      </c>
      <c r="AG119" s="284">
        <v>0</v>
      </c>
      <c r="AH119" s="284">
        <v>0</v>
      </c>
      <c r="AI119" s="284">
        <v>0</v>
      </c>
      <c r="AJ119" s="284">
        <v>0</v>
      </c>
      <c r="AK119" s="284">
        <v>0</v>
      </c>
      <c r="AL119" s="284">
        <v>0</v>
      </c>
      <c r="AM119" s="284">
        <v>0</v>
      </c>
      <c r="AN119" s="284">
        <v>0</v>
      </c>
      <c r="AO119" s="284">
        <v>0</v>
      </c>
      <c r="AP119" s="284">
        <v>0</v>
      </c>
      <c r="AQ119" s="284">
        <v>0</v>
      </c>
      <c r="AR119" s="284">
        <v>0</v>
      </c>
      <c r="AS119" s="284">
        <v>0</v>
      </c>
      <c r="AT119" s="284">
        <v>0</v>
      </c>
      <c r="AU119" s="284">
        <v>0</v>
      </c>
      <c r="AV119" s="284">
        <v>0</v>
      </c>
      <c r="AW119" s="284">
        <v>0</v>
      </c>
      <c r="AX119" s="284">
        <v>0</v>
      </c>
      <c r="AY119" s="284">
        <v>0</v>
      </c>
    </row>
    <row r="120" spans="1:51" ht="12.75" hidden="1" customHeight="1" x14ac:dyDescent="0.25">
      <c r="A120" s="59">
        <v>133</v>
      </c>
      <c r="B120" s="39" t="s">
        <v>3578</v>
      </c>
      <c r="C120" s="59" t="s">
        <v>306</v>
      </c>
      <c r="D120" s="284">
        <v>0</v>
      </c>
      <c r="E120" s="284">
        <v>0</v>
      </c>
      <c r="F120" s="284">
        <v>0</v>
      </c>
      <c r="G120" s="284">
        <v>0</v>
      </c>
      <c r="H120" s="284">
        <v>0</v>
      </c>
      <c r="I120" s="284">
        <v>0</v>
      </c>
      <c r="J120" s="284">
        <v>0</v>
      </c>
      <c r="K120" s="284">
        <v>0</v>
      </c>
      <c r="L120" s="284">
        <v>0</v>
      </c>
      <c r="M120" s="284">
        <v>0</v>
      </c>
      <c r="N120" s="284">
        <v>0</v>
      </c>
      <c r="O120" s="284">
        <v>0</v>
      </c>
      <c r="P120" s="284">
        <v>0</v>
      </c>
      <c r="Q120" s="284">
        <v>0</v>
      </c>
      <c r="R120" s="284">
        <v>0</v>
      </c>
      <c r="S120" s="284">
        <v>0</v>
      </c>
      <c r="T120" s="284">
        <v>0</v>
      </c>
      <c r="U120" s="284">
        <v>0</v>
      </c>
      <c r="V120" s="284">
        <v>0</v>
      </c>
      <c r="W120" s="284">
        <v>0</v>
      </c>
      <c r="X120" s="284">
        <v>0</v>
      </c>
      <c r="Y120" s="284">
        <v>0</v>
      </c>
      <c r="Z120" s="284">
        <v>0</v>
      </c>
      <c r="AA120" s="284">
        <v>0</v>
      </c>
      <c r="AB120" s="284">
        <v>0</v>
      </c>
      <c r="AC120" s="284">
        <v>0</v>
      </c>
      <c r="AD120" s="284">
        <v>0</v>
      </c>
      <c r="AE120" s="284">
        <v>0</v>
      </c>
      <c r="AF120" s="284">
        <v>0</v>
      </c>
      <c r="AG120" s="284">
        <v>0</v>
      </c>
      <c r="AH120" s="284">
        <v>0</v>
      </c>
      <c r="AI120" s="284">
        <v>0</v>
      </c>
      <c r="AJ120" s="284">
        <v>0</v>
      </c>
      <c r="AK120" s="284">
        <v>0</v>
      </c>
      <c r="AL120" s="284">
        <v>0</v>
      </c>
      <c r="AM120" s="284">
        <v>0</v>
      </c>
      <c r="AN120" s="284">
        <v>0</v>
      </c>
      <c r="AO120" s="284">
        <v>0</v>
      </c>
      <c r="AP120" s="284">
        <v>0</v>
      </c>
      <c r="AQ120" s="284">
        <v>0</v>
      </c>
      <c r="AR120" s="284">
        <v>0</v>
      </c>
      <c r="AS120" s="284">
        <v>0</v>
      </c>
      <c r="AT120" s="284">
        <v>0</v>
      </c>
      <c r="AU120" s="284">
        <v>0</v>
      </c>
      <c r="AV120" s="284">
        <v>0</v>
      </c>
      <c r="AW120" s="284">
        <v>0</v>
      </c>
      <c r="AX120" s="284">
        <v>0</v>
      </c>
      <c r="AY120" s="284">
        <v>0</v>
      </c>
    </row>
    <row r="121" spans="1:51" ht="12.75" hidden="1" customHeight="1" x14ac:dyDescent="0.25">
      <c r="A121" s="59">
        <v>189</v>
      </c>
      <c r="B121" s="39" t="s">
        <v>380</v>
      </c>
      <c r="C121" s="59" t="s">
        <v>381</v>
      </c>
      <c r="D121" s="284">
        <v>3219.2605770587384</v>
      </c>
      <c r="E121" s="284">
        <v>3512.6625597269763</v>
      </c>
      <c r="F121" s="284">
        <v>3789.4881117971599</v>
      </c>
      <c r="G121" s="284">
        <v>3144.3899891225601</v>
      </c>
      <c r="H121" s="284">
        <v>3270.6274895784986</v>
      </c>
      <c r="I121" s="284">
        <v>2451.4089414584155</v>
      </c>
      <c r="J121" s="284">
        <v>1914.229913795785</v>
      </c>
      <c r="K121" s="284">
        <v>2092.1174106850694</v>
      </c>
      <c r="L121" s="284">
        <v>1835.9638433836142</v>
      </c>
      <c r="M121" s="284">
        <v>1891.5540737481672</v>
      </c>
      <c r="N121" s="284">
        <v>2423.2442381750138</v>
      </c>
      <c r="O121" s="284">
        <v>3622.1027028950261</v>
      </c>
      <c r="P121" s="284">
        <v>3530.6010484026301</v>
      </c>
      <c r="Q121" s="284">
        <v>2904.8165686536704</v>
      </c>
      <c r="R121" s="284">
        <v>2886.7357584287802</v>
      </c>
      <c r="S121" s="284">
        <v>2323.5051210566835</v>
      </c>
      <c r="T121" s="284">
        <v>2356.0602046334066</v>
      </c>
      <c r="U121" s="284">
        <v>1776.2048387458879</v>
      </c>
      <c r="V121" s="284">
        <v>1529.7927814888064</v>
      </c>
      <c r="W121" s="284">
        <v>1651.6967022114</v>
      </c>
      <c r="X121" s="284">
        <v>1732.2855489411154</v>
      </c>
      <c r="Y121" s="284">
        <v>1916.8868512813629</v>
      </c>
      <c r="Z121" s="284">
        <v>2421.8566690894058</v>
      </c>
      <c r="AA121" s="284">
        <v>2820.4102180986388</v>
      </c>
      <c r="AB121" s="284">
        <v>2516.2991141525245</v>
      </c>
      <c r="AC121" s="284">
        <v>2369.8930334137463</v>
      </c>
      <c r="AD121" s="284">
        <v>2375.6563414202524</v>
      </c>
      <c r="AE121" s="284">
        <v>1931.5284528083023</v>
      </c>
      <c r="AF121" s="284">
        <v>1676.8201171246951</v>
      </c>
      <c r="AG121" s="284">
        <v>1504.3332743869296</v>
      </c>
      <c r="AH121" s="284">
        <v>1385.5276180121059</v>
      </c>
      <c r="AI121" s="284">
        <v>1205.8270587595975</v>
      </c>
      <c r="AJ121" s="284">
        <v>1153.8117226027757</v>
      </c>
      <c r="AK121" s="284">
        <v>1159.2745008640027</v>
      </c>
      <c r="AL121" s="284">
        <v>1501.8950725459529</v>
      </c>
      <c r="AM121" s="284">
        <v>1547.2620319266975</v>
      </c>
      <c r="AN121" s="284">
        <v>1505.1511298351575</v>
      </c>
      <c r="AO121" s="284">
        <v>1215.3307122518509</v>
      </c>
      <c r="AP121" s="284">
        <v>2349.9608543730292</v>
      </c>
      <c r="AQ121" s="284">
        <v>2032.2542515765233</v>
      </c>
      <c r="AR121" s="284">
        <v>2184.5344672046444</v>
      </c>
      <c r="AS121" s="284">
        <v>1712.7468974561725</v>
      </c>
      <c r="AT121" s="284">
        <v>1742.995209491449</v>
      </c>
      <c r="AU121" s="284">
        <v>1873.6234733583665</v>
      </c>
      <c r="AV121" s="284">
        <v>2091.2882341306749</v>
      </c>
      <c r="AW121" s="284">
        <v>2651.6596649031831</v>
      </c>
      <c r="AX121" s="284">
        <v>3007.0258849051252</v>
      </c>
      <c r="AY121" s="284">
        <v>4191.7626074028649</v>
      </c>
    </row>
    <row r="122" spans="1:51" ht="12.75" hidden="1" customHeight="1" x14ac:dyDescent="0.25">
      <c r="A122" s="59">
        <v>153</v>
      </c>
      <c r="B122" s="39" t="s">
        <v>3586</v>
      </c>
      <c r="C122" s="59" t="s">
        <v>343</v>
      </c>
      <c r="D122" s="284">
        <v>0</v>
      </c>
      <c r="E122" s="284">
        <v>27</v>
      </c>
      <c r="F122" s="284">
        <v>11</v>
      </c>
      <c r="G122" s="284">
        <v>10</v>
      </c>
      <c r="H122" s="284">
        <v>10</v>
      </c>
      <c r="I122" s="284">
        <v>8</v>
      </c>
      <c r="J122" s="284">
        <v>10</v>
      </c>
      <c r="K122" s="284">
        <v>11</v>
      </c>
      <c r="L122" s="284">
        <v>10</v>
      </c>
      <c r="M122" s="284">
        <v>12</v>
      </c>
      <c r="N122" s="284">
        <v>14</v>
      </c>
      <c r="O122" s="284">
        <v>13</v>
      </c>
      <c r="P122" s="284">
        <v>12</v>
      </c>
      <c r="Q122" s="284">
        <v>10</v>
      </c>
      <c r="R122" s="284">
        <v>10</v>
      </c>
      <c r="S122" s="284">
        <v>10</v>
      </c>
      <c r="T122" s="284">
        <v>9</v>
      </c>
      <c r="U122" s="284">
        <v>9</v>
      </c>
      <c r="V122" s="284">
        <v>8</v>
      </c>
      <c r="W122" s="284">
        <v>9</v>
      </c>
      <c r="X122" s="284">
        <v>9</v>
      </c>
      <c r="Y122" s="284">
        <v>0</v>
      </c>
      <c r="Z122" s="284">
        <v>19</v>
      </c>
      <c r="AA122" s="284">
        <v>11</v>
      </c>
      <c r="AB122" s="284">
        <v>0</v>
      </c>
      <c r="AC122" s="284">
        <v>18</v>
      </c>
      <c r="AD122" s="284">
        <v>9</v>
      </c>
      <c r="AE122" s="284">
        <v>8</v>
      </c>
      <c r="AF122" s="284">
        <v>9</v>
      </c>
      <c r="AG122" s="284">
        <v>9</v>
      </c>
      <c r="AH122" s="284">
        <v>9</v>
      </c>
      <c r="AI122" s="284">
        <v>8</v>
      </c>
      <c r="AJ122" s="284">
        <v>10</v>
      </c>
      <c r="AK122" s="284">
        <v>0</v>
      </c>
      <c r="AL122" s="284">
        <v>0</v>
      </c>
      <c r="AM122" s="284">
        <v>14</v>
      </c>
      <c r="AN122" s="284">
        <v>6</v>
      </c>
      <c r="AO122" s="284">
        <v>6</v>
      </c>
      <c r="AP122" s="284">
        <v>9</v>
      </c>
      <c r="AQ122" s="284">
        <v>6</v>
      </c>
      <c r="AR122" s="284">
        <v>6</v>
      </c>
      <c r="AS122" s="284">
        <v>6</v>
      </c>
      <c r="AT122" s="284">
        <v>5</v>
      </c>
      <c r="AU122" s="284">
        <v>0</v>
      </c>
      <c r="AV122" s="284">
        <v>1</v>
      </c>
      <c r="AW122" s="284">
        <v>1</v>
      </c>
      <c r="AX122" s="284">
        <v>0</v>
      </c>
      <c r="AY122" s="284">
        <v>0</v>
      </c>
    </row>
    <row r="123" spans="1:51" ht="12.75" hidden="1" customHeight="1" x14ac:dyDescent="0.25">
      <c r="A123" s="59">
        <v>141</v>
      </c>
      <c r="B123" s="39" t="s">
        <v>3582</v>
      </c>
      <c r="C123" s="347" t="s">
        <v>320</v>
      </c>
      <c r="D123" s="284">
        <v>24.696612886405564</v>
      </c>
      <c r="E123" s="284">
        <v>31.063121269589022</v>
      </c>
      <c r="F123" s="284">
        <v>31.711401110075006</v>
      </c>
      <c r="G123" s="284">
        <v>0</v>
      </c>
      <c r="H123" s="284">
        <v>0</v>
      </c>
      <c r="I123" s="284">
        <v>0</v>
      </c>
      <c r="J123" s="284">
        <v>0</v>
      </c>
      <c r="K123" s="284">
        <v>0</v>
      </c>
      <c r="L123" s="284">
        <v>0</v>
      </c>
      <c r="M123" s="284">
        <v>0</v>
      </c>
      <c r="N123" s="284">
        <v>0</v>
      </c>
      <c r="O123" s="284">
        <v>0</v>
      </c>
      <c r="P123" s="284">
        <v>0</v>
      </c>
      <c r="Q123" s="284">
        <v>0</v>
      </c>
      <c r="R123" s="284">
        <v>0</v>
      </c>
      <c r="S123" s="284">
        <v>0</v>
      </c>
      <c r="T123" s="284">
        <v>0</v>
      </c>
      <c r="U123" s="284">
        <v>0</v>
      </c>
      <c r="V123" s="284">
        <v>0</v>
      </c>
      <c r="W123" s="284">
        <v>0</v>
      </c>
      <c r="X123" s="284">
        <v>0</v>
      </c>
      <c r="Y123" s="284">
        <v>0</v>
      </c>
      <c r="Z123" s="284">
        <v>0</v>
      </c>
      <c r="AA123" s="284">
        <v>0</v>
      </c>
      <c r="AB123" s="284">
        <v>0</v>
      </c>
      <c r="AC123" s="284">
        <v>0</v>
      </c>
      <c r="AD123" s="284">
        <v>0</v>
      </c>
      <c r="AE123" s="284">
        <v>0</v>
      </c>
      <c r="AF123" s="284">
        <v>0</v>
      </c>
      <c r="AG123" s="284">
        <v>0</v>
      </c>
      <c r="AH123" s="284">
        <v>0</v>
      </c>
      <c r="AI123" s="284">
        <v>0</v>
      </c>
      <c r="AJ123" s="284">
        <v>0</v>
      </c>
      <c r="AK123" s="284">
        <v>0</v>
      </c>
      <c r="AL123" s="284">
        <v>0</v>
      </c>
      <c r="AM123" s="284">
        <v>0</v>
      </c>
      <c r="AN123" s="284">
        <v>0</v>
      </c>
      <c r="AO123" s="284">
        <v>0</v>
      </c>
      <c r="AP123" s="284">
        <v>0</v>
      </c>
      <c r="AQ123" s="284">
        <v>0</v>
      </c>
      <c r="AR123" s="284">
        <v>0</v>
      </c>
      <c r="AS123" s="284">
        <v>0</v>
      </c>
      <c r="AT123" s="284">
        <v>0</v>
      </c>
      <c r="AU123" s="284">
        <v>0</v>
      </c>
      <c r="AV123" s="284">
        <v>0</v>
      </c>
      <c r="AW123" s="284">
        <v>0</v>
      </c>
      <c r="AX123" s="284">
        <v>0</v>
      </c>
      <c r="AY123" s="284">
        <v>0</v>
      </c>
    </row>
    <row r="124" spans="1:51" ht="12.75" hidden="1" customHeight="1" x14ac:dyDescent="0.25">
      <c r="A124" s="59">
        <v>262</v>
      </c>
      <c r="B124" s="100" t="s">
        <v>3608</v>
      </c>
      <c r="C124" s="59" t="s">
        <v>3609</v>
      </c>
      <c r="D124" s="284">
        <v>1485.4334516297074</v>
      </c>
      <c r="E124" s="284">
        <v>1709.581219428894</v>
      </c>
      <c r="F124" s="284">
        <v>1869.6964531107974</v>
      </c>
      <c r="G124" s="284">
        <v>1584.6106529248771</v>
      </c>
      <c r="H124" s="284">
        <v>1665.6535942825867</v>
      </c>
      <c r="I124" s="284">
        <v>1244.8799357952628</v>
      </c>
      <c r="J124" s="284">
        <v>940.75071379553208</v>
      </c>
      <c r="K124" s="284">
        <v>1026.2518641160116</v>
      </c>
      <c r="L124" s="284">
        <v>891.21539364672014</v>
      </c>
      <c r="M124" s="284">
        <v>963.32396512833861</v>
      </c>
      <c r="N124" s="284">
        <v>1186.2292632348092</v>
      </c>
      <c r="O124" s="284">
        <v>1798.8167656508454</v>
      </c>
      <c r="P124" s="284">
        <v>1764.4397619157701</v>
      </c>
      <c r="Q124" s="284">
        <v>1438.6125860433485</v>
      </c>
      <c r="R124" s="284">
        <v>1445.1920252955099</v>
      </c>
      <c r="S124" s="284">
        <v>1181.2693601321248</v>
      </c>
      <c r="T124" s="284">
        <v>1198.8674508176898</v>
      </c>
      <c r="U124" s="284">
        <v>903.56076198439121</v>
      </c>
      <c r="V124" s="284">
        <v>747.51231374990459</v>
      </c>
      <c r="W124" s="284">
        <v>805.01162296791028</v>
      </c>
      <c r="X124" s="284">
        <v>834.34026704357723</v>
      </c>
      <c r="Y124" s="284">
        <v>976.22535242658046</v>
      </c>
      <c r="Z124" s="284">
        <v>1171.2628660432483</v>
      </c>
      <c r="AA124" s="284">
        <v>1378.3110188314588</v>
      </c>
      <c r="AB124" s="284">
        <v>1281.491908550671</v>
      </c>
      <c r="AC124" s="284">
        <v>1158.549474003948</v>
      </c>
      <c r="AD124" s="284">
        <v>1209.8658549392987</v>
      </c>
      <c r="AE124" s="284">
        <v>983.17269897935023</v>
      </c>
      <c r="AF124" s="284">
        <v>852.94646264501648</v>
      </c>
      <c r="AG124" s="284">
        <v>766.12152666900113</v>
      </c>
      <c r="AH124" s="284">
        <v>705.10732594086267</v>
      </c>
      <c r="AI124" s="284">
        <v>613.59006102234821</v>
      </c>
      <c r="AJ124" s="284">
        <v>587.60915114988336</v>
      </c>
      <c r="AK124" s="284">
        <v>590.3912155318942</v>
      </c>
      <c r="AL124" s="284">
        <v>764.87980786337437</v>
      </c>
      <c r="AM124" s="284">
        <v>787.98413239895376</v>
      </c>
      <c r="AN124" s="284">
        <v>766.53804119756933</v>
      </c>
      <c r="AO124" s="284">
        <v>618.93932450411671</v>
      </c>
      <c r="AP124" s="284">
        <v>1196.7797482232556</v>
      </c>
      <c r="AQ124" s="284">
        <v>1034.979253803908</v>
      </c>
      <c r="AR124" s="284">
        <v>1112.5319831524271</v>
      </c>
      <c r="AS124" s="284">
        <v>871.24312619988609</v>
      </c>
      <c r="AT124" s="284">
        <v>845.90576260708326</v>
      </c>
      <c r="AU124" s="284">
        <v>901.22758043168858</v>
      </c>
      <c r="AV124" s="284">
        <v>1004.4399726379072</v>
      </c>
      <c r="AW124" s="284">
        <v>1305.611522244496</v>
      </c>
      <c r="AX124" s="284">
        <v>1509.5086140106725</v>
      </c>
      <c r="AY124" s="284">
        <v>2072.6342992277218</v>
      </c>
    </row>
    <row r="125" spans="1:51" ht="12.75" hidden="1" customHeight="1" x14ac:dyDescent="0.25">
      <c r="A125" s="59">
        <v>83</v>
      </c>
      <c r="B125" s="39" t="s">
        <v>194</v>
      </c>
      <c r="C125" s="59" t="s">
        <v>195</v>
      </c>
      <c r="D125" s="284">
        <v>0</v>
      </c>
      <c r="E125" s="284">
        <v>0</v>
      </c>
      <c r="F125" s="284">
        <v>0</v>
      </c>
      <c r="G125" s="284">
        <v>0</v>
      </c>
      <c r="H125" s="284">
        <v>0</v>
      </c>
      <c r="I125" s="284">
        <v>0</v>
      </c>
      <c r="J125" s="284">
        <v>0</v>
      </c>
      <c r="K125" s="284">
        <v>0</v>
      </c>
      <c r="L125" s="284">
        <v>0</v>
      </c>
      <c r="M125" s="284">
        <v>0</v>
      </c>
      <c r="N125" s="284">
        <v>0</v>
      </c>
      <c r="O125" s="284">
        <v>0</v>
      </c>
      <c r="P125" s="284">
        <v>0</v>
      </c>
      <c r="Q125" s="284">
        <v>0</v>
      </c>
      <c r="R125" s="284">
        <v>0</v>
      </c>
      <c r="S125" s="284">
        <v>0</v>
      </c>
      <c r="T125" s="284">
        <v>0</v>
      </c>
      <c r="U125" s="284">
        <v>0</v>
      </c>
      <c r="V125" s="284">
        <v>0</v>
      </c>
      <c r="W125" s="284">
        <v>0</v>
      </c>
      <c r="X125" s="284">
        <v>0</v>
      </c>
      <c r="Y125" s="284">
        <v>0</v>
      </c>
      <c r="Z125" s="284">
        <v>0</v>
      </c>
      <c r="AA125" s="284">
        <v>0</v>
      </c>
      <c r="AB125" s="284">
        <v>0</v>
      </c>
      <c r="AC125" s="284">
        <v>0</v>
      </c>
      <c r="AD125" s="284">
        <v>0</v>
      </c>
      <c r="AE125" s="284">
        <v>0</v>
      </c>
      <c r="AF125" s="284">
        <v>0</v>
      </c>
      <c r="AG125" s="284">
        <v>0</v>
      </c>
      <c r="AH125" s="284">
        <v>0</v>
      </c>
      <c r="AI125" s="284">
        <v>0</v>
      </c>
      <c r="AJ125" s="284">
        <v>0</v>
      </c>
      <c r="AK125" s="284">
        <v>0</v>
      </c>
      <c r="AL125" s="284">
        <v>0</v>
      </c>
      <c r="AM125" s="284">
        <v>0</v>
      </c>
      <c r="AN125" s="284">
        <v>0</v>
      </c>
      <c r="AO125" s="284">
        <v>0</v>
      </c>
      <c r="AP125" s="284">
        <v>0</v>
      </c>
      <c r="AQ125" s="284">
        <v>0</v>
      </c>
      <c r="AR125" s="284">
        <v>0</v>
      </c>
      <c r="AS125" s="284">
        <v>0</v>
      </c>
      <c r="AT125" s="284">
        <v>0</v>
      </c>
      <c r="AU125" s="284">
        <v>0</v>
      </c>
      <c r="AV125" s="284">
        <v>0</v>
      </c>
      <c r="AW125" s="284">
        <v>0</v>
      </c>
      <c r="AX125" s="284">
        <v>0</v>
      </c>
      <c r="AY125" s="284">
        <v>0</v>
      </c>
    </row>
    <row r="126" spans="1:51" ht="12.75" hidden="1" customHeight="1" x14ac:dyDescent="0.25">
      <c r="A126" s="59">
        <v>291</v>
      </c>
      <c r="B126" s="221" t="s">
        <v>527</v>
      </c>
      <c r="C126" s="285" t="s">
        <v>528</v>
      </c>
      <c r="D126" s="284">
        <v>18732.537730235352</v>
      </c>
      <c r="E126" s="284">
        <v>14912.58319154922</v>
      </c>
      <c r="F126" s="284">
        <v>15126.873308746033</v>
      </c>
      <c r="G126" s="284">
        <v>14482.06169257259</v>
      </c>
      <c r="H126" s="284">
        <v>12122.119894749032</v>
      </c>
      <c r="I126" s="284">
        <v>10892.664592058183</v>
      </c>
      <c r="J126" s="284">
        <v>9148.8910892525273</v>
      </c>
      <c r="K126" s="284">
        <v>9273.2166121789232</v>
      </c>
      <c r="L126" s="284">
        <v>11412.274518127819</v>
      </c>
      <c r="M126" s="284">
        <v>9659.5130181644618</v>
      </c>
      <c r="N126" s="284">
        <v>19563.51890055176</v>
      </c>
      <c r="O126" s="284">
        <v>15872.058787733515</v>
      </c>
      <c r="P126" s="284">
        <v>18872.345575720534</v>
      </c>
      <c r="Q126" s="284">
        <v>19970.576275134641</v>
      </c>
      <c r="R126" s="284">
        <v>17492.56133496348</v>
      </c>
      <c r="S126" s="284">
        <v>16758.352706920552</v>
      </c>
      <c r="T126" s="284">
        <v>17508.003391993916</v>
      </c>
      <c r="U126" s="284">
        <v>13917.08844122659</v>
      </c>
      <c r="V126" s="284">
        <v>13143.630833407411</v>
      </c>
      <c r="W126" s="284">
        <v>12765.674530024082</v>
      </c>
      <c r="X126" s="284">
        <v>12572.925358081964</v>
      </c>
      <c r="Y126" s="284">
        <v>10328.632250740458</v>
      </c>
      <c r="Z126" s="284">
        <v>22417.045247406066</v>
      </c>
      <c r="AA126" s="284">
        <v>20699.314502029323</v>
      </c>
      <c r="AB126" s="284">
        <v>17369.381363818782</v>
      </c>
      <c r="AC126" s="284">
        <v>24455.686318635664</v>
      </c>
      <c r="AD126" s="284">
        <v>14852.216696436388</v>
      </c>
      <c r="AE126" s="284">
        <v>19907.464861521166</v>
      </c>
      <c r="AF126" s="284">
        <v>14940.670139469014</v>
      </c>
      <c r="AG126" s="284">
        <v>13549.918756423313</v>
      </c>
      <c r="AH126" s="284">
        <v>13226.819593354603</v>
      </c>
      <c r="AI126" s="284">
        <v>13259.540425821846</v>
      </c>
      <c r="AJ126" s="284">
        <v>13417.448200585817</v>
      </c>
      <c r="AK126" s="284">
        <v>9114.7337745379973</v>
      </c>
      <c r="AL126" s="284">
        <v>11779.726923996996</v>
      </c>
      <c r="AM126" s="284">
        <v>23003.218454283669</v>
      </c>
      <c r="AN126" s="284">
        <v>18455.0431953675</v>
      </c>
      <c r="AO126" s="284">
        <v>16812.437489301985</v>
      </c>
      <c r="AP126" s="284">
        <v>17251.887776885615</v>
      </c>
      <c r="AQ126" s="284">
        <v>15020.991696211029</v>
      </c>
      <c r="AR126" s="284">
        <v>14593.010668973418</v>
      </c>
      <c r="AS126" s="284">
        <v>12872.509127317451</v>
      </c>
      <c r="AT126" s="284">
        <v>12434.964429885953</v>
      </c>
      <c r="AU126" s="284">
        <v>12635.741050621042</v>
      </c>
      <c r="AV126" s="284">
        <v>13018.000871510771</v>
      </c>
      <c r="AW126" s="284">
        <v>14362.338354437195</v>
      </c>
      <c r="AX126" s="284">
        <v>15357.928519955092</v>
      </c>
      <c r="AY126" s="284">
        <v>18571.410586507969</v>
      </c>
    </row>
    <row r="127" spans="1:51" ht="12.75" hidden="1" customHeight="1" x14ac:dyDescent="0.25">
      <c r="A127" s="59">
        <v>239</v>
      </c>
      <c r="B127" s="39" t="s">
        <v>446</v>
      </c>
      <c r="C127" s="347" t="s">
        <v>447</v>
      </c>
      <c r="D127" s="284">
        <v>0</v>
      </c>
      <c r="E127" s="284">
        <v>0</v>
      </c>
      <c r="F127" s="284">
        <v>0</v>
      </c>
      <c r="G127" s="284">
        <v>0</v>
      </c>
      <c r="H127" s="284"/>
      <c r="I127" s="284"/>
      <c r="J127" s="284"/>
      <c r="K127" s="284"/>
      <c r="L127" s="284"/>
      <c r="M127" s="284"/>
      <c r="N127" s="284"/>
      <c r="O127" s="284"/>
      <c r="P127" s="284"/>
      <c r="Q127" s="284"/>
      <c r="R127" s="284"/>
      <c r="S127" s="284"/>
      <c r="T127" s="284">
        <v>0</v>
      </c>
      <c r="U127" s="284">
        <v>0</v>
      </c>
      <c r="V127" s="284">
        <v>0</v>
      </c>
      <c r="W127" s="284"/>
      <c r="X127" s="284"/>
      <c r="Y127" s="284"/>
      <c r="Z127" s="284"/>
      <c r="AA127" s="284"/>
      <c r="AB127" s="284">
        <v>0</v>
      </c>
      <c r="AC127" s="284">
        <v>0</v>
      </c>
      <c r="AD127" s="284">
        <v>0</v>
      </c>
      <c r="AE127" s="284">
        <v>0</v>
      </c>
      <c r="AF127" s="284">
        <v>0</v>
      </c>
      <c r="AG127" s="284">
        <v>0</v>
      </c>
      <c r="AH127" s="284">
        <v>0</v>
      </c>
      <c r="AI127" s="284">
        <v>0</v>
      </c>
      <c r="AJ127" s="284">
        <v>0</v>
      </c>
      <c r="AK127" s="284">
        <v>0</v>
      </c>
      <c r="AL127" s="284">
        <v>0</v>
      </c>
      <c r="AM127" s="284">
        <v>0</v>
      </c>
      <c r="AN127" s="284">
        <v>0</v>
      </c>
      <c r="AO127" s="284">
        <v>0</v>
      </c>
      <c r="AP127" s="284">
        <v>0</v>
      </c>
      <c r="AQ127" s="284">
        <v>0</v>
      </c>
      <c r="AR127" s="284">
        <v>0</v>
      </c>
      <c r="AS127" s="284">
        <v>0</v>
      </c>
      <c r="AT127" s="284">
        <v>0</v>
      </c>
      <c r="AU127" s="284">
        <v>0</v>
      </c>
      <c r="AV127" s="284">
        <v>0</v>
      </c>
      <c r="AW127" s="284">
        <v>0</v>
      </c>
      <c r="AX127" s="284">
        <v>0</v>
      </c>
      <c r="AY127" s="284">
        <v>0</v>
      </c>
    </row>
    <row r="128" spans="1:51" ht="12.75" hidden="1" customHeight="1" x14ac:dyDescent="0.25">
      <c r="A128" s="59">
        <v>119</v>
      </c>
      <c r="B128" s="39" t="s">
        <v>282</v>
      </c>
      <c r="C128" s="59" t="s">
        <v>283</v>
      </c>
      <c r="D128" s="284">
        <v>220.63442988310183</v>
      </c>
      <c r="E128" s="284">
        <v>74.048287836415938</v>
      </c>
      <c r="F128" s="284">
        <v>79.860457013202421</v>
      </c>
      <c r="G128" s="284">
        <v>78.974201438528553</v>
      </c>
      <c r="H128" s="284">
        <v>4</v>
      </c>
      <c r="I128" s="284">
        <v>4</v>
      </c>
      <c r="J128" s="284">
        <v>3</v>
      </c>
      <c r="K128" s="284">
        <v>5</v>
      </c>
      <c r="L128" s="284">
        <v>10</v>
      </c>
      <c r="M128" s="284">
        <v>0</v>
      </c>
      <c r="N128" s="284">
        <v>100</v>
      </c>
      <c r="O128" s="284">
        <v>68</v>
      </c>
      <c r="P128" s="284">
        <v>37</v>
      </c>
      <c r="Q128" s="284">
        <v>4</v>
      </c>
      <c r="R128" s="284">
        <v>4</v>
      </c>
      <c r="S128" s="284">
        <v>4</v>
      </c>
      <c r="T128" s="284">
        <v>4</v>
      </c>
      <c r="U128" s="284">
        <v>3</v>
      </c>
      <c r="V128" s="284">
        <v>4</v>
      </c>
      <c r="W128" s="284">
        <v>4</v>
      </c>
      <c r="X128" s="284">
        <v>5</v>
      </c>
      <c r="Y128" s="284">
        <v>0</v>
      </c>
      <c r="Z128" s="284">
        <v>81</v>
      </c>
      <c r="AA128" s="284">
        <v>19</v>
      </c>
      <c r="AB128" s="284">
        <v>0</v>
      </c>
      <c r="AC128" s="284">
        <v>21</v>
      </c>
      <c r="AD128" s="284">
        <v>0</v>
      </c>
      <c r="AE128" s="284">
        <v>0</v>
      </c>
      <c r="AF128" s="284">
        <v>0</v>
      </c>
      <c r="AG128" s="284">
        <v>2</v>
      </c>
      <c r="AH128" s="284">
        <v>7</v>
      </c>
      <c r="AI128" s="284">
        <v>8</v>
      </c>
      <c r="AJ128" s="284">
        <v>82</v>
      </c>
      <c r="AK128" s="284">
        <v>0</v>
      </c>
      <c r="AL128" s="284">
        <v>0</v>
      </c>
      <c r="AM128" s="284">
        <v>368</v>
      </c>
      <c r="AN128" s="284">
        <v>111</v>
      </c>
      <c r="AO128" s="284">
        <v>59</v>
      </c>
      <c r="AP128" s="284">
        <v>47</v>
      </c>
      <c r="AQ128" s="284">
        <v>31</v>
      </c>
      <c r="AR128" s="284">
        <v>34</v>
      </c>
      <c r="AS128" s="284">
        <v>33</v>
      </c>
      <c r="AT128" s="284">
        <v>30</v>
      </c>
      <c r="AU128" s="284">
        <v>47</v>
      </c>
      <c r="AV128" s="284">
        <v>86</v>
      </c>
      <c r="AW128" s="284">
        <v>198</v>
      </c>
      <c r="AX128" s="284">
        <v>254</v>
      </c>
      <c r="AY128" s="284">
        <v>147</v>
      </c>
    </row>
    <row r="129" spans="1:51" ht="12.75" hidden="1" customHeight="1" x14ac:dyDescent="0.25">
      <c r="A129" s="59">
        <v>290</v>
      </c>
      <c r="B129" s="39" t="s">
        <v>3621</v>
      </c>
      <c r="C129" s="59" t="s">
        <v>526</v>
      </c>
      <c r="D129" s="284">
        <v>6275.0401657210923</v>
      </c>
      <c r="E129" s="284">
        <v>6752.072946123687</v>
      </c>
      <c r="F129" s="284">
        <v>7050.4364647549764</v>
      </c>
      <c r="G129" s="284">
        <v>5781.4168902277761</v>
      </c>
      <c r="H129" s="284">
        <v>6177.9980356193364</v>
      </c>
      <c r="I129" s="284">
        <v>4829.3990182256748</v>
      </c>
      <c r="J129" s="284">
        <v>3985.7212520828839</v>
      </c>
      <c r="K129" s="284">
        <v>4077.879774779457</v>
      </c>
      <c r="L129" s="284">
        <v>5382.8218349994431</v>
      </c>
      <c r="M129" s="284">
        <v>6937.0958280290652</v>
      </c>
      <c r="N129" s="284">
        <v>7548.9741329757735</v>
      </c>
      <c r="O129" s="284">
        <v>7993.4678543418786</v>
      </c>
      <c r="P129" s="284">
        <v>10173.013847709874</v>
      </c>
      <c r="Q129" s="284">
        <v>10671.58400125064</v>
      </c>
      <c r="R129" s="284">
        <v>9190.0049291265204</v>
      </c>
      <c r="S129" s="284">
        <v>8442.2483894208544</v>
      </c>
      <c r="T129" s="284">
        <v>9056.74425339564</v>
      </c>
      <c r="U129" s="284">
        <v>6804.9309307230706</v>
      </c>
      <c r="V129" s="284">
        <v>5954.0165697802931</v>
      </c>
      <c r="W129" s="284">
        <v>5837.7056963013956</v>
      </c>
      <c r="X129" s="284">
        <v>5687.7899596528659</v>
      </c>
      <c r="Y129" s="284">
        <v>7417.6318786589745</v>
      </c>
      <c r="Z129" s="284">
        <v>9473.3083107860257</v>
      </c>
      <c r="AA129" s="284">
        <v>11736.430349975255</v>
      </c>
      <c r="AB129" s="284">
        <v>12474.030809607999</v>
      </c>
      <c r="AC129" s="284">
        <v>10877.339219198053</v>
      </c>
      <c r="AD129" s="284">
        <v>10666.298631006022</v>
      </c>
      <c r="AE129" s="284">
        <v>8506.2453584962259</v>
      </c>
      <c r="AF129" s="284">
        <v>7503.1203747895133</v>
      </c>
      <c r="AG129" s="284">
        <v>6699.9574078626174</v>
      </c>
      <c r="AH129" s="284">
        <v>6400.8489352173283</v>
      </c>
      <c r="AI129" s="284">
        <v>6083.2208144056349</v>
      </c>
      <c r="AJ129" s="284">
        <v>6067.3550162822157</v>
      </c>
      <c r="AK129" s="284">
        <v>6545.8560407798186</v>
      </c>
      <c r="AL129" s="284">
        <v>8459.7530275195386</v>
      </c>
      <c r="AM129" s="284">
        <v>9642.2007869623121</v>
      </c>
      <c r="AN129" s="284">
        <v>10080.153783065363</v>
      </c>
      <c r="AO129" s="284">
        <v>8756.4279377931653</v>
      </c>
      <c r="AP129" s="284">
        <v>8872.8117340522876</v>
      </c>
      <c r="AQ129" s="284">
        <v>7127.0343819322825</v>
      </c>
      <c r="AR129" s="284">
        <v>6957.5617598171048</v>
      </c>
      <c r="AS129" s="284">
        <v>5974.7558650043111</v>
      </c>
      <c r="AT129" s="284">
        <v>5584.402682001316</v>
      </c>
      <c r="AU129" s="284">
        <v>5673.2943557010412</v>
      </c>
      <c r="AV129" s="284">
        <v>6146.0315887961524</v>
      </c>
      <c r="AW129" s="284">
        <v>7240.7529451867094</v>
      </c>
      <c r="AX129" s="284">
        <v>7970.1112769114179</v>
      </c>
      <c r="AY129" s="284">
        <v>10399.281586857944</v>
      </c>
    </row>
    <row r="130" spans="1:51" ht="12.75" hidden="1" customHeight="1" x14ac:dyDescent="0.25">
      <c r="A130" s="59">
        <v>197</v>
      </c>
      <c r="B130" s="221" t="s">
        <v>3591</v>
      </c>
      <c r="C130" s="59" t="s">
        <v>407</v>
      </c>
      <c r="D130" s="284">
        <v>3693</v>
      </c>
      <c r="E130" s="284">
        <v>1523</v>
      </c>
      <c r="F130" s="284">
        <v>1060</v>
      </c>
      <c r="G130" s="284">
        <v>1508</v>
      </c>
      <c r="H130" s="284">
        <v>1786</v>
      </c>
      <c r="I130" s="284">
        <v>2155</v>
      </c>
      <c r="J130" s="284">
        <v>1489</v>
      </c>
      <c r="K130" s="284">
        <v>1544</v>
      </c>
      <c r="L130" s="284">
        <v>1205</v>
      </c>
      <c r="M130" s="284">
        <v>0</v>
      </c>
      <c r="N130" s="284">
        <v>3371</v>
      </c>
      <c r="O130" s="284">
        <v>2394</v>
      </c>
      <c r="P130" s="284">
        <v>2236</v>
      </c>
      <c r="Q130" s="284">
        <v>1607</v>
      </c>
      <c r="R130" s="284">
        <v>1651</v>
      </c>
      <c r="S130" s="284">
        <v>1769</v>
      </c>
      <c r="T130" s="284">
        <v>1226</v>
      </c>
      <c r="U130" s="284">
        <v>1094</v>
      </c>
      <c r="V130" s="284">
        <v>1055</v>
      </c>
      <c r="W130" s="284">
        <v>1319</v>
      </c>
      <c r="X130" s="284">
        <v>1643</v>
      </c>
      <c r="Y130" s="284">
        <v>0</v>
      </c>
      <c r="Z130" s="284">
        <v>4062</v>
      </c>
      <c r="AA130" s="284">
        <v>2035</v>
      </c>
      <c r="AB130" s="284">
        <v>0</v>
      </c>
      <c r="AC130" s="284">
        <v>2685</v>
      </c>
      <c r="AD130" s="284">
        <v>0</v>
      </c>
      <c r="AE130" s="284">
        <v>1451</v>
      </c>
      <c r="AF130" s="284">
        <v>611</v>
      </c>
      <c r="AG130" s="284">
        <v>694</v>
      </c>
      <c r="AH130" s="284">
        <v>882</v>
      </c>
      <c r="AI130" s="284">
        <v>940</v>
      </c>
      <c r="AJ130" s="284">
        <v>924</v>
      </c>
      <c r="AK130" s="284">
        <v>0</v>
      </c>
      <c r="AL130" s="284">
        <v>0</v>
      </c>
      <c r="AM130" s="284">
        <v>1486</v>
      </c>
      <c r="AN130" s="284">
        <v>682</v>
      </c>
      <c r="AO130" s="284">
        <v>576</v>
      </c>
      <c r="AP130" s="284">
        <v>520</v>
      </c>
      <c r="AQ130" s="284">
        <v>660</v>
      </c>
      <c r="AR130" s="284">
        <v>1040</v>
      </c>
      <c r="AS130" s="284">
        <v>1430</v>
      </c>
      <c r="AT130" s="284">
        <v>1747</v>
      </c>
      <c r="AU130" s="284">
        <v>1794</v>
      </c>
      <c r="AV130" s="284">
        <v>1872</v>
      </c>
      <c r="AW130" s="284">
        <v>2294</v>
      </c>
      <c r="AX130" s="284">
        <v>2237</v>
      </c>
      <c r="AY130" s="284">
        <v>2211</v>
      </c>
    </row>
    <row r="131" spans="1:51" ht="12.75" hidden="1" customHeight="1" x14ac:dyDescent="0.25">
      <c r="A131" s="59">
        <v>78</v>
      </c>
      <c r="B131" s="39" t="s">
        <v>3555</v>
      </c>
      <c r="C131" s="59" t="s">
        <v>186</v>
      </c>
      <c r="D131" s="284">
        <v>1126.7002055430567</v>
      </c>
      <c r="E131" s="284">
        <v>1217.4549446650749</v>
      </c>
      <c r="F131" s="284">
        <v>1271.3901487044766</v>
      </c>
      <c r="G131" s="284">
        <v>1041.0785340671973</v>
      </c>
      <c r="H131" s="284">
        <v>1118.982630031064</v>
      </c>
      <c r="I131" s="284">
        <v>874.86082781986363</v>
      </c>
      <c r="J131" s="284">
        <v>722.02594585724739</v>
      </c>
      <c r="K131" s="284">
        <v>738.72075221984153</v>
      </c>
      <c r="L131" s="284">
        <v>975.1151124192304</v>
      </c>
      <c r="M131" s="284">
        <v>1256.6767367681668</v>
      </c>
      <c r="N131" s="284">
        <v>1367.5204169798228</v>
      </c>
      <c r="O131" s="284">
        <v>1447.8607000550062</v>
      </c>
      <c r="P131" s="284">
        <v>1842.8734678254546</v>
      </c>
      <c r="Q131" s="284">
        <v>1933.1910198866642</v>
      </c>
      <c r="R131" s="284">
        <v>1664.7983091937901</v>
      </c>
      <c r="S131" s="284">
        <v>1529.3398592156889</v>
      </c>
      <c r="T131" s="284">
        <v>1640.6577184814112</v>
      </c>
      <c r="U131" s="284">
        <v>1232.5534966188216</v>
      </c>
      <c r="V131" s="284">
        <v>1078.5888358847888</v>
      </c>
      <c r="W131" s="284">
        <v>1057.5187551827837</v>
      </c>
      <c r="X131" s="284">
        <v>1030.361047780146</v>
      </c>
      <c r="Y131" s="284">
        <v>1343.7273543429033</v>
      </c>
      <c r="Z131" s="284">
        <v>1716.1196081934042</v>
      </c>
      <c r="AA131" s="284">
        <v>2126.0912864892866</v>
      </c>
      <c r="AB131" s="284">
        <v>2259.7099306061477</v>
      </c>
      <c r="AC131" s="284">
        <v>1970.2830718786165</v>
      </c>
      <c r="AD131" s="284">
        <v>1932.2335584364735</v>
      </c>
      <c r="AE131" s="284">
        <v>1540.933111529682</v>
      </c>
      <c r="AF131" s="284">
        <v>1359.2138644058709</v>
      </c>
      <c r="AG131" s="284">
        <v>1213.5372126542375</v>
      </c>
      <c r="AH131" s="284">
        <v>1159.5339248384396</v>
      </c>
      <c r="AI131" s="284">
        <v>1101.9945913388692</v>
      </c>
      <c r="AJ131" s="284">
        <v>1099.1204520871954</v>
      </c>
      <c r="AK131" s="284">
        <v>1185.8024182748698</v>
      </c>
      <c r="AL131" s="284">
        <v>1532.5108794854793</v>
      </c>
      <c r="AM131" s="284">
        <v>1746.715011671665</v>
      </c>
      <c r="AN131" s="284">
        <v>1826.051574931595</v>
      </c>
      <c r="AO131" s="284">
        <v>1586.0733198204648</v>
      </c>
      <c r="AP131" s="284">
        <v>1607.3377638600514</v>
      </c>
      <c r="AQ131" s="284">
        <v>1291.0847034479893</v>
      </c>
      <c r="AR131" s="284">
        <v>1260.3842047074734</v>
      </c>
      <c r="AS131" s="284">
        <v>1082.3458244706583</v>
      </c>
      <c r="AT131" s="284">
        <v>1011.6321171262634</v>
      </c>
      <c r="AU131" s="284">
        <v>1027.7351235139622</v>
      </c>
      <c r="AV131" s="284">
        <v>1113.3729607533485</v>
      </c>
      <c r="AW131" s="284">
        <v>1311.6851789961465</v>
      </c>
      <c r="AX131" s="284">
        <v>1443.8107357086726</v>
      </c>
      <c r="AY131" s="284">
        <v>1883.862580721895</v>
      </c>
    </row>
    <row r="132" spans="1:51" ht="12.75" hidden="1" customHeight="1" x14ac:dyDescent="0.25">
      <c r="A132" s="59">
        <v>294</v>
      </c>
      <c r="B132" s="221" t="s">
        <v>3622</v>
      </c>
      <c r="C132" s="59" t="s">
        <v>534</v>
      </c>
      <c r="D132" s="284">
        <v>2678.6295538537597</v>
      </c>
      <c r="E132" s="284">
        <v>2653.2487176543859</v>
      </c>
      <c r="F132" s="284">
        <v>2888.1734223155786</v>
      </c>
      <c r="G132" s="284">
        <v>2476.5881886901029</v>
      </c>
      <c r="H132" s="284">
        <v>2785.6985792207643</v>
      </c>
      <c r="I132" s="284">
        <v>2273.3935639638075</v>
      </c>
      <c r="J132" s="284">
        <v>2080.7943677155417</v>
      </c>
      <c r="K132" s="284">
        <v>1312.7893340583237</v>
      </c>
      <c r="L132" s="284">
        <v>2150.8862316290447</v>
      </c>
      <c r="M132" s="284">
        <v>2483.173205228381</v>
      </c>
      <c r="N132" s="284">
        <v>2753.801373451121</v>
      </c>
      <c r="O132" s="284">
        <v>2827.7109884102888</v>
      </c>
      <c r="P132" s="284">
        <v>3752.1354360939781</v>
      </c>
      <c r="Q132" s="284">
        <v>3765.4834060168719</v>
      </c>
      <c r="R132" s="284">
        <v>3602.785797633715</v>
      </c>
      <c r="S132" s="284">
        <v>2145.8945777755166</v>
      </c>
      <c r="T132" s="284">
        <v>2620.3286740469662</v>
      </c>
      <c r="U132" s="284">
        <v>2783.650920573702</v>
      </c>
      <c r="V132" s="284">
        <v>2363.7022496533968</v>
      </c>
      <c r="W132" s="284">
        <v>1783.9748503448016</v>
      </c>
      <c r="X132" s="284">
        <v>1422.6430546740482</v>
      </c>
      <c r="Y132" s="284">
        <v>2493.0086424587903</v>
      </c>
      <c r="Z132" s="284">
        <v>2958.1337563116908</v>
      </c>
      <c r="AA132" s="284">
        <v>3789.4544905792045</v>
      </c>
      <c r="AB132" s="284">
        <v>3674.5923901963724</v>
      </c>
      <c r="AC132" s="284">
        <v>2981.275587972621</v>
      </c>
      <c r="AD132" s="284">
        <v>3340.1768368662611</v>
      </c>
      <c r="AE132" s="284">
        <v>2348.4508481548396</v>
      </c>
      <c r="AF132" s="284">
        <v>2213.9200291693828</v>
      </c>
      <c r="AG132" s="284">
        <v>2048.3396357589427</v>
      </c>
      <c r="AH132" s="284">
        <v>2157.0854770282417</v>
      </c>
      <c r="AI132" s="284">
        <v>1812.563140961144</v>
      </c>
      <c r="AJ132" s="284">
        <v>2085.7706535800321</v>
      </c>
      <c r="AK132" s="284">
        <v>2221.1974166035425</v>
      </c>
      <c r="AL132" s="284">
        <v>2662.7219891354839</v>
      </c>
      <c r="AM132" s="284">
        <v>3213.4027773836365</v>
      </c>
      <c r="AN132" s="284">
        <v>3605.1904941329394</v>
      </c>
      <c r="AO132" s="284">
        <v>2632.0266454550788</v>
      </c>
      <c r="AP132" s="284">
        <v>3115.6185831738972</v>
      </c>
      <c r="AQ132" s="284">
        <v>2505.4051906054542</v>
      </c>
      <c r="AR132" s="284">
        <v>2281.5638571943591</v>
      </c>
      <c r="AS132" s="284">
        <v>1819.4611941196813</v>
      </c>
      <c r="AT132" s="284">
        <v>1521.812997437572</v>
      </c>
      <c r="AU132" s="284">
        <v>2027.2154928454779</v>
      </c>
      <c r="AV132" s="284">
        <v>2731.9731121663367</v>
      </c>
      <c r="AW132" s="284">
        <v>3712.8987284872564</v>
      </c>
      <c r="AX132" s="284">
        <v>3373.2768168610328</v>
      </c>
      <c r="AY132" s="284">
        <v>4330.1299779644023</v>
      </c>
    </row>
    <row r="133" spans="1:51" ht="12.75" hidden="1" customHeight="1" x14ac:dyDescent="0.25">
      <c r="A133" s="59">
        <v>312</v>
      </c>
      <c r="B133" s="221" t="s">
        <v>3625</v>
      </c>
      <c r="C133" s="59" t="s">
        <v>544</v>
      </c>
      <c r="D133" s="284">
        <v>634.81995814783966</v>
      </c>
      <c r="E133" s="284">
        <v>692.01031157351258</v>
      </c>
      <c r="F133" s="284">
        <v>753.09829387932609</v>
      </c>
      <c r="G133" s="284">
        <v>645.68236701673572</v>
      </c>
      <c r="H133" s="284">
        <v>736.52139558739839</v>
      </c>
      <c r="I133" s="284">
        <v>601.07113272765093</v>
      </c>
      <c r="J133" s="284">
        <v>550.14910194230151</v>
      </c>
      <c r="K133" s="284">
        <v>345.77137406028623</v>
      </c>
      <c r="L133" s="284">
        <v>567.35898631693078</v>
      </c>
      <c r="M133" s="284">
        <v>656.53556642572448</v>
      </c>
      <c r="N133" s="284">
        <v>723.06449062841216</v>
      </c>
      <c r="O133" s="284">
        <v>740.22618951190725</v>
      </c>
      <c r="P133" s="284">
        <v>990.98372050529917</v>
      </c>
      <c r="Q133" s="284">
        <v>994.24844702959695</v>
      </c>
      <c r="R133" s="284">
        <v>951.49660407075783</v>
      </c>
      <c r="S133" s="284">
        <v>567.09679919963526</v>
      </c>
      <c r="T133" s="284">
        <v>692.79862017469304</v>
      </c>
      <c r="U133" s="284">
        <v>735.98000736411007</v>
      </c>
      <c r="V133" s="284">
        <v>624.94818809678065</v>
      </c>
      <c r="W133" s="284">
        <v>471.67186581841781</v>
      </c>
      <c r="X133" s="284">
        <v>375.87359036832908</v>
      </c>
      <c r="Y133" s="284">
        <v>659.13599491758919</v>
      </c>
      <c r="Z133" s="284">
        <v>753.82204983298413</v>
      </c>
      <c r="AA133" s="284">
        <v>1001.6438279913465</v>
      </c>
      <c r="AB133" s="284">
        <v>971.53939612494753</v>
      </c>
      <c r="AC133" s="284">
        <v>787.96634770968672</v>
      </c>
      <c r="AD133" s="284">
        <v>883.12200169395237</v>
      </c>
      <c r="AE133" s="284">
        <v>620.91581230416239</v>
      </c>
      <c r="AF133" s="284">
        <v>585.34669966298031</v>
      </c>
      <c r="AG133" s="284">
        <v>541.56827246836201</v>
      </c>
      <c r="AH133" s="284">
        <v>570.31999721468901</v>
      </c>
      <c r="AI133" s="284">
        <v>479.23043222587751</v>
      </c>
      <c r="AJ133" s="284">
        <v>551.46480100504141</v>
      </c>
      <c r="AK133" s="284">
        <v>587.27079568299428</v>
      </c>
      <c r="AL133" s="284">
        <v>704.00714927596641</v>
      </c>
      <c r="AM133" s="284">
        <v>849.60372806919372</v>
      </c>
      <c r="AN133" s="284">
        <v>953.18996602998391</v>
      </c>
      <c r="AO133" s="284">
        <v>695.89149113040673</v>
      </c>
      <c r="AP133" s="284">
        <v>823.75019469592678</v>
      </c>
      <c r="AQ133" s="284">
        <v>662.41356522241438</v>
      </c>
      <c r="AR133" s="284">
        <v>603.23130749221855</v>
      </c>
      <c r="AS133" s="284">
        <v>481.05423462038613</v>
      </c>
      <c r="AT133" s="284">
        <v>402.35790083552183</v>
      </c>
      <c r="AU133" s="284">
        <v>535.71878654897785</v>
      </c>
      <c r="AV133" s="284">
        <v>722.31671591793429</v>
      </c>
      <c r="AW133" s="284">
        <v>981.6673539550934</v>
      </c>
      <c r="AX133" s="284">
        <v>891.60903695341324</v>
      </c>
      <c r="AY133" s="284">
        <v>1136.0921632277882</v>
      </c>
    </row>
    <row r="134" spans="1:51" ht="12.75" hidden="1" customHeight="1" x14ac:dyDescent="0.25">
      <c r="A134" s="59">
        <v>313</v>
      </c>
      <c r="B134" s="221" t="s">
        <v>3626</v>
      </c>
      <c r="C134" s="59" t="s">
        <v>546</v>
      </c>
      <c r="D134" s="284">
        <v>210.84780084064903</v>
      </c>
      <c r="E134" s="284">
        <v>229.84288770635587</v>
      </c>
      <c r="F134" s="284">
        <v>250.1325250462923</v>
      </c>
      <c r="G134" s="284">
        <v>214.45561907705257</v>
      </c>
      <c r="H134" s="284">
        <v>244.62670799572294</v>
      </c>
      <c r="I134" s="284">
        <v>199.63853508038034</v>
      </c>
      <c r="J134" s="284">
        <v>182.72539605942612</v>
      </c>
      <c r="K134" s="284">
        <v>114.84379606931375</v>
      </c>
      <c r="L134" s="284">
        <v>188.44145181120098</v>
      </c>
      <c r="M134" s="284">
        <v>218.06037850230263</v>
      </c>
      <c r="N134" s="284">
        <v>240.15715914126949</v>
      </c>
      <c r="O134" s="284">
        <v>245.85721066269895</v>
      </c>
      <c r="P134" s="284">
        <v>329.14330347623741</v>
      </c>
      <c r="Q134" s="284">
        <v>330.22764305812876</v>
      </c>
      <c r="R134" s="284">
        <v>316.0281334900053</v>
      </c>
      <c r="S134" s="284">
        <v>188.35436951899985</v>
      </c>
      <c r="T134" s="284">
        <v>230.1047149107614</v>
      </c>
      <c r="U134" s="284">
        <v>244.44689241995812</v>
      </c>
      <c r="V134" s="284">
        <v>207.56901135245582</v>
      </c>
      <c r="W134" s="284">
        <v>156.66012756810412</v>
      </c>
      <c r="X134" s="284">
        <v>124.84188454702705</v>
      </c>
      <c r="Y134" s="284">
        <v>218.92407949612897</v>
      </c>
      <c r="Z134" s="284">
        <v>250.37291186654812</v>
      </c>
      <c r="AA134" s="284">
        <v>332.68392974563801</v>
      </c>
      <c r="AB134" s="284">
        <v>322.68510539690959</v>
      </c>
      <c r="AC134" s="284">
        <v>261.71352903862862</v>
      </c>
      <c r="AD134" s="284">
        <v>293.31833308208257</v>
      </c>
      <c r="AE134" s="284">
        <v>206.22970631466649</v>
      </c>
      <c r="AF134" s="284">
        <v>194.41585408461415</v>
      </c>
      <c r="AG134" s="284">
        <v>179.87537693077823</v>
      </c>
      <c r="AH134" s="284">
        <v>189.42491590687786</v>
      </c>
      <c r="AI134" s="284">
        <v>159.17061433536128</v>
      </c>
      <c r="AJ134" s="284">
        <v>183.16238965168208</v>
      </c>
      <c r="AK134" s="284">
        <v>195.05491939631267</v>
      </c>
      <c r="AL134" s="284">
        <v>233.82749281232122</v>
      </c>
      <c r="AM134" s="284">
        <v>282.18564232299713</v>
      </c>
      <c r="AN134" s="284">
        <v>316.59056326327789</v>
      </c>
      <c r="AO134" s="284">
        <v>231.13197473604919</v>
      </c>
      <c r="AP134" s="284">
        <v>273.59870269429035</v>
      </c>
      <c r="AQ134" s="284">
        <v>220.01268498498169</v>
      </c>
      <c r="AR134" s="284">
        <v>200.35601110282519</v>
      </c>
      <c r="AS134" s="284">
        <v>159.77636832767746</v>
      </c>
      <c r="AT134" s="284">
        <v>133.63832918793119</v>
      </c>
      <c r="AU134" s="284">
        <v>177.93254065677556</v>
      </c>
      <c r="AV134" s="284">
        <v>239.90879478031192</v>
      </c>
      <c r="AW134" s="284">
        <v>326.04898456939731</v>
      </c>
      <c r="AX134" s="284">
        <v>296.13719959241627</v>
      </c>
      <c r="AY134" s="284">
        <v>377.33932447204046</v>
      </c>
    </row>
    <row r="135" spans="1:51" ht="12.75" hidden="1" customHeight="1" x14ac:dyDescent="0.25">
      <c r="A135" s="59">
        <v>20</v>
      </c>
      <c r="B135" s="39" t="s">
        <v>3538</v>
      </c>
      <c r="C135" s="59" t="s">
        <v>69</v>
      </c>
      <c r="D135" s="284">
        <v>1709.9081543372588</v>
      </c>
      <c r="E135" s="284">
        <v>114.9832806820968</v>
      </c>
      <c r="F135" s="284">
        <v>87.405147275435468</v>
      </c>
      <c r="G135" s="284">
        <v>81.474337944762979</v>
      </c>
      <c r="H135" s="284">
        <v>12</v>
      </c>
      <c r="I135" s="284">
        <v>10</v>
      </c>
      <c r="J135" s="284">
        <v>11</v>
      </c>
      <c r="K135" s="284">
        <v>15</v>
      </c>
      <c r="L135" s="284">
        <v>19</v>
      </c>
      <c r="M135" s="284">
        <v>0</v>
      </c>
      <c r="N135" s="284">
        <v>550</v>
      </c>
      <c r="O135" s="284">
        <v>877</v>
      </c>
      <c r="P135" s="284">
        <v>380</v>
      </c>
      <c r="Q135" s="284">
        <v>37</v>
      </c>
      <c r="R135" s="284">
        <v>20</v>
      </c>
      <c r="S135" s="284">
        <v>17</v>
      </c>
      <c r="T135" s="284">
        <v>15</v>
      </c>
      <c r="U135" s="284">
        <v>11</v>
      </c>
      <c r="V135" s="284">
        <v>11</v>
      </c>
      <c r="W135" s="284">
        <v>16</v>
      </c>
      <c r="X135" s="284">
        <v>20</v>
      </c>
      <c r="Y135" s="284">
        <v>0</v>
      </c>
      <c r="Z135" s="284">
        <v>798</v>
      </c>
      <c r="AA135" s="284">
        <v>347</v>
      </c>
      <c r="AB135" s="284">
        <v>0</v>
      </c>
      <c r="AC135" s="284">
        <v>490</v>
      </c>
      <c r="AD135" s="284">
        <v>0</v>
      </c>
      <c r="AE135" s="284">
        <v>30</v>
      </c>
      <c r="AF135" s="284">
        <v>14</v>
      </c>
      <c r="AG135" s="284">
        <v>11</v>
      </c>
      <c r="AH135" s="284">
        <v>12</v>
      </c>
      <c r="AI135" s="284">
        <v>12</v>
      </c>
      <c r="AJ135" s="284">
        <v>87</v>
      </c>
      <c r="AK135" s="284">
        <v>0</v>
      </c>
      <c r="AL135" s="284">
        <v>0</v>
      </c>
      <c r="AM135" s="284">
        <v>860</v>
      </c>
      <c r="AN135" s="284">
        <v>342</v>
      </c>
      <c r="AO135" s="284">
        <v>46</v>
      </c>
      <c r="AP135" s="284">
        <v>31</v>
      </c>
      <c r="AQ135" s="284">
        <v>17</v>
      </c>
      <c r="AR135" s="284">
        <v>11</v>
      </c>
      <c r="AS135" s="284">
        <v>11</v>
      </c>
      <c r="AT135" s="284">
        <v>15</v>
      </c>
      <c r="AU135" s="284">
        <v>18</v>
      </c>
      <c r="AV135" s="284">
        <v>26</v>
      </c>
      <c r="AW135" s="284">
        <v>563</v>
      </c>
      <c r="AX135" s="284">
        <v>872</v>
      </c>
      <c r="AY135" s="284">
        <v>410</v>
      </c>
    </row>
    <row r="136" spans="1:51" ht="12.75" hidden="1" customHeight="1" x14ac:dyDescent="0.25">
      <c r="A136" s="59">
        <v>315</v>
      </c>
      <c r="B136" s="221" t="s">
        <v>3628</v>
      </c>
      <c r="C136" s="59" t="s">
        <v>550</v>
      </c>
      <c r="D136" s="284">
        <v>136.25427607735946</v>
      </c>
      <c r="E136" s="284">
        <v>148.52930005007559</v>
      </c>
      <c r="F136" s="284">
        <v>161.64088972093273</v>
      </c>
      <c r="G136" s="284">
        <v>138.58572397513183</v>
      </c>
      <c r="H136" s="284">
        <v>158.08291513713959</v>
      </c>
      <c r="I136" s="284">
        <v>129.01061318196872</v>
      </c>
      <c r="J136" s="284">
        <v>118.08098762121885</v>
      </c>
      <c r="K136" s="284">
        <v>74.2144723967332</v>
      </c>
      <c r="L136" s="284">
        <v>121.77482286811585</v>
      </c>
      <c r="M136" s="284">
        <v>140.91519520491096</v>
      </c>
      <c r="N136" s="284">
        <v>155.19459882021388</v>
      </c>
      <c r="O136" s="284">
        <v>158.87809179742067</v>
      </c>
      <c r="P136" s="284">
        <v>212.69931373274883</v>
      </c>
      <c r="Q136" s="284">
        <v>213.40003673845996</v>
      </c>
      <c r="R136" s="284">
        <v>204.22401550824372</v>
      </c>
      <c r="S136" s="284">
        <v>121.71854846242744</v>
      </c>
      <c r="T136" s="284">
        <v>148.69849828715181</v>
      </c>
      <c r="U136" s="284">
        <v>157.96671453649029</v>
      </c>
      <c r="V136" s="284">
        <v>134.13545346530165</v>
      </c>
      <c r="W136" s="284">
        <v>101.23706382933078</v>
      </c>
      <c r="X136" s="284">
        <v>80.675447101030812</v>
      </c>
      <c r="Y136" s="284">
        <v>141.47333692226297</v>
      </c>
      <c r="Z136" s="284">
        <v>161.79623273158737</v>
      </c>
      <c r="AA136" s="284">
        <v>214.98734077061329</v>
      </c>
      <c r="AB136" s="284">
        <v>208.52589053101462</v>
      </c>
      <c r="AC136" s="284">
        <v>169.12477766727827</v>
      </c>
      <c r="AD136" s="284">
        <v>189.54846564665709</v>
      </c>
      <c r="AE136" s="284">
        <v>133.26996642847618</v>
      </c>
      <c r="AF136" s="284">
        <v>125.63560706180097</v>
      </c>
      <c r="AG136" s="284">
        <v>116.23924541839631</v>
      </c>
      <c r="AH136" s="284">
        <v>122.41035801655121</v>
      </c>
      <c r="AI136" s="284">
        <v>102.85939309105703</v>
      </c>
      <c r="AJ136" s="284">
        <v>118.36338205609503</v>
      </c>
      <c r="AK136" s="284">
        <v>126.04858448468356</v>
      </c>
      <c r="AL136" s="284">
        <v>151.10423553435783</v>
      </c>
      <c r="AM136" s="284">
        <v>182.35428712487732</v>
      </c>
      <c r="AN136" s="284">
        <v>204.58746943707806</v>
      </c>
      <c r="AO136" s="284">
        <v>149.36233515564126</v>
      </c>
      <c r="AP136" s="284">
        <v>176.80522643671924</v>
      </c>
      <c r="AQ136" s="284">
        <v>142.17681664662382</v>
      </c>
      <c r="AR136" s="284">
        <v>129.47426125252636</v>
      </c>
      <c r="AS136" s="284">
        <v>103.25084403991654</v>
      </c>
      <c r="AT136" s="284">
        <v>86.359894327050426</v>
      </c>
      <c r="AU136" s="284">
        <v>114.98374382437622</v>
      </c>
      <c r="AV136" s="284">
        <v>155.03410055525327</v>
      </c>
      <c r="AW136" s="284">
        <v>210.6996998836928</v>
      </c>
      <c r="AX136" s="284">
        <v>191.37007637341304</v>
      </c>
      <c r="AY136" s="284">
        <v>243.84459447274287</v>
      </c>
    </row>
    <row r="137" spans="1:51" ht="12.75" hidden="1" customHeight="1" x14ac:dyDescent="0.25">
      <c r="A137" s="59">
        <v>328</v>
      </c>
      <c r="B137" s="286" t="s">
        <v>3633</v>
      </c>
      <c r="C137" s="59" t="s">
        <v>560</v>
      </c>
      <c r="D137" s="284">
        <v>2641.9044342526231</v>
      </c>
      <c r="E137" s="284">
        <v>3010.8458070696302</v>
      </c>
      <c r="F137" s="284">
        <v>3326.051384027332</v>
      </c>
      <c r="G137" s="284">
        <v>2660.2973649675732</v>
      </c>
      <c r="H137" s="284">
        <v>2924.0459383211405</v>
      </c>
      <c r="I137" s="284">
        <v>1862.4878096527723</v>
      </c>
      <c r="J137" s="284">
        <v>1394.4488333229629</v>
      </c>
      <c r="K137" s="284">
        <v>1295.7798331373324</v>
      </c>
      <c r="L137" s="284">
        <v>1718.9726639592475</v>
      </c>
      <c r="M137" s="284">
        <v>2259.7201121368676</v>
      </c>
      <c r="N137" s="284">
        <v>3200.4699694169044</v>
      </c>
      <c r="O137" s="284">
        <v>3885.9421808937036</v>
      </c>
      <c r="P137" s="284">
        <v>4619.709083653619</v>
      </c>
      <c r="Q137" s="284">
        <v>4290.2885369424675</v>
      </c>
      <c r="R137" s="284">
        <v>3673.9223637627906</v>
      </c>
      <c r="S137" s="284">
        <v>3029.1792190933784</v>
      </c>
      <c r="T137" s="284">
        <v>3007.1817428209274</v>
      </c>
      <c r="U137" s="284">
        <v>2235.8140868014771</v>
      </c>
      <c r="V137" s="284">
        <v>1669.305234546905</v>
      </c>
      <c r="W137" s="284">
        <v>1399.7891190239482</v>
      </c>
      <c r="X137" s="284">
        <v>1281.4453148000309</v>
      </c>
      <c r="Y137" s="284">
        <v>2744.272423776898</v>
      </c>
      <c r="Z137" s="284">
        <v>3589.3465981912746</v>
      </c>
      <c r="AA137" s="284">
        <v>4565.4384545157518</v>
      </c>
      <c r="AB137" s="284">
        <v>3993.6065323212042</v>
      </c>
      <c r="AC137" s="284">
        <v>3411.5437550054676</v>
      </c>
      <c r="AD137" s="284">
        <v>3538.0812558178905</v>
      </c>
      <c r="AE137" s="284">
        <v>2343.0973090228263</v>
      </c>
      <c r="AF137" s="284">
        <v>1121.150040228084</v>
      </c>
      <c r="AG137" s="284">
        <v>1005.3475480716201</v>
      </c>
      <c r="AH137" s="284">
        <v>966.11153354316434</v>
      </c>
      <c r="AI137" s="284">
        <v>973.10994778451277</v>
      </c>
      <c r="AJ137" s="284">
        <v>992.83245380282688</v>
      </c>
      <c r="AK137" s="284">
        <v>1463.9654598166419</v>
      </c>
      <c r="AL137" s="284">
        <v>2594.0645025153308</v>
      </c>
      <c r="AM137" s="284">
        <v>3198.0276740310483</v>
      </c>
      <c r="AN137" s="284">
        <v>3464.9849316556679</v>
      </c>
      <c r="AO137" s="284">
        <v>3253.2662229601829</v>
      </c>
      <c r="AP137" s="284">
        <v>3539.8015102874683</v>
      </c>
      <c r="AQ137" s="284">
        <v>2737.9222387491923</v>
      </c>
      <c r="AR137" s="284">
        <v>2482.2240220275035</v>
      </c>
      <c r="AS137" s="284">
        <v>1864.6520389981863</v>
      </c>
      <c r="AT137" s="284">
        <v>1675.4410689612168</v>
      </c>
      <c r="AU137" s="284">
        <v>1730.893259432755</v>
      </c>
      <c r="AV137" s="284">
        <v>1944.3919934875594</v>
      </c>
      <c r="AW137" s="284">
        <v>3117.1035308894798</v>
      </c>
      <c r="AX137" s="284">
        <v>3575.0909115836944</v>
      </c>
      <c r="AY137" s="284">
        <v>4372.6996664953949</v>
      </c>
    </row>
    <row r="138" spans="1:51" ht="12.75" hidden="1" customHeight="1" x14ac:dyDescent="0.25">
      <c r="A138" s="59">
        <v>314</v>
      </c>
      <c r="B138" s="221" t="s">
        <v>3627</v>
      </c>
      <c r="C138" s="59" t="s">
        <v>548</v>
      </c>
      <c r="D138" s="284">
        <v>189.16401214863652</v>
      </c>
      <c r="E138" s="284">
        <v>206.20562618635927</v>
      </c>
      <c r="F138" s="284">
        <v>224.40865789435338</v>
      </c>
      <c r="G138" s="284">
        <v>192.40079892080161</v>
      </c>
      <c r="H138" s="284">
        <v>219.46906431410451</v>
      </c>
      <c r="I138" s="284">
        <v>179.10751795709751</v>
      </c>
      <c r="J138" s="284">
        <v>163.93374226451004</v>
      </c>
      <c r="K138" s="284">
        <v>103.0331506813753</v>
      </c>
      <c r="L138" s="284">
        <v>169.06195339765912</v>
      </c>
      <c r="M138" s="284">
        <v>195.63484145286608</v>
      </c>
      <c r="N138" s="284">
        <v>215.45916812153411</v>
      </c>
      <c r="O138" s="284">
        <v>220.57302091463214</v>
      </c>
      <c r="P138" s="284">
        <v>295.29389260491598</v>
      </c>
      <c r="Q138" s="284">
        <v>296.26671767126402</v>
      </c>
      <c r="R138" s="284">
        <v>283.52749919357547</v>
      </c>
      <c r="S138" s="284">
        <v>168.98382673134256</v>
      </c>
      <c r="T138" s="284">
        <v>206.44052683164719</v>
      </c>
      <c r="U138" s="284">
        <v>219.30774114344359</v>
      </c>
      <c r="V138" s="284">
        <v>186.22241649478312</v>
      </c>
      <c r="W138" s="284">
        <v>140.54905081460356</v>
      </c>
      <c r="X138" s="284">
        <v>112.00302621586408</v>
      </c>
      <c r="Y138" s="284">
        <v>196.40971861372597</v>
      </c>
      <c r="Z138" s="284">
        <v>224.62432310502169</v>
      </c>
      <c r="AA138" s="284">
        <v>298.47039749597178</v>
      </c>
      <c r="AB138" s="284">
        <v>289.49986176814406</v>
      </c>
      <c r="AC138" s="284">
        <v>234.79866040405645</v>
      </c>
      <c r="AD138" s="284">
        <v>263.15319629295351</v>
      </c>
      <c r="AE138" s="284">
        <v>185.02084686290164</v>
      </c>
      <c r="AF138" s="284">
        <v>174.42194245006047</v>
      </c>
      <c r="AG138" s="284">
        <v>161.37682181797979</v>
      </c>
      <c r="AH138" s="284">
        <v>169.94427710888897</v>
      </c>
      <c r="AI138" s="284">
        <v>142.80135673122697</v>
      </c>
      <c r="AJ138" s="284">
        <v>164.32579501945841</v>
      </c>
      <c r="AK138" s="284">
        <v>174.99528567633047</v>
      </c>
      <c r="AL138" s="284">
        <v>209.78045070749334</v>
      </c>
      <c r="AM138" s="284">
        <v>253.16540205653072</v>
      </c>
      <c r="AN138" s="284">
        <v>284.03208815319431</v>
      </c>
      <c r="AO138" s="284">
        <v>207.36214227793494</v>
      </c>
      <c r="AP138" s="284">
        <v>245.46155147915661</v>
      </c>
      <c r="AQ138" s="284">
        <v>197.38637087709975</v>
      </c>
      <c r="AR138" s="284">
        <v>179.75120806192669</v>
      </c>
      <c r="AS138" s="284">
        <v>143.34481440593228</v>
      </c>
      <c r="AT138" s="284">
        <v>119.89483611040679</v>
      </c>
      <c r="AU138" s="284">
        <v>159.63378867714087</v>
      </c>
      <c r="AV138" s="284">
        <v>215.23634578804925</v>
      </c>
      <c r="AW138" s="284">
        <v>292.51779640210276</v>
      </c>
      <c r="AX138" s="284">
        <v>265.68216788611301</v>
      </c>
      <c r="AY138" s="284">
        <v>338.53338888999355</v>
      </c>
    </row>
    <row r="139" spans="1:51" ht="12.75" hidden="1" customHeight="1" x14ac:dyDescent="0.25">
      <c r="A139" s="59">
        <v>106</v>
      </c>
      <c r="B139" s="39" t="s">
        <v>255</v>
      </c>
      <c r="C139" s="59" t="s">
        <v>256</v>
      </c>
      <c r="D139" s="284">
        <v>8328.1519874358019</v>
      </c>
      <c r="E139" s="284">
        <v>8962.9246693170662</v>
      </c>
      <c r="F139" s="284">
        <v>9364.1210308333575</v>
      </c>
      <c r="G139" s="284">
        <v>7636.8494206125706</v>
      </c>
      <c r="H139" s="284">
        <v>8208.3162510741822</v>
      </c>
      <c r="I139" s="284">
        <v>6420.5565890800681</v>
      </c>
      <c r="J139" s="284">
        <v>5297.4336943395838</v>
      </c>
      <c r="K139" s="284">
        <v>5426.8987323990332</v>
      </c>
      <c r="L139" s="284">
        <v>7153.9736111422899</v>
      </c>
      <c r="M139" s="284">
        <v>9218.3737297822554</v>
      </c>
      <c r="N139" s="284">
        <v>10033.469444757695</v>
      </c>
      <c r="O139" s="284">
        <v>10621.806967506926</v>
      </c>
      <c r="P139" s="284">
        <v>13521.429892164795</v>
      </c>
      <c r="Q139" s="284">
        <v>14181.955842474392</v>
      </c>
      <c r="R139" s="284">
        <v>12215.156515545599</v>
      </c>
      <c r="S139" s="284">
        <v>11219.498735290601</v>
      </c>
      <c r="T139" s="284">
        <v>12036.072798839961</v>
      </c>
      <c r="U139" s="284">
        <v>9042.417288428971</v>
      </c>
      <c r="V139" s="284">
        <v>7913.0068821573368</v>
      </c>
      <c r="W139" s="284">
        <v>7760.4469442314794</v>
      </c>
      <c r="X139" s="284">
        <v>7565.2311163604081</v>
      </c>
      <c r="Y139" s="284">
        <v>9856.9350262028402</v>
      </c>
      <c r="Z139" s="284">
        <v>12592.624783505287</v>
      </c>
      <c r="AA139" s="284">
        <v>15598.97905257274</v>
      </c>
      <c r="AB139" s="284">
        <v>16576.140905416229</v>
      </c>
      <c r="AC139" s="284">
        <v>14460.045225258447</v>
      </c>
      <c r="AD139" s="284">
        <v>14173.932367604941</v>
      </c>
      <c r="AE139" s="284">
        <v>11303.541236235509</v>
      </c>
      <c r="AF139" s="284">
        <v>9970.5365860579313</v>
      </c>
      <c r="AG139" s="284">
        <v>8902.9230116525705</v>
      </c>
      <c r="AH139" s="284">
        <v>8506.7809687885601</v>
      </c>
      <c r="AI139" s="284">
        <v>8084.7002022377956</v>
      </c>
      <c r="AJ139" s="284">
        <v>8063.6169045223442</v>
      </c>
      <c r="AK139" s="284">
        <v>8698.4739523780354</v>
      </c>
      <c r="AL139" s="284">
        <v>11241.7598088001</v>
      </c>
      <c r="AM139" s="284">
        <v>12814.057889827774</v>
      </c>
      <c r="AN139" s="284">
        <v>13396.032608678221</v>
      </c>
      <c r="AO139" s="284">
        <v>11644.668007416773</v>
      </c>
      <c r="AP139" s="284">
        <v>11809.653700934956</v>
      </c>
      <c r="AQ139" s="284">
        <v>9481.7739587800588</v>
      </c>
      <c r="AR139" s="284">
        <v>9161.034225117377</v>
      </c>
      <c r="AS139" s="284">
        <v>7874.0306729243621</v>
      </c>
      <c r="AT139" s="284">
        <v>7378.3162774699294</v>
      </c>
      <c r="AU139" s="284">
        <v>7498.2289178837791</v>
      </c>
      <c r="AV139" s="284">
        <v>8121.1347617323927</v>
      </c>
      <c r="AW139" s="284">
        <v>9553.3902090548454</v>
      </c>
      <c r="AX139" s="284">
        <v>10516.867400820716</v>
      </c>
      <c r="AY139" s="284">
        <v>13694.775169651735</v>
      </c>
    </row>
    <row r="140" spans="1:51" ht="12.75" hidden="1" customHeight="1" x14ac:dyDescent="0.25">
      <c r="A140" s="59">
        <v>31</v>
      </c>
      <c r="B140" s="39" t="s">
        <v>89</v>
      </c>
      <c r="C140" s="347" t="s">
        <v>90</v>
      </c>
      <c r="D140" s="284">
        <v>0</v>
      </c>
      <c r="E140" s="284">
        <v>0</v>
      </c>
      <c r="F140" s="284">
        <v>0</v>
      </c>
      <c r="G140" s="284">
        <v>0</v>
      </c>
      <c r="H140" s="284">
        <v>0</v>
      </c>
      <c r="I140" s="284">
        <v>0</v>
      </c>
      <c r="J140" s="284">
        <v>0</v>
      </c>
      <c r="K140" s="284">
        <v>0</v>
      </c>
      <c r="L140" s="284">
        <v>0</v>
      </c>
      <c r="M140" s="284">
        <v>0</v>
      </c>
      <c r="N140" s="284">
        <v>0</v>
      </c>
      <c r="O140" s="284">
        <v>0</v>
      </c>
      <c r="P140" s="284">
        <v>0</v>
      </c>
      <c r="Q140" s="284">
        <v>0</v>
      </c>
      <c r="R140" s="284">
        <v>0</v>
      </c>
      <c r="S140" s="284">
        <v>0</v>
      </c>
      <c r="T140" s="284">
        <v>0</v>
      </c>
      <c r="U140" s="284">
        <v>0</v>
      </c>
      <c r="V140" s="284">
        <v>0</v>
      </c>
      <c r="W140" s="284">
        <v>0</v>
      </c>
      <c r="X140" s="284">
        <v>0</v>
      </c>
      <c r="Y140" s="284">
        <v>0</v>
      </c>
      <c r="Z140" s="284">
        <v>0</v>
      </c>
      <c r="AA140" s="284">
        <v>0</v>
      </c>
      <c r="AB140" s="284">
        <v>0</v>
      </c>
      <c r="AC140" s="284">
        <v>0</v>
      </c>
      <c r="AD140" s="284">
        <v>0</v>
      </c>
      <c r="AE140" s="284">
        <v>0</v>
      </c>
      <c r="AF140" s="284">
        <v>0</v>
      </c>
      <c r="AG140" s="284">
        <v>0</v>
      </c>
      <c r="AH140" s="284">
        <v>0</v>
      </c>
      <c r="AI140" s="284">
        <v>0</v>
      </c>
      <c r="AJ140" s="284">
        <v>0</v>
      </c>
      <c r="AK140" s="284">
        <v>0</v>
      </c>
      <c r="AL140" s="284">
        <v>0</v>
      </c>
      <c r="AM140" s="284">
        <v>0</v>
      </c>
      <c r="AN140" s="284">
        <v>0</v>
      </c>
      <c r="AO140" s="284">
        <v>0</v>
      </c>
      <c r="AP140" s="284">
        <v>0</v>
      </c>
      <c r="AQ140" s="284">
        <v>0</v>
      </c>
      <c r="AR140" s="284">
        <v>0</v>
      </c>
      <c r="AS140" s="284">
        <v>0</v>
      </c>
      <c r="AT140" s="284">
        <v>0</v>
      </c>
      <c r="AU140" s="284">
        <v>0</v>
      </c>
      <c r="AV140" s="284">
        <v>0</v>
      </c>
      <c r="AW140" s="284">
        <v>0</v>
      </c>
      <c r="AX140" s="284">
        <v>0</v>
      </c>
      <c r="AY140" s="284">
        <v>0</v>
      </c>
    </row>
    <row r="141" spans="1:51" ht="12.75" hidden="1" customHeight="1" x14ac:dyDescent="0.25">
      <c r="A141" s="59">
        <v>134</v>
      </c>
      <c r="B141" s="39" t="s">
        <v>3579</v>
      </c>
      <c r="C141" s="59" t="s">
        <v>312</v>
      </c>
      <c r="D141" s="284">
        <v>1480.9494646696053</v>
      </c>
      <c r="E141" s="284">
        <v>1600.2386790122989</v>
      </c>
      <c r="F141" s="284">
        <v>1671.1318155858376</v>
      </c>
      <c r="G141" s="284">
        <v>1368.4072214779715</v>
      </c>
      <c r="H141" s="284">
        <v>1470.805382626482</v>
      </c>
      <c r="I141" s="284">
        <v>1149.9284976128663</v>
      </c>
      <c r="J141" s="284">
        <v>949.04033276489315</v>
      </c>
      <c r="K141" s="284">
        <v>970.9842042790815</v>
      </c>
      <c r="L141" s="284">
        <v>1281.7040385933574</v>
      </c>
      <c r="M141" s="284">
        <v>1651.7923147822153</v>
      </c>
      <c r="N141" s="284">
        <v>1797.486695651118</v>
      </c>
      <c r="O141" s="284">
        <v>1903.0870129549123</v>
      </c>
      <c r="P141" s="284">
        <v>2422.2969537087124</v>
      </c>
      <c r="Q141" s="284">
        <v>2541.011523669094</v>
      </c>
      <c r="R141" s="284">
        <v>2188.232639573429</v>
      </c>
      <c r="S141" s="284">
        <v>2010.1842838590057</v>
      </c>
      <c r="T141" s="284">
        <v>2156.5019318692671</v>
      </c>
      <c r="U141" s="284">
        <v>1620.0844128847004</v>
      </c>
      <c r="V141" s="284">
        <v>1417.7112520648677</v>
      </c>
      <c r="W141" s="284">
        <v>1390.0164628186546</v>
      </c>
      <c r="X141" s="284">
        <v>1354.3200175338111</v>
      </c>
      <c r="Y141" s="284">
        <v>1766.2127833879947</v>
      </c>
      <c r="Z141" s="284">
        <v>2255.6900252255373</v>
      </c>
      <c r="AA141" s="284">
        <v>2794.5621533346721</v>
      </c>
      <c r="AB141" s="284">
        <v>2970.1922441975444</v>
      </c>
      <c r="AC141" s="284">
        <v>2589.7658012229022</v>
      </c>
      <c r="AD141" s="284">
        <v>2539.7530238346876</v>
      </c>
      <c r="AE141" s="284">
        <v>2025.4226061063268</v>
      </c>
      <c r="AF141" s="284">
        <v>1786.56845446582</v>
      </c>
      <c r="AG141" s="284">
        <v>1595.0891608923728</v>
      </c>
      <c r="AH141" s="284">
        <v>1524.1065341139772</v>
      </c>
      <c r="AI141" s="284">
        <v>1448.4760827087046</v>
      </c>
      <c r="AJ141" s="284">
        <v>1444.6982765405583</v>
      </c>
      <c r="AK141" s="284">
        <v>1558.6341849486621</v>
      </c>
      <c r="AL141" s="284">
        <v>2014.3523143145783</v>
      </c>
      <c r="AM141" s="284">
        <v>2295.9050231278779</v>
      </c>
      <c r="AN141" s="284">
        <v>2400.1860379981017</v>
      </c>
      <c r="AO141" s="284">
        <v>2084.7554854068039</v>
      </c>
      <c r="AP141" s="284">
        <v>2112.7057483622848</v>
      </c>
      <c r="AQ141" s="284">
        <v>1697.0185955480845</v>
      </c>
      <c r="AR141" s="284">
        <v>1656.6654590605101</v>
      </c>
      <c r="AS141" s="284">
        <v>1422.649486927736</v>
      </c>
      <c r="AT141" s="284">
        <v>1329.7024664858525</v>
      </c>
      <c r="AU141" s="284">
        <v>1350.8684683842364</v>
      </c>
      <c r="AV141" s="284">
        <v>1463.4319600665719</v>
      </c>
      <c r="AW141" s="284">
        <v>1724.0961296471203</v>
      </c>
      <c r="AX141" s="284">
        <v>1897.7636869262794</v>
      </c>
      <c r="AY141" s="284">
        <v>2476.1735790103007</v>
      </c>
    </row>
    <row r="142" spans="1:51" ht="12.75" hidden="1" customHeight="1" x14ac:dyDescent="0.25">
      <c r="A142" s="59">
        <v>135</v>
      </c>
      <c r="B142" s="39" t="s">
        <v>3580</v>
      </c>
      <c r="C142" s="59" t="s">
        <v>315</v>
      </c>
      <c r="D142" s="284">
        <v>246.85516263643385</v>
      </c>
      <c r="E142" s="284">
        <v>266.73913512155008</v>
      </c>
      <c r="F142" s="284">
        <v>278.55610604200757</v>
      </c>
      <c r="G142" s="284">
        <v>228.09582316583422</v>
      </c>
      <c r="H142" s="284">
        <v>245.16427507930089</v>
      </c>
      <c r="I142" s="284">
        <v>191.67823958248545</v>
      </c>
      <c r="J142" s="284">
        <v>158.19277516365426</v>
      </c>
      <c r="K142" s="284">
        <v>161.85053533760893</v>
      </c>
      <c r="L142" s="284">
        <v>213.64352156967354</v>
      </c>
      <c r="M142" s="284">
        <v>275.33246085351306</v>
      </c>
      <c r="N142" s="284">
        <v>299.61783381364398</v>
      </c>
      <c r="O142" s="284">
        <v>317.22004383119025</v>
      </c>
      <c r="P142" s="284">
        <v>403.76564003478984</v>
      </c>
      <c r="Q142" s="284">
        <v>423.55382671773123</v>
      </c>
      <c r="R142" s="284">
        <v>364.75013970092709</v>
      </c>
      <c r="S142" s="284">
        <v>335.07177669423322</v>
      </c>
      <c r="T142" s="284">
        <v>359.46104024294692</v>
      </c>
      <c r="U142" s="284">
        <v>270.04716282916939</v>
      </c>
      <c r="V142" s="284">
        <v>236.31416874717743</v>
      </c>
      <c r="W142" s="284">
        <v>231.69780480860044</v>
      </c>
      <c r="X142" s="284">
        <v>225.74766807770357</v>
      </c>
      <c r="Y142" s="284">
        <v>294.40487626028596</v>
      </c>
      <c r="Z142" s="284">
        <v>375.99441528456072</v>
      </c>
      <c r="AA142" s="284">
        <v>465.81744436023467</v>
      </c>
      <c r="AB142" s="284">
        <v>495.09271382628521</v>
      </c>
      <c r="AC142" s="284">
        <v>431.68053556356756</v>
      </c>
      <c r="AD142" s="284">
        <v>423.34405103752619</v>
      </c>
      <c r="AE142" s="284">
        <v>337.61180834717561</v>
      </c>
      <c r="AF142" s="284">
        <v>297.79790391880329</v>
      </c>
      <c r="AG142" s="284">
        <v>265.88077691060516</v>
      </c>
      <c r="AH142" s="284">
        <v>254.04888912795803</v>
      </c>
      <c r="AI142" s="284">
        <v>241.44226896480438</v>
      </c>
      <c r="AJ142" s="284">
        <v>240.81255743291578</v>
      </c>
      <c r="AK142" s="284">
        <v>259.80420290846683</v>
      </c>
      <c r="AL142" s="284">
        <v>335.76653357860363</v>
      </c>
      <c r="AM142" s="284">
        <v>382.69773642038416</v>
      </c>
      <c r="AN142" s="284">
        <v>400.08003574916279</v>
      </c>
      <c r="AO142" s="284">
        <v>347.5018335768176</v>
      </c>
      <c r="AP142" s="284">
        <v>352.16078168558744</v>
      </c>
      <c r="AQ142" s="284">
        <v>282.8710981671033</v>
      </c>
      <c r="AR142" s="284">
        <v>276.14475111193701</v>
      </c>
      <c r="AS142" s="284">
        <v>237.13730876599112</v>
      </c>
      <c r="AT142" s="284">
        <v>221.64424003195978</v>
      </c>
      <c r="AU142" s="284">
        <v>225.17233938013996</v>
      </c>
      <c r="AV142" s="284">
        <v>243.93522069990667</v>
      </c>
      <c r="AW142" s="284">
        <v>287.38457363893667</v>
      </c>
      <c r="AX142" s="284">
        <v>316.33271408502765</v>
      </c>
      <c r="AY142" s="284">
        <v>412.74617814119495</v>
      </c>
    </row>
    <row r="143" spans="1:51" ht="12.75" hidden="1" customHeight="1" x14ac:dyDescent="0.25">
      <c r="A143" s="59">
        <v>3.1</v>
      </c>
      <c r="B143" s="39" t="s">
        <v>3532</v>
      </c>
      <c r="C143" s="59" t="s">
        <v>21</v>
      </c>
      <c r="D143" s="284">
        <v>1125.2791104660114</v>
      </c>
      <c r="E143" s="284">
        <v>1295.0805919698</v>
      </c>
      <c r="F143" s="284">
        <v>1416.3747014648814</v>
      </c>
      <c r="G143" s="284">
        <v>1200.4100648211161</v>
      </c>
      <c r="H143" s="284">
        <v>1261.8035448592148</v>
      </c>
      <c r="I143" s="284">
        <v>943.04957603572461</v>
      </c>
      <c r="J143" s="284">
        <v>712.65873622859135</v>
      </c>
      <c r="K143" s="284">
        <v>777.42949944985344</v>
      </c>
      <c r="L143" s="284">
        <v>675.13362129830011</v>
      </c>
      <c r="M143" s="284">
        <v>729.75893560288034</v>
      </c>
      <c r="N143" s="284">
        <v>898.61919339242843</v>
      </c>
      <c r="O143" s="284">
        <v>1362.6803191500508</v>
      </c>
      <c r="P143" s="284">
        <v>1336.638274559597</v>
      </c>
      <c r="Q143" s="284">
        <v>1089.8103104868114</v>
      </c>
      <c r="R143" s="284">
        <v>1094.7945159663061</v>
      </c>
      <c r="S143" s="284">
        <v>894.86185552901679</v>
      </c>
      <c r="T143" s="284">
        <v>908.1931588000092</v>
      </c>
      <c r="U143" s="284">
        <v>684.48576365523184</v>
      </c>
      <c r="V143" s="284">
        <v>566.27241735806092</v>
      </c>
      <c r="W143" s="284">
        <v>609.83059322804729</v>
      </c>
      <c r="X143" s="284">
        <v>632.04829034563431</v>
      </c>
      <c r="Y143" s="284">
        <v>739.53228600563</v>
      </c>
      <c r="Z143" s="284">
        <v>887.28151003803509</v>
      </c>
      <c r="AA143" s="284">
        <v>1044.1293048265075</v>
      </c>
      <c r="AB143" s="284">
        <v>970.78470485580851</v>
      </c>
      <c r="AC143" s="284">
        <v>877.65057405144228</v>
      </c>
      <c r="AD143" s="284">
        <v>916.52491839040454</v>
      </c>
      <c r="AE143" s="284">
        <v>744.79519693605437</v>
      </c>
      <c r="AF143" s="284">
        <v>646.1432760298286</v>
      </c>
      <c r="AG143" s="284">
        <v>580.36968878890093</v>
      </c>
      <c r="AH143" s="284">
        <v>534.14883288598071</v>
      </c>
      <c r="AI143" s="284">
        <v>464.82060660509035</v>
      </c>
      <c r="AJ143" s="284">
        <v>445.1389607405049</v>
      </c>
      <c r="AK143" s="284">
        <v>447.24649300969776</v>
      </c>
      <c r="AL143" s="284">
        <v>579.42903390361369</v>
      </c>
      <c r="AM143" s="284">
        <v>596.93154384964384</v>
      </c>
      <c r="AN143" s="284">
        <v>580.68521628539645</v>
      </c>
      <c r="AO143" s="284">
        <v>468.87290154015375</v>
      </c>
      <c r="AP143" s="284">
        <v>906.61163516069371</v>
      </c>
      <c r="AQ143" s="284">
        <v>784.04086887465803</v>
      </c>
      <c r="AR143" s="284">
        <v>842.79036465299009</v>
      </c>
      <c r="AS143" s="284">
        <v>660.00377800447529</v>
      </c>
      <c r="AT143" s="284">
        <v>640.80964585807556</v>
      </c>
      <c r="AU143" s="284">
        <v>682.7182792490471</v>
      </c>
      <c r="AV143" s="284">
        <v>760.90606259501897</v>
      </c>
      <c r="AW143" s="284">
        <v>989.05633958464375</v>
      </c>
      <c r="AX143" s="284">
        <v>1143.5170714319875</v>
      </c>
      <c r="AY143" s="284">
        <v>1570.1087638746103</v>
      </c>
    </row>
    <row r="144" spans="1:51" ht="12.75" hidden="1" customHeight="1" x14ac:dyDescent="0.25">
      <c r="A144" s="59">
        <v>48</v>
      </c>
      <c r="B144" s="39" t="s">
        <v>128</v>
      </c>
      <c r="C144" s="59" t="s">
        <v>129</v>
      </c>
      <c r="D144" s="284">
        <v>7987.7186948703338</v>
      </c>
      <c r="E144" s="284">
        <v>6732.4726583270458</v>
      </c>
      <c r="F144" s="284">
        <v>7066.8963597842221</v>
      </c>
      <c r="G144" s="284">
        <v>6406.8506550663569</v>
      </c>
      <c r="H144" s="284">
        <v>5857.6946271472088</v>
      </c>
      <c r="I144" s="284">
        <v>4942.6043894708255</v>
      </c>
      <c r="J144" s="284">
        <v>4217.8873294234818</v>
      </c>
      <c r="K144" s="284">
        <v>4384.7077943267996</v>
      </c>
      <c r="L144" s="284">
        <v>5038.8691756554035</v>
      </c>
      <c r="M144" s="284">
        <v>5029.8111856018977</v>
      </c>
      <c r="N144" s="284">
        <v>8183.4597121240531</v>
      </c>
      <c r="O144" s="284">
        <v>6974.0193007141988</v>
      </c>
      <c r="P144" s="284">
        <v>8520.0461309688781</v>
      </c>
      <c r="Q144" s="284">
        <v>8997.5394413184749</v>
      </c>
      <c r="R144" s="284">
        <v>8056.3056158012005</v>
      </c>
      <c r="S144" s="284">
        <v>7474.1372068941118</v>
      </c>
      <c r="T144" s="284">
        <v>8169.6836209479916</v>
      </c>
      <c r="U144" s="284">
        <v>6352.2586358601247</v>
      </c>
      <c r="V144" s="284">
        <v>5724.0196699515</v>
      </c>
      <c r="W144" s="284">
        <v>5593.6872999029956</v>
      </c>
      <c r="X144" s="284">
        <v>5513.9893854175389</v>
      </c>
      <c r="Y144" s="284">
        <v>5378.2286880353313</v>
      </c>
      <c r="Z144" s="284">
        <v>9533.7175854949619</v>
      </c>
      <c r="AA144" s="284">
        <v>9819.6170093004221</v>
      </c>
      <c r="AB144" s="284">
        <v>9044.421650080476</v>
      </c>
      <c r="AC144" s="284">
        <v>10677.999273944839</v>
      </c>
      <c r="AD144" s="284">
        <v>7733.7072303997484</v>
      </c>
      <c r="AE144" s="284">
        <v>8782.5388537618583</v>
      </c>
      <c r="AF144" s="284">
        <v>6885.2129830108042</v>
      </c>
      <c r="AG144" s="284">
        <v>6221.1465260429031</v>
      </c>
      <c r="AH144" s="284">
        <v>5972.9999760449073</v>
      </c>
      <c r="AI144" s="284">
        <v>5782.700508584001</v>
      </c>
      <c r="AJ144" s="284">
        <v>5583.1968518884669</v>
      </c>
      <c r="AK144" s="284">
        <v>4746.1388381322704</v>
      </c>
      <c r="AL144" s="284">
        <v>6133.829121016578</v>
      </c>
      <c r="AM144" s="284">
        <v>9016.17477606787</v>
      </c>
      <c r="AN144" s="284">
        <v>8194.7170060117896</v>
      </c>
      <c r="AO144" s="284">
        <v>7539.211192111401</v>
      </c>
      <c r="AP144" s="284">
        <v>7772.3214956258762</v>
      </c>
      <c r="AQ144" s="284">
        <v>6603.5280467614893</v>
      </c>
      <c r="AR144" s="284">
        <v>6397.6502155336057</v>
      </c>
      <c r="AS144" s="284">
        <v>5590.0569047951913</v>
      </c>
      <c r="AT144" s="284">
        <v>5372.027398662276</v>
      </c>
      <c r="AU144" s="284">
        <v>5147.4792018037615</v>
      </c>
      <c r="AV144" s="284">
        <v>5935.2420930506969</v>
      </c>
      <c r="AW144" s="284">
        <v>6067.980836177574</v>
      </c>
      <c r="AX144" s="284">
        <v>7040.8094391209443</v>
      </c>
      <c r="AY144" s="284">
        <v>8902.1038337195641</v>
      </c>
    </row>
    <row r="145" spans="1:51" ht="12.75" hidden="1" customHeight="1" x14ac:dyDescent="0.25">
      <c r="A145" s="59">
        <v>234</v>
      </c>
      <c r="B145" s="39" t="s">
        <v>3602</v>
      </c>
      <c r="C145" s="59" t="s">
        <v>442</v>
      </c>
      <c r="D145" s="284">
        <v>0</v>
      </c>
      <c r="E145" s="284">
        <v>0</v>
      </c>
      <c r="F145" s="284">
        <v>0</v>
      </c>
      <c r="G145" s="284">
        <v>0</v>
      </c>
      <c r="H145" s="284">
        <v>0</v>
      </c>
      <c r="I145" s="284">
        <v>0</v>
      </c>
      <c r="J145" s="284">
        <v>0</v>
      </c>
      <c r="K145" s="284">
        <v>0</v>
      </c>
      <c r="L145" s="284">
        <v>0</v>
      </c>
      <c r="M145" s="284">
        <v>0</v>
      </c>
      <c r="N145" s="284">
        <v>0</v>
      </c>
      <c r="O145" s="284">
        <v>0</v>
      </c>
      <c r="P145" s="284">
        <v>0</v>
      </c>
      <c r="Q145" s="284">
        <v>0</v>
      </c>
      <c r="R145" s="284">
        <v>0</v>
      </c>
      <c r="S145" s="284">
        <v>0</v>
      </c>
      <c r="T145" s="284">
        <v>0</v>
      </c>
      <c r="U145" s="284">
        <v>0</v>
      </c>
      <c r="V145" s="284">
        <v>0</v>
      </c>
      <c r="W145" s="284">
        <v>0</v>
      </c>
      <c r="X145" s="284">
        <v>0</v>
      </c>
      <c r="Y145" s="284">
        <v>0</v>
      </c>
      <c r="Z145" s="284">
        <v>0</v>
      </c>
      <c r="AA145" s="284">
        <v>0</v>
      </c>
      <c r="AB145" s="284">
        <v>0</v>
      </c>
      <c r="AC145" s="284">
        <v>0</v>
      </c>
      <c r="AD145" s="284">
        <v>0</v>
      </c>
      <c r="AE145" s="284">
        <v>0</v>
      </c>
      <c r="AF145" s="284">
        <v>0</v>
      </c>
      <c r="AG145" s="284">
        <v>0</v>
      </c>
      <c r="AH145" s="284">
        <v>0</v>
      </c>
      <c r="AI145" s="284">
        <v>0</v>
      </c>
      <c r="AJ145" s="284">
        <v>0</v>
      </c>
      <c r="AK145" s="284">
        <v>0</v>
      </c>
      <c r="AL145" s="284">
        <v>0</v>
      </c>
      <c r="AM145" s="284">
        <v>0</v>
      </c>
      <c r="AN145" s="284">
        <v>0</v>
      </c>
      <c r="AO145" s="284">
        <v>0</v>
      </c>
      <c r="AP145" s="284">
        <v>0</v>
      </c>
      <c r="AQ145" s="284">
        <v>0</v>
      </c>
      <c r="AR145" s="284">
        <v>0</v>
      </c>
      <c r="AS145" s="284">
        <v>0</v>
      </c>
      <c r="AT145" s="284">
        <v>0</v>
      </c>
      <c r="AU145" s="284">
        <v>0</v>
      </c>
      <c r="AV145" s="284">
        <v>0</v>
      </c>
      <c r="AW145" s="284">
        <v>0</v>
      </c>
      <c r="AX145" s="284">
        <v>0</v>
      </c>
      <c r="AY145" s="284">
        <v>0</v>
      </c>
    </row>
    <row r="146" spans="1:51" ht="12.75" hidden="1" customHeight="1" x14ac:dyDescent="0.25">
      <c r="A146" s="59">
        <v>49</v>
      </c>
      <c r="B146" s="39" t="s">
        <v>3548</v>
      </c>
      <c r="C146" s="59" t="s">
        <v>135</v>
      </c>
      <c r="D146" s="284">
        <v>1080.7778848467199</v>
      </c>
      <c r="E146" s="284">
        <v>1167.8336202637863</v>
      </c>
      <c r="F146" s="284">
        <v>1219.570520154015</v>
      </c>
      <c r="G146" s="284">
        <v>998.64600225767072</v>
      </c>
      <c r="H146" s="284">
        <v>1073.3748641523409</v>
      </c>
      <c r="I146" s="284">
        <v>839.20303766223935</v>
      </c>
      <c r="J146" s="284">
        <v>692.59743694812641</v>
      </c>
      <c r="K146" s="284">
        <v>708.61179233718326</v>
      </c>
      <c r="L146" s="284">
        <v>935.37113377428375</v>
      </c>
      <c r="M146" s="284">
        <v>1205.4568010358587</v>
      </c>
      <c r="N146" s="284">
        <v>1311.7826876012552</v>
      </c>
      <c r="O146" s="284">
        <v>1388.8484419011154</v>
      </c>
      <c r="P146" s="284">
        <v>1767.7611833189826</v>
      </c>
      <c r="Q146" s="284">
        <v>1854.3975506516745</v>
      </c>
      <c r="R146" s="284">
        <v>1596.9440552641322</v>
      </c>
      <c r="S146" s="284">
        <v>1467.0066536983056</v>
      </c>
      <c r="T146" s="284">
        <v>1573.7873926126863</v>
      </c>
      <c r="U146" s="284">
        <v>1182.3167817689834</v>
      </c>
      <c r="V146" s="284">
        <v>1034.6274500810857</v>
      </c>
      <c r="W146" s="284">
        <v>1014.4161488470659</v>
      </c>
      <c r="X146" s="284">
        <v>988.36534188039661</v>
      </c>
      <c r="Y146" s="284">
        <v>1288.9593883915411</v>
      </c>
      <c r="Z146" s="284">
        <v>1646.1735882912028</v>
      </c>
      <c r="AA146" s="284">
        <v>2039.4355413252135</v>
      </c>
      <c r="AB146" s="284">
        <v>2167.6081242840514</v>
      </c>
      <c r="AC146" s="284">
        <v>1889.9777957774527</v>
      </c>
      <c r="AD146" s="284">
        <v>1853.4791136478748</v>
      </c>
      <c r="AE146" s="284">
        <v>1478.1273854180383</v>
      </c>
      <c r="AF146" s="284">
        <v>1303.8146955150935</v>
      </c>
      <c r="AG146" s="284">
        <v>1164.0755681260146</v>
      </c>
      <c r="AH146" s="284">
        <v>1112.2733594344886</v>
      </c>
      <c r="AI146" s="284">
        <v>1057.0792280682106</v>
      </c>
      <c r="AJ146" s="284">
        <v>1054.3222336823956</v>
      </c>
      <c r="AK146" s="284">
        <v>1137.4711952338093</v>
      </c>
      <c r="AL146" s="284">
        <v>1470.0484287535771</v>
      </c>
      <c r="AM146" s="284">
        <v>1675.5219768816964</v>
      </c>
      <c r="AN146" s="284">
        <v>1751.6249212223761</v>
      </c>
      <c r="AO146" s="284">
        <v>1521.4277581330127</v>
      </c>
      <c r="AP146" s="284">
        <v>1541.8255007964822</v>
      </c>
      <c r="AQ146" s="284">
        <v>1238.4623594507268</v>
      </c>
      <c r="AR146" s="284">
        <v>1209.0131590962085</v>
      </c>
      <c r="AS146" s="284">
        <v>1038.2313104134555</v>
      </c>
      <c r="AT146" s="284">
        <v>970.39976953208259</v>
      </c>
      <c r="AU146" s="284">
        <v>985.84644567339194</v>
      </c>
      <c r="AV146" s="284">
        <v>1067.993835137851</v>
      </c>
      <c r="AW146" s="284">
        <v>1258.2231958118443</v>
      </c>
      <c r="AX146" s="284">
        <v>1384.9635469855018</v>
      </c>
      <c r="AY146" s="284">
        <v>1807.079651994158</v>
      </c>
    </row>
    <row r="147" spans="1:51" ht="12" hidden="1" customHeight="1" x14ac:dyDescent="0.25">
      <c r="A147" s="59">
        <v>114</v>
      </c>
      <c r="B147" s="39" t="s">
        <v>273</v>
      </c>
      <c r="C147" s="59" t="s">
        <v>274</v>
      </c>
      <c r="D147" s="284">
        <v>967.02493873725609</v>
      </c>
      <c r="E147" s="284">
        <v>1051.2281495723369</v>
      </c>
      <c r="F147" s="284">
        <v>1097.8764972244151</v>
      </c>
      <c r="G147" s="284">
        <v>900.91344370440243</v>
      </c>
      <c r="H147" s="284">
        <v>968.65263067279</v>
      </c>
      <c r="I147" s="284">
        <v>758.29390622928531</v>
      </c>
      <c r="J147" s="284">
        <v>623.74839713728545</v>
      </c>
      <c r="K147" s="284">
        <v>641.52920302220855</v>
      </c>
      <c r="L147" s="284">
        <v>844.25136635048636</v>
      </c>
      <c r="M147" s="284">
        <v>1086.7111282389315</v>
      </c>
      <c r="N147" s="284">
        <v>1183.7728121244095</v>
      </c>
      <c r="O147" s="284">
        <v>1252.6829492432698</v>
      </c>
      <c r="P147" s="284">
        <v>1593.8086424842797</v>
      </c>
      <c r="Q147" s="284">
        <v>1674.9158309569091</v>
      </c>
      <c r="R147" s="284">
        <v>1441.7219448411452</v>
      </c>
      <c r="S147" s="284">
        <v>1324.5503215332415</v>
      </c>
      <c r="T147" s="284">
        <v>1422.0118901466838</v>
      </c>
      <c r="U147" s="284">
        <v>1071.0298249747482</v>
      </c>
      <c r="V147" s="284">
        <v>937.99619853528293</v>
      </c>
      <c r="W147" s="284">
        <v>918.92100668164187</v>
      </c>
      <c r="X147" s="284">
        <v>894.62729843608781</v>
      </c>
      <c r="Y147" s="284">
        <v>1165.3626927375108</v>
      </c>
      <c r="Z147" s="284">
        <v>1482.7111111287522</v>
      </c>
      <c r="AA147" s="284">
        <v>1836.4858411073149</v>
      </c>
      <c r="AB147" s="284">
        <v>1949.8775713119089</v>
      </c>
      <c r="AC147" s="284">
        <v>1700.6713111370816</v>
      </c>
      <c r="AD147" s="284">
        <v>1677.059285949493</v>
      </c>
      <c r="AE147" s="284">
        <v>1327.456758301294</v>
      </c>
      <c r="AF147" s="284">
        <v>1171.6106298211976</v>
      </c>
      <c r="AG147" s="284">
        <v>1046.6910613897528</v>
      </c>
      <c r="AH147" s="284">
        <v>1001.3793624899649</v>
      </c>
      <c r="AI147" s="284">
        <v>950.03587958044488</v>
      </c>
      <c r="AJ147" s="284">
        <v>948.57563510263026</v>
      </c>
      <c r="AK147" s="284">
        <v>1022.9067744707601</v>
      </c>
      <c r="AL147" s="284">
        <v>1321.2288230586655</v>
      </c>
      <c r="AM147" s="284">
        <v>1503.9252811001834</v>
      </c>
      <c r="AN147" s="284">
        <v>1573.9700879212248</v>
      </c>
      <c r="AO147" s="284">
        <v>1366.1693358882667</v>
      </c>
      <c r="AP147" s="284">
        <v>1385.4034498223884</v>
      </c>
      <c r="AQ147" s="284">
        <v>1114.1951390854929</v>
      </c>
      <c r="AR147" s="284">
        <v>1087.866490926745</v>
      </c>
      <c r="AS147" s="284">
        <v>934.18787881491619</v>
      </c>
      <c r="AT147" s="284">
        <v>873.5489245397315</v>
      </c>
      <c r="AU147" s="284">
        <v>887.3603870133278</v>
      </c>
      <c r="AV147" s="284">
        <v>960.79701968713323</v>
      </c>
      <c r="AW147" s="284">
        <v>1130.8659537920353</v>
      </c>
      <c r="AX147" s="284">
        <v>1245.1667651579007</v>
      </c>
      <c r="AY147" s="284">
        <v>1621.5659102967902</v>
      </c>
    </row>
    <row r="148" spans="1:51" ht="12.75" hidden="1" customHeight="1" x14ac:dyDescent="0.25">
      <c r="A148" s="59">
        <v>89</v>
      </c>
      <c r="B148" s="39" t="s">
        <v>212</v>
      </c>
      <c r="C148" s="59" t="s">
        <v>213</v>
      </c>
      <c r="D148" s="284">
        <v>2541.0314903441054</v>
      </c>
      <c r="E148" s="284">
        <v>2924.4660601278847</v>
      </c>
      <c r="F148" s="284">
        <v>3198.3644636027416</v>
      </c>
      <c r="G148" s="284">
        <v>2710.6872843069605</v>
      </c>
      <c r="H148" s="284">
        <v>2849.3220146842227</v>
      </c>
      <c r="I148" s="284">
        <v>2129.532706485636</v>
      </c>
      <c r="J148" s="284">
        <v>1609.2792212909217</v>
      </c>
      <c r="K148" s="284">
        <v>1755.5403110668524</v>
      </c>
      <c r="L148" s="284">
        <v>1524.5424676892633</v>
      </c>
      <c r="M148" s="284">
        <v>1647.8937700700565</v>
      </c>
      <c r="N148" s="284">
        <v>2029.2029301887142</v>
      </c>
      <c r="O148" s="284">
        <v>3077.1153307897662</v>
      </c>
      <c r="P148" s="284">
        <v>3018.3088935584874</v>
      </c>
      <c r="Q148" s="284">
        <v>2460.9381723098454</v>
      </c>
      <c r="R148" s="284">
        <v>2472.1931782545453</v>
      </c>
      <c r="S148" s="284">
        <v>2020.7183562354685</v>
      </c>
      <c r="T148" s="284">
        <v>2050.8222310020501</v>
      </c>
      <c r="U148" s="284">
        <v>1545.6608622369977</v>
      </c>
      <c r="V148" s="284">
        <v>1278.7192361761829</v>
      </c>
      <c r="W148" s="284">
        <v>1377.0794523377938</v>
      </c>
      <c r="X148" s="284">
        <v>1427.2499989103112</v>
      </c>
      <c r="Y148" s="284">
        <v>1669.9633090036186</v>
      </c>
      <c r="Z148" s="284">
        <v>2003.6009171742428</v>
      </c>
      <c r="AA148" s="284">
        <v>2357.7843211330037</v>
      </c>
      <c r="AB148" s="284">
        <v>2192.1623554901371</v>
      </c>
      <c r="AC148" s="284">
        <v>1981.8529691355684</v>
      </c>
      <c r="AD148" s="284">
        <v>2069.6364641040964</v>
      </c>
      <c r="AE148" s="284">
        <v>1681.8476693198309</v>
      </c>
      <c r="AF148" s="284">
        <v>1459.078371219342</v>
      </c>
      <c r="AG148" s="284">
        <v>1310.5527700083876</v>
      </c>
      <c r="AH148" s="284">
        <v>1206.1798644175792</v>
      </c>
      <c r="AI148" s="284">
        <v>1049.6274104433037</v>
      </c>
      <c r="AJ148" s="284">
        <v>1005.18360849358</v>
      </c>
      <c r="AK148" s="284">
        <v>1009.9426996498335</v>
      </c>
      <c r="AL148" s="284">
        <v>1308.4286448355037</v>
      </c>
      <c r="AM148" s="284">
        <v>1347.9516649638215</v>
      </c>
      <c r="AN148" s="284">
        <v>1311.2652735083705</v>
      </c>
      <c r="AO148" s="284">
        <v>1058.7780371121785</v>
      </c>
      <c r="AP148" s="284">
        <v>2047.250938037623</v>
      </c>
      <c r="AQ148" s="284">
        <v>1770.4696719218402</v>
      </c>
      <c r="AR148" s="284">
        <v>1903.1339304387843</v>
      </c>
      <c r="AS148" s="284">
        <v>1490.3772477931443</v>
      </c>
      <c r="AT148" s="284">
        <v>1447.034317350199</v>
      </c>
      <c r="AU148" s="284">
        <v>1541.6696448643158</v>
      </c>
      <c r="AV148" s="284">
        <v>1718.2281695844972</v>
      </c>
      <c r="AW148" s="284">
        <v>2233.4221627630254</v>
      </c>
      <c r="AX148" s="284">
        <v>2582.2152577340635</v>
      </c>
      <c r="AY148" s="284">
        <v>3545.516641305454</v>
      </c>
    </row>
    <row r="149" spans="1:51" ht="12.75" hidden="1" customHeight="1" x14ac:dyDescent="0.25">
      <c r="A149" s="59">
        <v>283</v>
      </c>
      <c r="B149" s="39" t="s">
        <v>3620</v>
      </c>
      <c r="C149" s="59" t="s">
        <v>3185</v>
      </c>
      <c r="D149" s="284">
        <v>0</v>
      </c>
      <c r="E149" s="284">
        <v>0</v>
      </c>
      <c r="F149" s="284">
        <v>0</v>
      </c>
      <c r="G149" s="284">
        <v>0</v>
      </c>
      <c r="H149" s="284"/>
      <c r="I149" s="284"/>
      <c r="J149" s="284"/>
      <c r="K149" s="284"/>
      <c r="L149" s="284"/>
      <c r="M149" s="284"/>
      <c r="N149" s="284"/>
      <c r="O149" s="284"/>
      <c r="P149" s="284"/>
      <c r="Q149" s="284"/>
      <c r="R149" s="284"/>
      <c r="S149" s="284"/>
      <c r="T149" s="284">
        <v>0</v>
      </c>
      <c r="U149" s="284">
        <v>0</v>
      </c>
      <c r="V149" s="284">
        <v>0</v>
      </c>
      <c r="W149" s="284"/>
      <c r="X149" s="284"/>
      <c r="Y149" s="284"/>
      <c r="Z149" s="284"/>
      <c r="AA149" s="284"/>
      <c r="AB149" s="284">
        <v>0</v>
      </c>
      <c r="AC149" s="284">
        <v>0</v>
      </c>
      <c r="AD149" s="284">
        <v>0</v>
      </c>
      <c r="AE149" s="284">
        <v>0</v>
      </c>
      <c r="AF149" s="284">
        <v>0</v>
      </c>
      <c r="AG149" s="284">
        <v>0</v>
      </c>
      <c r="AH149" s="284">
        <v>0</v>
      </c>
      <c r="AI149" s="284">
        <v>0</v>
      </c>
      <c r="AJ149" s="284">
        <v>0</v>
      </c>
      <c r="AK149" s="284">
        <v>0</v>
      </c>
      <c r="AL149" s="284">
        <v>0</v>
      </c>
      <c r="AM149" s="284">
        <v>0</v>
      </c>
      <c r="AN149" s="284">
        <v>0</v>
      </c>
      <c r="AO149" s="284">
        <v>0</v>
      </c>
      <c r="AP149" s="284">
        <v>0</v>
      </c>
      <c r="AQ149" s="284">
        <v>0</v>
      </c>
      <c r="AR149" s="284">
        <v>0</v>
      </c>
      <c r="AS149" s="284">
        <v>0</v>
      </c>
      <c r="AT149" s="284">
        <v>0</v>
      </c>
      <c r="AU149" s="284">
        <v>0</v>
      </c>
      <c r="AV149" s="284">
        <v>0</v>
      </c>
      <c r="AW149" s="284">
        <v>0</v>
      </c>
      <c r="AX149" s="284">
        <v>0</v>
      </c>
      <c r="AY149" s="284">
        <v>0</v>
      </c>
    </row>
    <row r="150" spans="1:51" ht="12.75" hidden="1" customHeight="1" x14ac:dyDescent="0.25">
      <c r="A150" s="59">
        <v>310</v>
      </c>
      <c r="B150" s="221" t="s">
        <v>3624</v>
      </c>
      <c r="C150" s="59" t="s">
        <v>538</v>
      </c>
      <c r="D150" s="284">
        <v>23356.634334168237</v>
      </c>
      <c r="E150" s="284">
        <v>15312.850778617427</v>
      </c>
      <c r="F150" s="284">
        <v>15361.318453473372</v>
      </c>
      <c r="G150" s="284">
        <v>12518.527774954717</v>
      </c>
      <c r="H150" s="284">
        <v>11026.760135232071</v>
      </c>
      <c r="I150" s="284">
        <v>10105.194269319793</v>
      </c>
      <c r="J150" s="284">
        <v>10794.919677603644</v>
      </c>
      <c r="K150" s="284">
        <v>12141.597222767537</v>
      </c>
      <c r="L150" s="284">
        <v>13222.728759185195</v>
      </c>
      <c r="M150" s="284">
        <v>6900.8909590957528</v>
      </c>
      <c r="N150" s="284">
        <v>18548.57585654415</v>
      </c>
      <c r="O150" s="284">
        <v>15475.75497357829</v>
      </c>
      <c r="P150" s="284">
        <v>16974.920645288628</v>
      </c>
      <c r="Q150" s="284">
        <v>18308.888749281505</v>
      </c>
      <c r="R150" s="284">
        <v>15251.042073746727</v>
      </c>
      <c r="S150" s="284">
        <v>12978.188093294273</v>
      </c>
      <c r="T150" s="284">
        <v>13427.476888667616</v>
      </c>
      <c r="U150" s="284">
        <v>11125.421052571635</v>
      </c>
      <c r="V150" s="284">
        <v>12031.942414992827</v>
      </c>
      <c r="W150" s="284">
        <v>12040.238570742618</v>
      </c>
      <c r="X150" s="284">
        <v>13386.105247906864</v>
      </c>
      <c r="Y150" s="284">
        <v>7378.9190805919043</v>
      </c>
      <c r="Z150" s="284">
        <v>20906.866888285986</v>
      </c>
      <c r="AA150" s="284">
        <v>18237.17763946073</v>
      </c>
      <c r="AB150" s="284">
        <v>12408.92854466491</v>
      </c>
      <c r="AC150" s="284">
        <v>18061.575344852499</v>
      </c>
      <c r="AD150" s="284">
        <v>10610.630963510524</v>
      </c>
      <c r="AE150" s="284">
        <v>10471.851060658417</v>
      </c>
      <c r="AF150" s="284">
        <v>8424.9614102178366</v>
      </c>
      <c r="AG150" s="284">
        <v>7579.9953890360139</v>
      </c>
      <c r="AH150" s="284">
        <v>7481.4427516346932</v>
      </c>
      <c r="AI150" s="284">
        <v>7356.4723395772971</v>
      </c>
      <c r="AJ150" s="284">
        <v>7438.6893454335004</v>
      </c>
      <c r="AK150" s="284">
        <v>6511.6930616473692</v>
      </c>
      <c r="AL150" s="284">
        <v>8415.6013742683317</v>
      </c>
      <c r="AM150" s="284">
        <v>12054.877910592326</v>
      </c>
      <c r="AN150" s="284">
        <v>11139.545219540993</v>
      </c>
      <c r="AO150" s="284">
        <v>9807.7331501181725</v>
      </c>
      <c r="AP150" s="284">
        <v>10217.504317538973</v>
      </c>
      <c r="AQ150" s="284">
        <v>8224.8382191463388</v>
      </c>
      <c r="AR150" s="284">
        <v>8111.2500786966257</v>
      </c>
      <c r="AS150" s="284">
        <v>7940.5734713393704</v>
      </c>
      <c r="AT150" s="284">
        <v>10675.257550928485</v>
      </c>
      <c r="AU150" s="284">
        <v>10567.68529685853</v>
      </c>
      <c r="AV150" s="284">
        <v>10945.955303035</v>
      </c>
      <c r="AW150" s="284">
        <v>7202.9632825010976</v>
      </c>
      <c r="AX150" s="284">
        <v>10861.515075659794</v>
      </c>
      <c r="AY150" s="284">
        <v>15801.007487697956</v>
      </c>
    </row>
    <row r="151" spans="1:51" ht="12.75" hidden="1" customHeight="1" x14ac:dyDescent="0.25">
      <c r="A151" s="59">
        <v>112</v>
      </c>
      <c r="B151" s="39" t="s">
        <v>3568</v>
      </c>
      <c r="C151" s="59" t="s">
        <v>265</v>
      </c>
      <c r="D151" s="284">
        <v>0</v>
      </c>
      <c r="E151" s="284">
        <v>0</v>
      </c>
      <c r="F151" s="284">
        <v>0</v>
      </c>
      <c r="G151" s="284">
        <v>0</v>
      </c>
      <c r="H151" s="284">
        <v>0</v>
      </c>
      <c r="I151" s="284">
        <v>0</v>
      </c>
      <c r="J151" s="284">
        <v>0</v>
      </c>
      <c r="K151" s="284">
        <v>0</v>
      </c>
      <c r="L151" s="284">
        <v>0</v>
      </c>
      <c r="M151" s="284">
        <v>0</v>
      </c>
      <c r="N151" s="284">
        <v>0</v>
      </c>
      <c r="O151" s="284">
        <v>0</v>
      </c>
      <c r="P151" s="284">
        <v>0</v>
      </c>
      <c r="Q151" s="284">
        <v>0</v>
      </c>
      <c r="R151" s="284">
        <v>0</v>
      </c>
      <c r="S151" s="284">
        <v>0</v>
      </c>
      <c r="T151" s="284">
        <v>0</v>
      </c>
      <c r="U151" s="284">
        <v>0</v>
      </c>
      <c r="V151" s="284">
        <v>0</v>
      </c>
      <c r="W151" s="284">
        <v>0</v>
      </c>
      <c r="X151" s="284">
        <v>0</v>
      </c>
      <c r="Y151" s="284">
        <v>0</v>
      </c>
      <c r="Z151" s="284">
        <v>0</v>
      </c>
      <c r="AA151" s="284">
        <v>0</v>
      </c>
      <c r="AB151" s="284">
        <v>0</v>
      </c>
      <c r="AC151" s="284">
        <v>0</v>
      </c>
      <c r="AD151" s="284">
        <v>0</v>
      </c>
      <c r="AE151" s="284">
        <v>0</v>
      </c>
      <c r="AF151" s="284">
        <v>0</v>
      </c>
      <c r="AG151" s="284">
        <v>0</v>
      </c>
      <c r="AH151" s="284">
        <v>0</v>
      </c>
      <c r="AI151" s="284">
        <v>0</v>
      </c>
      <c r="AJ151" s="284">
        <v>0</v>
      </c>
      <c r="AK151" s="284">
        <v>0</v>
      </c>
      <c r="AL151" s="284">
        <v>0</v>
      </c>
      <c r="AM151" s="284">
        <v>0</v>
      </c>
      <c r="AN151" s="284">
        <v>0</v>
      </c>
      <c r="AO151" s="284">
        <v>0</v>
      </c>
      <c r="AP151" s="284">
        <v>0</v>
      </c>
      <c r="AQ151" s="284">
        <v>0</v>
      </c>
      <c r="AR151" s="284">
        <v>0</v>
      </c>
      <c r="AS151" s="284">
        <v>0</v>
      </c>
      <c r="AT151" s="284">
        <v>0</v>
      </c>
      <c r="AU151" s="284">
        <v>0</v>
      </c>
      <c r="AV151" s="284">
        <v>0</v>
      </c>
      <c r="AW151" s="284">
        <v>0</v>
      </c>
      <c r="AX151" s="284">
        <v>0</v>
      </c>
      <c r="AY151" s="284">
        <v>0</v>
      </c>
    </row>
    <row r="152" spans="1:51" ht="13.5" hidden="1" customHeight="1" x14ac:dyDescent="0.25">
      <c r="A152" s="59">
        <v>112.1</v>
      </c>
      <c r="B152" s="39" t="s">
        <v>3569</v>
      </c>
      <c r="C152" s="59" t="s">
        <v>268</v>
      </c>
      <c r="D152" s="284">
        <v>566.72214188653356</v>
      </c>
      <c r="E152" s="284">
        <v>652.23893358586747</v>
      </c>
      <c r="F152" s="284">
        <v>713.32605134352752</v>
      </c>
      <c r="G152" s="284">
        <v>604.56019910992882</v>
      </c>
      <c r="H152" s="284">
        <v>635.47967871410515</v>
      </c>
      <c r="I152" s="284">
        <v>474.94623393019617</v>
      </c>
      <c r="J152" s="284">
        <v>358.91494090062594</v>
      </c>
      <c r="K152" s="284">
        <v>391.53531510198985</v>
      </c>
      <c r="L152" s="284">
        <v>340.01623984944763</v>
      </c>
      <c r="M152" s="284">
        <v>367.52708123625382</v>
      </c>
      <c r="N152" s="284">
        <v>452.56984625690188</v>
      </c>
      <c r="O152" s="284">
        <v>686.28405343410805</v>
      </c>
      <c r="P152" s="284">
        <v>673.16854888760099</v>
      </c>
      <c r="Q152" s="284">
        <v>548.85905875684421</v>
      </c>
      <c r="R152" s="284">
        <v>551.36924452202027</v>
      </c>
      <c r="S152" s="284">
        <v>450.67754545620352</v>
      </c>
      <c r="T152" s="284">
        <v>457.3915639371358</v>
      </c>
      <c r="U152" s="284">
        <v>344.72624121573381</v>
      </c>
      <c r="V152" s="284">
        <v>285.19068226861799</v>
      </c>
      <c r="W152" s="284">
        <v>307.12780213169447</v>
      </c>
      <c r="X152" s="284">
        <v>318.31725795750356</v>
      </c>
      <c r="Y152" s="284">
        <v>372.44921479595365</v>
      </c>
      <c r="Z152" s="284">
        <v>446.85987071850224</v>
      </c>
      <c r="AA152" s="284">
        <v>525.85282223245235</v>
      </c>
      <c r="AB152" s="284">
        <v>488.91442321250452</v>
      </c>
      <c r="AC152" s="284">
        <v>442.00946105575321</v>
      </c>
      <c r="AD152" s="284">
        <v>461.58767190433787</v>
      </c>
      <c r="AE152" s="284">
        <v>375.09976444830875</v>
      </c>
      <c r="AF152" s="284">
        <v>325.41588833508035</v>
      </c>
      <c r="AG152" s="284">
        <v>292.29046381235685</v>
      </c>
      <c r="AH152" s="284">
        <v>269.01234355445575</v>
      </c>
      <c r="AI152" s="284">
        <v>234.09670304742693</v>
      </c>
      <c r="AJ152" s="284">
        <v>224.18447380893079</v>
      </c>
      <c r="AK152" s="284">
        <v>225.24588620927059</v>
      </c>
      <c r="AL152" s="284">
        <v>291.81672361189652</v>
      </c>
      <c r="AM152" s="284">
        <v>300.63147884262042</v>
      </c>
      <c r="AN152" s="284">
        <v>292.4493723151229</v>
      </c>
      <c r="AO152" s="284">
        <v>236.13755250761466</v>
      </c>
      <c r="AP152" s="284">
        <v>456.59506424565404</v>
      </c>
      <c r="AQ152" s="284">
        <v>394.86498629767806</v>
      </c>
      <c r="AR152" s="284">
        <v>424.45288122310853</v>
      </c>
      <c r="AS152" s="284">
        <v>332.39642613555662</v>
      </c>
      <c r="AT152" s="284">
        <v>322.72972248800022</v>
      </c>
      <c r="AU152" s="284">
        <v>343.8360864629193</v>
      </c>
      <c r="AV152" s="284">
        <v>383.21364855845934</v>
      </c>
      <c r="AW152" s="284">
        <v>498.11653126994952</v>
      </c>
      <c r="AX152" s="284">
        <v>575.90729089192166</v>
      </c>
      <c r="AY152" s="284">
        <v>790.75083984215951</v>
      </c>
    </row>
    <row r="153" spans="1:51" ht="13.5" hidden="1" customHeight="1" x14ac:dyDescent="0.25">
      <c r="A153" s="59">
        <v>35</v>
      </c>
      <c r="B153" s="39" t="s">
        <v>95</v>
      </c>
      <c r="C153" s="59" t="s">
        <v>96</v>
      </c>
      <c r="D153" s="284">
        <v>0</v>
      </c>
      <c r="E153" s="284">
        <v>0</v>
      </c>
      <c r="F153" s="284">
        <v>0</v>
      </c>
      <c r="G153" s="284">
        <v>0</v>
      </c>
      <c r="H153" s="284">
        <v>0</v>
      </c>
      <c r="I153" s="284">
        <v>0</v>
      </c>
      <c r="J153" s="284">
        <v>0</v>
      </c>
      <c r="K153" s="284">
        <v>0</v>
      </c>
      <c r="L153" s="284">
        <v>0</v>
      </c>
      <c r="M153" s="284">
        <v>0</v>
      </c>
      <c r="N153" s="284">
        <v>0</v>
      </c>
      <c r="O153" s="284">
        <v>0</v>
      </c>
      <c r="P153" s="284">
        <v>0</v>
      </c>
      <c r="Q153" s="284">
        <v>0</v>
      </c>
      <c r="R153" s="284">
        <v>0</v>
      </c>
      <c r="S153" s="284">
        <v>0</v>
      </c>
      <c r="T153" s="284">
        <v>0</v>
      </c>
      <c r="U153" s="284">
        <v>0</v>
      </c>
      <c r="V153" s="284">
        <v>0</v>
      </c>
      <c r="W153" s="284">
        <v>0</v>
      </c>
      <c r="X153" s="284">
        <v>0</v>
      </c>
      <c r="Y153" s="284">
        <v>0</v>
      </c>
      <c r="Z153" s="284">
        <v>0</v>
      </c>
      <c r="AA153" s="284">
        <v>0</v>
      </c>
      <c r="AB153" s="284">
        <v>0</v>
      </c>
      <c r="AC153" s="284">
        <v>0</v>
      </c>
      <c r="AD153" s="284">
        <v>0</v>
      </c>
      <c r="AE153" s="284">
        <v>0</v>
      </c>
      <c r="AF153" s="284">
        <v>0</v>
      </c>
      <c r="AG153" s="284">
        <v>0</v>
      </c>
      <c r="AH153" s="284">
        <v>0</v>
      </c>
      <c r="AI153" s="284">
        <v>0</v>
      </c>
      <c r="AJ153" s="284">
        <v>0</v>
      </c>
      <c r="AK153" s="284">
        <v>0</v>
      </c>
      <c r="AL153" s="284">
        <v>0</v>
      </c>
      <c r="AM153" s="284">
        <v>0</v>
      </c>
      <c r="AN153" s="284">
        <v>0</v>
      </c>
      <c r="AO153" s="284">
        <v>0</v>
      </c>
      <c r="AP153" s="284">
        <v>0</v>
      </c>
      <c r="AQ153" s="284">
        <v>0</v>
      </c>
      <c r="AR153" s="284">
        <v>0</v>
      </c>
      <c r="AS153" s="284">
        <v>0</v>
      </c>
      <c r="AT153" s="284">
        <v>0</v>
      </c>
      <c r="AU153" s="284">
        <v>0</v>
      </c>
      <c r="AV153" s="284">
        <v>0</v>
      </c>
      <c r="AW153" s="284">
        <v>0</v>
      </c>
      <c r="AX153" s="284">
        <v>0</v>
      </c>
      <c r="AY153" s="284">
        <v>0</v>
      </c>
    </row>
    <row r="154" spans="1:51" ht="12.75" hidden="1" customHeight="1" x14ac:dyDescent="0.25">
      <c r="A154" s="59">
        <v>330</v>
      </c>
      <c r="B154" s="221" t="s">
        <v>3634</v>
      </c>
      <c r="C154" s="59" t="s">
        <v>562</v>
      </c>
      <c r="D154" s="284">
        <v>9</v>
      </c>
      <c r="E154" s="284">
        <v>4</v>
      </c>
      <c r="F154" s="284">
        <v>4</v>
      </c>
      <c r="G154" s="284">
        <v>4</v>
      </c>
      <c r="H154" s="284">
        <v>4</v>
      </c>
      <c r="I154" s="284">
        <v>5</v>
      </c>
      <c r="J154" s="284">
        <v>4</v>
      </c>
      <c r="K154" s="284">
        <v>4</v>
      </c>
      <c r="L154" s="284">
        <v>7</v>
      </c>
      <c r="M154" s="284">
        <v>0</v>
      </c>
      <c r="N154" s="284">
        <v>2071</v>
      </c>
      <c r="O154" s="284">
        <v>1747</v>
      </c>
      <c r="P154" s="284">
        <v>1445</v>
      </c>
      <c r="Q154" s="284">
        <v>989</v>
      </c>
      <c r="R154" s="284">
        <v>752</v>
      </c>
      <c r="S154" s="284">
        <v>539</v>
      </c>
      <c r="T154" s="284">
        <v>173</v>
      </c>
      <c r="U154" s="284">
        <v>68</v>
      </c>
      <c r="V154" s="284">
        <v>31</v>
      </c>
      <c r="W154" s="284">
        <v>108</v>
      </c>
      <c r="X154" s="284">
        <v>237</v>
      </c>
      <c r="Y154" s="284">
        <v>0</v>
      </c>
      <c r="Z154" s="284">
        <v>997</v>
      </c>
      <c r="AA154" s="284">
        <v>374</v>
      </c>
      <c r="AB154" s="284">
        <v>0</v>
      </c>
      <c r="AC154" s="284">
        <v>875.077</v>
      </c>
      <c r="AD154" s="284">
        <v>0</v>
      </c>
      <c r="AE154" s="284">
        <v>249</v>
      </c>
      <c r="AF154" s="284">
        <v>50</v>
      </c>
      <c r="AG154" s="284">
        <v>4</v>
      </c>
      <c r="AH154" s="284">
        <v>4</v>
      </c>
      <c r="AI154" s="284">
        <v>5</v>
      </c>
      <c r="AJ154" s="284">
        <v>101</v>
      </c>
      <c r="AK154" s="284">
        <v>0</v>
      </c>
      <c r="AL154" s="284">
        <v>0</v>
      </c>
      <c r="AM154" s="284">
        <v>9</v>
      </c>
      <c r="AN154" s="284">
        <v>4</v>
      </c>
      <c r="AO154" s="284">
        <v>4</v>
      </c>
      <c r="AP154" s="284">
        <v>4</v>
      </c>
      <c r="AQ154" s="284">
        <v>5</v>
      </c>
      <c r="AR154" s="284">
        <v>4</v>
      </c>
      <c r="AS154" s="284">
        <v>5</v>
      </c>
      <c r="AT154" s="284">
        <v>4</v>
      </c>
      <c r="AU154" s="284">
        <v>5</v>
      </c>
      <c r="AV154" s="284">
        <v>4</v>
      </c>
      <c r="AW154" s="284">
        <v>107</v>
      </c>
      <c r="AX154" s="284">
        <v>1077</v>
      </c>
      <c r="AY154" s="284">
        <v>528</v>
      </c>
    </row>
    <row r="155" spans="1:51" ht="12.75" hidden="1" customHeight="1" x14ac:dyDescent="0.25">
      <c r="A155" s="59">
        <v>120</v>
      </c>
      <c r="B155" s="39" t="s">
        <v>3574</v>
      </c>
      <c r="C155" s="59" t="s">
        <v>286</v>
      </c>
      <c r="D155" s="284">
        <v>0</v>
      </c>
      <c r="E155" s="284">
        <v>0</v>
      </c>
      <c r="F155" s="284">
        <v>0</v>
      </c>
      <c r="G155" s="284">
        <v>0</v>
      </c>
      <c r="H155" s="284">
        <v>0</v>
      </c>
      <c r="I155" s="284">
        <v>0</v>
      </c>
      <c r="J155" s="284">
        <v>0</v>
      </c>
      <c r="K155" s="284">
        <v>0</v>
      </c>
      <c r="L155" s="284">
        <v>0</v>
      </c>
      <c r="M155" s="284">
        <v>0</v>
      </c>
      <c r="N155" s="284">
        <v>0</v>
      </c>
      <c r="O155" s="284">
        <v>0</v>
      </c>
      <c r="P155" s="284">
        <v>0</v>
      </c>
      <c r="Q155" s="284">
        <v>0</v>
      </c>
      <c r="R155" s="284">
        <v>0</v>
      </c>
      <c r="S155" s="284">
        <v>0</v>
      </c>
      <c r="T155" s="284">
        <v>0</v>
      </c>
      <c r="U155" s="284">
        <v>0</v>
      </c>
      <c r="V155" s="284">
        <v>0</v>
      </c>
      <c r="W155" s="284">
        <v>0</v>
      </c>
      <c r="X155" s="284">
        <v>0</v>
      </c>
      <c r="Y155" s="284">
        <v>0</v>
      </c>
      <c r="Z155" s="284">
        <v>0</v>
      </c>
      <c r="AA155" s="284">
        <v>0</v>
      </c>
      <c r="AB155" s="284">
        <v>0</v>
      </c>
      <c r="AC155" s="284">
        <v>0</v>
      </c>
      <c r="AD155" s="284">
        <v>0</v>
      </c>
      <c r="AE155" s="284">
        <v>0</v>
      </c>
      <c r="AF155" s="284">
        <v>0</v>
      </c>
      <c r="AG155" s="284">
        <v>0</v>
      </c>
      <c r="AH155" s="284">
        <v>0</v>
      </c>
      <c r="AI155" s="284">
        <v>0</v>
      </c>
      <c r="AJ155" s="284">
        <v>0</v>
      </c>
      <c r="AK155" s="284">
        <v>0</v>
      </c>
      <c r="AL155" s="284">
        <v>0</v>
      </c>
      <c r="AM155" s="284">
        <v>0</v>
      </c>
      <c r="AN155" s="284">
        <v>0</v>
      </c>
      <c r="AO155" s="284">
        <v>0</v>
      </c>
      <c r="AP155" s="284">
        <v>0</v>
      </c>
      <c r="AQ155" s="284">
        <v>0</v>
      </c>
      <c r="AR155" s="284">
        <v>0</v>
      </c>
      <c r="AS155" s="284">
        <v>0</v>
      </c>
      <c r="AT155" s="284">
        <v>0</v>
      </c>
      <c r="AU155" s="284">
        <v>0</v>
      </c>
      <c r="AV155" s="284">
        <v>0</v>
      </c>
      <c r="AW155" s="284">
        <v>0</v>
      </c>
      <c r="AX155" s="284">
        <v>0</v>
      </c>
      <c r="AY155" s="284">
        <v>0</v>
      </c>
    </row>
    <row r="156" spans="1:51" ht="12.75" hidden="1" customHeight="1" x14ac:dyDescent="0.25">
      <c r="A156" s="59">
        <v>120.1</v>
      </c>
      <c r="B156" s="39" t="s">
        <v>288</v>
      </c>
      <c r="C156" s="59" t="s">
        <v>289</v>
      </c>
      <c r="D156" s="284">
        <v>2537.7309376347675</v>
      </c>
      <c r="E156" s="284">
        <v>2920.6674632136787</v>
      </c>
      <c r="F156" s="284">
        <v>3194.2100993078052</v>
      </c>
      <c r="G156" s="284">
        <v>2739.0300136190922</v>
      </c>
      <c r="H156" s="284">
        <v>2845.621022574885</v>
      </c>
      <c r="I156" s="284">
        <v>2126.7666506651067</v>
      </c>
      <c r="J156" s="284">
        <v>1607.1889241363622</v>
      </c>
      <c r="K156" s="284">
        <v>1753.2600349852448</v>
      </c>
      <c r="L156" s="284">
        <v>1522.5622353342715</v>
      </c>
      <c r="M156" s="284">
        <v>1645.753316373133</v>
      </c>
      <c r="N156" s="284">
        <v>2026.5671929873135</v>
      </c>
      <c r="O156" s="284">
        <v>3074.1184573229962</v>
      </c>
      <c r="P156" s="284">
        <v>3014.3884039328736</v>
      </c>
      <c r="Q156" s="284">
        <v>2458.7416530289961</v>
      </c>
      <c r="R156" s="284">
        <v>2468.9820398158831</v>
      </c>
      <c r="S156" s="284">
        <v>2018.0936396702371</v>
      </c>
      <c r="T156" s="284">
        <v>2050.1584124320621</v>
      </c>
      <c r="U156" s="284">
        <v>1543.6531991419279</v>
      </c>
      <c r="V156" s="284">
        <v>1277.0583042847518</v>
      </c>
      <c r="W156" s="284">
        <v>1375.2907600942472</v>
      </c>
      <c r="X156" s="284">
        <v>1425.3961400074577</v>
      </c>
      <c r="Y156" s="284">
        <v>1667.7941891225896</v>
      </c>
      <c r="Z156" s="284">
        <v>2000.9984344971328</v>
      </c>
      <c r="AA156" s="284">
        <v>2354.7217886698204</v>
      </c>
      <c r="AB156" s="284">
        <v>2189.3149498482885</v>
      </c>
      <c r="AC156" s="284">
        <v>1979.2787349272769</v>
      </c>
      <c r="AD156" s="284">
        <v>2066.9482076755949</v>
      </c>
      <c r="AE156" s="284">
        <v>1679.663112810885</v>
      </c>
      <c r="AF156" s="284">
        <v>1458.1831703571868</v>
      </c>
      <c r="AG156" s="284">
        <v>1308.8504894533378</v>
      </c>
      <c r="AH156" s="284">
        <v>1204.6131541132875</v>
      </c>
      <c r="AI156" s="284">
        <v>1049.264046546989</v>
      </c>
      <c r="AJ156" s="284">
        <v>1003.8779727724161</v>
      </c>
      <c r="AK156" s="284">
        <v>1008.6308823322316</v>
      </c>
      <c r="AL156" s="284">
        <v>1306.7291233124147</v>
      </c>
      <c r="AM156" s="284">
        <v>1346.2008068824641</v>
      </c>
      <c r="AN156" s="284">
        <v>1309.562067480588</v>
      </c>
      <c r="AO156" s="284">
        <v>1057.4027874420121</v>
      </c>
      <c r="AP156" s="284">
        <v>2044.5917582297727</v>
      </c>
      <c r="AQ156" s="284">
        <v>1768.1700040528401</v>
      </c>
      <c r="AR156" s="284">
        <v>1900.6619446038148</v>
      </c>
      <c r="AS156" s="284">
        <v>1489.4413927351368</v>
      </c>
      <c r="AT156" s="284">
        <v>1445.15476054235</v>
      </c>
      <c r="AU156" s="284">
        <v>1539.6671659723395</v>
      </c>
      <c r="AV156" s="284">
        <v>1715.9963583448753</v>
      </c>
      <c r="AW156" s="284">
        <v>2230.5211646453658</v>
      </c>
      <c r="AX156" s="284">
        <v>2578.8612113173258</v>
      </c>
      <c r="AY156" s="284">
        <v>3540.9113601033396</v>
      </c>
    </row>
    <row r="157" spans="1:51" ht="12.75" hidden="1" customHeight="1" x14ac:dyDescent="0.25">
      <c r="A157" s="59">
        <v>92</v>
      </c>
      <c r="B157" s="39" t="s">
        <v>224</v>
      </c>
      <c r="C157" s="347" t="s">
        <v>225</v>
      </c>
      <c r="D157" s="284">
        <v>0</v>
      </c>
      <c r="E157" s="284">
        <v>0</v>
      </c>
      <c r="F157" s="284">
        <v>0</v>
      </c>
      <c r="G157" s="284">
        <v>0</v>
      </c>
      <c r="H157" s="284"/>
      <c r="I157" s="284"/>
      <c r="J157" s="284"/>
      <c r="K157" s="284"/>
      <c r="L157" s="284"/>
      <c r="M157" s="284"/>
      <c r="N157" s="284"/>
      <c r="O157" s="284"/>
      <c r="P157" s="284"/>
      <c r="Q157" s="284"/>
      <c r="R157" s="284"/>
      <c r="S157" s="284"/>
      <c r="T157" s="284">
        <v>0</v>
      </c>
      <c r="U157" s="284">
        <v>0</v>
      </c>
      <c r="V157" s="284">
        <v>0</v>
      </c>
      <c r="W157" s="284"/>
      <c r="X157" s="284"/>
      <c r="Y157" s="284"/>
      <c r="Z157" s="284"/>
      <c r="AA157" s="284"/>
      <c r="AB157" s="284">
        <v>0</v>
      </c>
      <c r="AC157" s="284">
        <v>0</v>
      </c>
      <c r="AD157" s="284">
        <v>0</v>
      </c>
      <c r="AE157" s="284">
        <v>0</v>
      </c>
      <c r="AF157" s="284">
        <v>0</v>
      </c>
      <c r="AG157" s="284">
        <v>0</v>
      </c>
      <c r="AH157" s="284">
        <v>0</v>
      </c>
      <c r="AI157" s="284">
        <v>0</v>
      </c>
      <c r="AJ157" s="284">
        <v>0</v>
      </c>
      <c r="AK157" s="284">
        <v>0</v>
      </c>
      <c r="AL157" s="284">
        <v>0</v>
      </c>
      <c r="AM157" s="284">
        <v>0</v>
      </c>
      <c r="AN157" s="284">
        <v>0</v>
      </c>
      <c r="AO157" s="284">
        <v>0</v>
      </c>
      <c r="AP157" s="284">
        <v>0</v>
      </c>
      <c r="AQ157" s="284">
        <v>0</v>
      </c>
      <c r="AR157" s="284">
        <v>0</v>
      </c>
      <c r="AS157" s="284">
        <v>0</v>
      </c>
      <c r="AT157" s="284">
        <v>0</v>
      </c>
      <c r="AU157" s="284">
        <v>0</v>
      </c>
      <c r="AV157" s="284">
        <v>0</v>
      </c>
      <c r="AW157" s="284">
        <v>0</v>
      </c>
      <c r="AX157" s="284">
        <v>0</v>
      </c>
      <c r="AY157" s="284">
        <v>0</v>
      </c>
    </row>
    <row r="158" spans="1:51" ht="12.75" hidden="1" customHeight="1" x14ac:dyDescent="0.25">
      <c r="A158" s="59">
        <v>193</v>
      </c>
      <c r="B158" s="221" t="s">
        <v>403</v>
      </c>
      <c r="C158" s="59" t="s">
        <v>404</v>
      </c>
      <c r="D158" s="284">
        <v>0</v>
      </c>
      <c r="E158" s="284">
        <v>0</v>
      </c>
      <c r="F158" s="284">
        <v>0</v>
      </c>
      <c r="G158" s="284">
        <v>0</v>
      </c>
      <c r="H158" s="284"/>
      <c r="I158" s="284"/>
      <c r="J158" s="284"/>
      <c r="K158" s="284"/>
      <c r="L158" s="284"/>
      <c r="M158" s="284"/>
      <c r="N158" s="284"/>
      <c r="O158" s="284"/>
      <c r="P158" s="284"/>
      <c r="Q158" s="284"/>
      <c r="R158" s="284"/>
      <c r="S158" s="284"/>
      <c r="T158" s="284">
        <v>0</v>
      </c>
      <c r="U158" s="284">
        <v>0</v>
      </c>
      <c r="V158" s="284">
        <v>0</v>
      </c>
      <c r="W158" s="284"/>
      <c r="X158" s="284"/>
      <c r="Y158" s="284"/>
      <c r="Z158" s="284"/>
      <c r="AA158" s="284"/>
      <c r="AB158" s="284">
        <v>0</v>
      </c>
      <c r="AC158" s="284">
        <v>0</v>
      </c>
      <c r="AD158" s="284">
        <v>0</v>
      </c>
      <c r="AE158" s="284">
        <v>0</v>
      </c>
      <c r="AF158" s="284">
        <v>0</v>
      </c>
      <c r="AG158" s="284">
        <v>0</v>
      </c>
      <c r="AH158" s="284">
        <v>0</v>
      </c>
      <c r="AI158" s="284">
        <v>0</v>
      </c>
      <c r="AJ158" s="284">
        <v>0</v>
      </c>
      <c r="AK158" s="284">
        <v>0</v>
      </c>
      <c r="AL158" s="284">
        <v>0</v>
      </c>
      <c r="AM158" s="284">
        <v>0</v>
      </c>
      <c r="AN158" s="284">
        <v>0</v>
      </c>
      <c r="AO158" s="284">
        <v>0</v>
      </c>
      <c r="AP158" s="284">
        <v>0</v>
      </c>
      <c r="AQ158" s="284">
        <v>0</v>
      </c>
      <c r="AR158" s="284">
        <v>0</v>
      </c>
      <c r="AS158" s="284">
        <v>0</v>
      </c>
      <c r="AT158" s="284">
        <v>0</v>
      </c>
      <c r="AU158" s="284">
        <v>0</v>
      </c>
      <c r="AV158" s="284">
        <v>0</v>
      </c>
      <c r="AW158" s="284">
        <v>0</v>
      </c>
      <c r="AX158" s="284">
        <v>0</v>
      </c>
      <c r="AY158" s="284">
        <v>0</v>
      </c>
    </row>
    <row r="159" spans="1:51" ht="12.75" hidden="1" customHeight="1" x14ac:dyDescent="0.25">
      <c r="A159" s="59">
        <v>296</v>
      </c>
      <c r="B159" s="221" t="s">
        <v>3623</v>
      </c>
      <c r="C159" s="59" t="s">
        <v>536</v>
      </c>
      <c r="D159" s="284">
        <v>0</v>
      </c>
      <c r="E159" s="284">
        <v>0</v>
      </c>
      <c r="F159" s="284">
        <v>0</v>
      </c>
      <c r="G159" s="284">
        <v>0</v>
      </c>
      <c r="H159" s="284"/>
      <c r="I159" s="284"/>
      <c r="J159" s="284"/>
      <c r="K159" s="284"/>
      <c r="L159" s="284"/>
      <c r="M159" s="284"/>
      <c r="N159" s="284"/>
      <c r="O159" s="284"/>
      <c r="P159" s="284"/>
      <c r="Q159" s="284"/>
      <c r="R159" s="284"/>
      <c r="S159" s="284"/>
      <c r="T159" s="284">
        <v>0</v>
      </c>
      <c r="U159" s="284">
        <v>0</v>
      </c>
      <c r="V159" s="284">
        <v>0</v>
      </c>
      <c r="W159" s="284"/>
      <c r="X159" s="284"/>
      <c r="Y159" s="284"/>
      <c r="Z159" s="284"/>
      <c r="AA159" s="284"/>
      <c r="AB159" s="284">
        <v>0</v>
      </c>
      <c r="AC159" s="284">
        <v>0</v>
      </c>
      <c r="AD159" s="284">
        <v>0</v>
      </c>
      <c r="AE159" s="284">
        <v>0</v>
      </c>
      <c r="AF159" s="284">
        <v>0</v>
      </c>
      <c r="AG159" s="284">
        <v>0</v>
      </c>
      <c r="AH159" s="284">
        <v>0</v>
      </c>
      <c r="AI159" s="284">
        <v>0</v>
      </c>
      <c r="AJ159" s="284">
        <v>0</v>
      </c>
      <c r="AK159" s="284">
        <v>0</v>
      </c>
      <c r="AL159" s="284">
        <v>0</v>
      </c>
      <c r="AM159" s="284">
        <v>0</v>
      </c>
      <c r="AN159" s="284">
        <v>0</v>
      </c>
      <c r="AO159" s="284">
        <v>0</v>
      </c>
      <c r="AP159" s="284">
        <v>0</v>
      </c>
      <c r="AQ159" s="284">
        <v>0</v>
      </c>
      <c r="AR159" s="284">
        <v>0</v>
      </c>
      <c r="AS159" s="284">
        <v>0</v>
      </c>
      <c r="AT159" s="284">
        <v>0</v>
      </c>
      <c r="AU159" s="284">
        <v>0</v>
      </c>
      <c r="AV159" s="284">
        <v>0</v>
      </c>
      <c r="AW159" s="284">
        <v>0</v>
      </c>
      <c r="AX159" s="284">
        <v>0</v>
      </c>
      <c r="AY159" s="284">
        <v>0</v>
      </c>
    </row>
    <row r="160" spans="1:51" ht="12.75" hidden="1" customHeight="1" x14ac:dyDescent="0.25">
      <c r="A160" s="59">
        <v>80</v>
      </c>
      <c r="B160" s="39" t="s">
        <v>3556</v>
      </c>
      <c r="C160" s="59" t="s">
        <v>192</v>
      </c>
      <c r="D160" s="284">
        <v>1207</v>
      </c>
      <c r="E160" s="284">
        <v>45</v>
      </c>
      <c r="F160" s="284">
        <v>34</v>
      </c>
      <c r="G160" s="284">
        <v>14</v>
      </c>
      <c r="H160" s="284">
        <v>34</v>
      </c>
      <c r="I160" s="284">
        <v>48</v>
      </c>
      <c r="J160" s="284">
        <v>48</v>
      </c>
      <c r="K160" s="284">
        <v>162</v>
      </c>
      <c r="L160" s="284">
        <v>162</v>
      </c>
      <c r="M160" s="284">
        <v>0</v>
      </c>
      <c r="N160" s="284">
        <v>760</v>
      </c>
      <c r="O160" s="284">
        <v>402</v>
      </c>
      <c r="P160" s="284">
        <v>305</v>
      </c>
      <c r="Q160" s="284">
        <v>263</v>
      </c>
      <c r="R160" s="284">
        <v>181</v>
      </c>
      <c r="S160" s="284">
        <v>130</v>
      </c>
      <c r="T160" s="284">
        <v>96</v>
      </c>
      <c r="U160" s="284">
        <v>31</v>
      </c>
      <c r="V160" s="284">
        <v>9</v>
      </c>
      <c r="W160" s="284">
        <v>11</v>
      </c>
      <c r="X160" s="284">
        <v>380</v>
      </c>
      <c r="Y160" s="284">
        <v>0</v>
      </c>
      <c r="Z160" s="284">
        <v>1155</v>
      </c>
      <c r="AA160" s="284">
        <v>520</v>
      </c>
      <c r="AB160" s="284">
        <v>0</v>
      </c>
      <c r="AC160" s="284">
        <v>1047</v>
      </c>
      <c r="AD160" s="284">
        <v>0</v>
      </c>
      <c r="AE160" s="284">
        <v>860</v>
      </c>
      <c r="AF160" s="284">
        <v>448</v>
      </c>
      <c r="AG160" s="284">
        <v>400</v>
      </c>
      <c r="AH160" s="284">
        <v>361</v>
      </c>
      <c r="AI160" s="284">
        <v>427</v>
      </c>
      <c r="AJ160" s="284">
        <v>572</v>
      </c>
      <c r="AK160" s="284">
        <v>0</v>
      </c>
      <c r="AL160" s="284">
        <v>0</v>
      </c>
      <c r="AM160" s="284">
        <v>1271</v>
      </c>
      <c r="AN160" s="284">
        <v>562</v>
      </c>
      <c r="AO160" s="284">
        <v>506</v>
      </c>
      <c r="AP160" s="284">
        <v>456</v>
      </c>
      <c r="AQ160" s="284">
        <v>466</v>
      </c>
      <c r="AR160" s="284">
        <v>402</v>
      </c>
      <c r="AS160" s="284">
        <v>347</v>
      </c>
      <c r="AT160" s="284">
        <v>409</v>
      </c>
      <c r="AU160" s="284">
        <v>455</v>
      </c>
      <c r="AV160" s="284">
        <v>502</v>
      </c>
      <c r="AW160" s="284">
        <v>572</v>
      </c>
      <c r="AX160" s="284">
        <v>623</v>
      </c>
      <c r="AY160" s="284">
        <v>522</v>
      </c>
    </row>
    <row r="161" spans="1:51" ht="17.25" hidden="1" customHeight="1" x14ac:dyDescent="0.25">
      <c r="A161" s="59">
        <v>332</v>
      </c>
      <c r="B161" s="221" t="s">
        <v>3636</v>
      </c>
      <c r="C161" s="59" t="s">
        <v>570</v>
      </c>
      <c r="D161" s="284">
        <v>5664.6683368323438</v>
      </c>
      <c r="E161" s="284">
        <v>6455.7380233992562</v>
      </c>
      <c r="F161" s="284">
        <v>7131.5895145567638</v>
      </c>
      <c r="G161" s="284">
        <v>5704.1057407337485</v>
      </c>
      <c r="H161" s="284">
        <v>6269.6251338617249</v>
      </c>
      <c r="I161" s="284">
        <v>3993.4736420777895</v>
      </c>
      <c r="J161" s="284">
        <v>2989.9227432471421</v>
      </c>
      <c r="K161" s="284">
        <v>2778.3605255030466</v>
      </c>
      <c r="L161" s="284">
        <v>3685.7540701183398</v>
      </c>
      <c r="M161" s="284">
        <v>4845.2036354396523</v>
      </c>
      <c r="N161" s="284">
        <v>6862.3227485771886</v>
      </c>
      <c r="O161" s="284">
        <v>8332.0855006994225</v>
      </c>
      <c r="P161" s="284">
        <v>9905.399844242469</v>
      </c>
      <c r="Q161" s="284">
        <v>9199.0691699519903</v>
      </c>
      <c r="R161" s="284">
        <v>7877.4808869552362</v>
      </c>
      <c r="S161" s="284">
        <v>6495.047809646846</v>
      </c>
      <c r="T161" s="284">
        <v>6447.8816798977105</v>
      </c>
      <c r="U161" s="284">
        <v>4793.9452693075691</v>
      </c>
      <c r="V161" s="284">
        <v>3579.2591071983261</v>
      </c>
      <c r="W161" s="284">
        <v>3001.3731753399165</v>
      </c>
      <c r="X161" s="284">
        <v>2747.6250109642601</v>
      </c>
      <c r="Y161" s="284">
        <v>5884.1617830922169</v>
      </c>
      <c r="Z161" s="284">
        <v>7696.1368326114025</v>
      </c>
      <c r="AA161" s="284">
        <v>9789.0348801993205</v>
      </c>
      <c r="AB161" s="284">
        <v>8562.935199359883</v>
      </c>
      <c r="AC161" s="284">
        <v>7314.8989184253296</v>
      </c>
      <c r="AD161" s="284">
        <v>7586.2156871095858</v>
      </c>
      <c r="AE161" s="284">
        <v>5023.977765605091</v>
      </c>
      <c r="AF161" s="284">
        <v>2403.9261418307042</v>
      </c>
      <c r="AG161" s="284">
        <v>2155.626959566539</v>
      </c>
      <c r="AH161" s="284">
        <v>2071.4986291541209</v>
      </c>
      <c r="AI161" s="284">
        <v>2086.5043557228105</v>
      </c>
      <c r="AJ161" s="284">
        <v>2128.7925830774593</v>
      </c>
      <c r="AK161" s="284">
        <v>3138.9775795525834</v>
      </c>
      <c r="AL161" s="284">
        <v>5562.0918230739571</v>
      </c>
      <c r="AM161" s="284">
        <v>6857.0860741683482</v>
      </c>
      <c r="AN161" s="284">
        <v>7429.4854028297486</v>
      </c>
      <c r="AO161" s="284">
        <v>6975.5264140362633</v>
      </c>
      <c r="AP161" s="284">
        <v>7589.9041895772634</v>
      </c>
      <c r="AQ161" s="284">
        <v>5870.5459642938167</v>
      </c>
      <c r="AR161" s="284">
        <v>5322.2878315360367</v>
      </c>
      <c r="AS161" s="284">
        <v>3998.1140981395852</v>
      </c>
      <c r="AT161" s="284">
        <v>3592.415323780639</v>
      </c>
      <c r="AU161" s="284">
        <v>3711.3137455023088</v>
      </c>
      <c r="AV161" s="284">
        <v>4169.0893951715489</v>
      </c>
      <c r="AW161" s="284">
        <v>6683.5716860640669</v>
      </c>
      <c r="AX161" s="284">
        <v>7665.5703459895612</v>
      </c>
      <c r="AY161" s="284">
        <v>9375.7718962612871</v>
      </c>
    </row>
    <row r="162" spans="1:51" ht="14.25" hidden="1" customHeight="1" x14ac:dyDescent="0.25">
      <c r="A162" s="59">
        <v>25</v>
      </c>
      <c r="B162" s="39" t="s">
        <v>3539</v>
      </c>
      <c r="C162" s="347" t="s">
        <v>3540</v>
      </c>
      <c r="D162" s="284">
        <v>1006.1400089921626</v>
      </c>
      <c r="E162" s="284">
        <v>75.925622891338136</v>
      </c>
      <c r="F162" s="284">
        <v>30.670009315732557</v>
      </c>
      <c r="G162" s="284">
        <v>32.895990895837564</v>
      </c>
      <c r="H162" s="284">
        <v>0</v>
      </c>
      <c r="I162" s="284">
        <v>0</v>
      </c>
      <c r="J162" s="284">
        <v>28</v>
      </c>
      <c r="K162" s="284">
        <v>95</v>
      </c>
      <c r="L162" s="284">
        <v>110</v>
      </c>
      <c r="M162" s="284">
        <v>0</v>
      </c>
      <c r="N162" s="284">
        <v>552</v>
      </c>
      <c r="O162" s="284">
        <v>231</v>
      </c>
      <c r="P162" s="284">
        <v>155</v>
      </c>
      <c r="Q162" s="284">
        <v>85</v>
      </c>
      <c r="R162" s="284">
        <v>45</v>
      </c>
      <c r="S162" s="284">
        <v>0</v>
      </c>
      <c r="T162" s="284">
        <v>0</v>
      </c>
      <c r="U162" s="284">
        <v>0</v>
      </c>
      <c r="V162" s="284">
        <v>0</v>
      </c>
      <c r="W162" s="284">
        <v>0</v>
      </c>
      <c r="X162" s="284">
        <v>0</v>
      </c>
      <c r="Y162" s="284">
        <v>0</v>
      </c>
      <c r="Z162" s="284">
        <v>410</v>
      </c>
      <c r="AA162" s="284">
        <v>239</v>
      </c>
      <c r="AB162" s="284">
        <v>0</v>
      </c>
      <c r="AC162" s="284">
        <v>860</v>
      </c>
      <c r="AD162" s="284">
        <v>0</v>
      </c>
      <c r="AE162" s="284">
        <v>171</v>
      </c>
      <c r="AF162" s="284">
        <v>0</v>
      </c>
      <c r="AG162" s="284">
        <v>0</v>
      </c>
      <c r="AH162" s="284">
        <v>0</v>
      </c>
      <c r="AI162" s="284">
        <v>0</v>
      </c>
      <c r="AJ162" s="284">
        <v>0</v>
      </c>
      <c r="AK162" s="284">
        <v>0</v>
      </c>
      <c r="AL162" s="284">
        <v>0</v>
      </c>
      <c r="AM162" s="284">
        <v>0</v>
      </c>
      <c r="AN162" s="284">
        <v>0</v>
      </c>
      <c r="AO162" s="284">
        <v>0</v>
      </c>
      <c r="AP162" s="284">
        <v>0</v>
      </c>
      <c r="AQ162" s="284">
        <v>0</v>
      </c>
      <c r="AR162" s="284">
        <v>0</v>
      </c>
      <c r="AS162" s="284">
        <v>0</v>
      </c>
      <c r="AT162" s="284">
        <v>0</v>
      </c>
      <c r="AU162" s="284">
        <v>0</v>
      </c>
      <c r="AV162" s="284">
        <v>0</v>
      </c>
      <c r="AW162" s="284">
        <v>0</v>
      </c>
      <c r="AX162" s="284">
        <v>0</v>
      </c>
      <c r="AY162" s="284">
        <v>0</v>
      </c>
    </row>
    <row r="163" spans="1:51" ht="14.25" hidden="1" customHeight="1" x14ac:dyDescent="0.25">
      <c r="A163" s="59">
        <v>267</v>
      </c>
      <c r="B163" s="287" t="s">
        <v>3614</v>
      </c>
      <c r="C163" s="59" t="s">
        <v>503</v>
      </c>
      <c r="D163" s="284">
        <v>4572</v>
      </c>
      <c r="E163" s="284">
        <v>1460</v>
      </c>
      <c r="F163" s="284">
        <v>1252</v>
      </c>
      <c r="G163" s="284">
        <v>650</v>
      </c>
      <c r="H163" s="284">
        <v>31</v>
      </c>
      <c r="I163" s="284">
        <v>20</v>
      </c>
      <c r="J163" s="284">
        <v>37</v>
      </c>
      <c r="K163" s="284">
        <v>50</v>
      </c>
      <c r="L163" s="284">
        <v>46</v>
      </c>
      <c r="M163" s="284">
        <v>0</v>
      </c>
      <c r="N163" s="284">
        <v>1332</v>
      </c>
      <c r="O163" s="284">
        <v>342</v>
      </c>
      <c r="P163" s="284">
        <v>238</v>
      </c>
      <c r="Q163" s="284">
        <v>113</v>
      </c>
      <c r="R163" s="284">
        <v>88</v>
      </c>
      <c r="S163" s="284">
        <v>88</v>
      </c>
      <c r="T163" s="284">
        <v>56</v>
      </c>
      <c r="U163" s="284">
        <v>34</v>
      </c>
      <c r="V163" s="284">
        <v>46</v>
      </c>
      <c r="W163" s="284">
        <v>55</v>
      </c>
      <c r="X163" s="284">
        <v>192</v>
      </c>
      <c r="Y163" s="284">
        <v>0</v>
      </c>
      <c r="Z163" s="284">
        <v>1843</v>
      </c>
      <c r="AA163" s="284">
        <v>227</v>
      </c>
      <c r="AB163" s="284">
        <v>0</v>
      </c>
      <c r="AC163" s="284">
        <v>133</v>
      </c>
      <c r="AD163" s="284">
        <v>0</v>
      </c>
      <c r="AE163" s="284">
        <v>102</v>
      </c>
      <c r="AF163" s="284">
        <v>53</v>
      </c>
      <c r="AG163" s="284">
        <v>47</v>
      </c>
      <c r="AH163" s="284">
        <v>47</v>
      </c>
      <c r="AI163" s="284">
        <v>49</v>
      </c>
      <c r="AJ163" s="284">
        <v>227</v>
      </c>
      <c r="AK163" s="284">
        <v>0</v>
      </c>
      <c r="AL163" s="284">
        <v>0</v>
      </c>
      <c r="AM163" s="284">
        <v>1903</v>
      </c>
      <c r="AN163" s="284">
        <v>750</v>
      </c>
      <c r="AO163" s="284">
        <v>240</v>
      </c>
      <c r="AP163" s="284">
        <v>126</v>
      </c>
      <c r="AQ163" s="284">
        <v>75</v>
      </c>
      <c r="AR163" s="284">
        <v>63</v>
      </c>
      <c r="AS163" s="284">
        <v>46</v>
      </c>
      <c r="AT163" s="284">
        <v>56</v>
      </c>
      <c r="AU163" s="284">
        <v>118</v>
      </c>
      <c r="AV163" s="284">
        <v>141</v>
      </c>
      <c r="AW163" s="284">
        <v>58</v>
      </c>
      <c r="AX163" s="284">
        <v>470</v>
      </c>
      <c r="AY163" s="284">
        <v>621</v>
      </c>
    </row>
    <row r="164" spans="1:51" ht="14.25" hidden="1" customHeight="1" x14ac:dyDescent="0.25">
      <c r="A164" s="59">
        <v>199</v>
      </c>
      <c r="B164" s="39" t="s">
        <v>3592</v>
      </c>
      <c r="C164" s="59" t="s">
        <v>412</v>
      </c>
      <c r="D164" s="284">
        <v>0</v>
      </c>
      <c r="E164" s="284">
        <v>258</v>
      </c>
      <c r="F164" s="284">
        <v>1</v>
      </c>
      <c r="G164" s="284">
        <v>0</v>
      </c>
      <c r="H164" s="284">
        <v>0</v>
      </c>
      <c r="I164" s="284">
        <v>0</v>
      </c>
      <c r="J164" s="284">
        <v>0</v>
      </c>
      <c r="K164" s="284">
        <v>0</v>
      </c>
      <c r="L164" s="284">
        <v>0</v>
      </c>
      <c r="M164" s="284">
        <v>30</v>
      </c>
      <c r="N164" s="284">
        <v>368</v>
      </c>
      <c r="O164" s="284">
        <v>403</v>
      </c>
      <c r="P164" s="284">
        <v>224</v>
      </c>
      <c r="Q164" s="284">
        <v>1</v>
      </c>
      <c r="R164" s="284">
        <v>0</v>
      </c>
      <c r="S164" s="284">
        <v>0</v>
      </c>
      <c r="T164" s="284">
        <v>0</v>
      </c>
      <c r="U164" s="284">
        <v>0</v>
      </c>
      <c r="V164" s="284">
        <v>0</v>
      </c>
      <c r="W164" s="284">
        <v>2</v>
      </c>
      <c r="X164" s="284">
        <v>2</v>
      </c>
      <c r="Y164" s="284">
        <v>0</v>
      </c>
      <c r="Z164" s="284">
        <v>493</v>
      </c>
      <c r="AA164" s="284">
        <v>367</v>
      </c>
      <c r="AB164" s="284">
        <v>0</v>
      </c>
      <c r="AC164" s="284">
        <v>701</v>
      </c>
      <c r="AD164" s="284">
        <v>5</v>
      </c>
      <c r="AE164" s="284">
        <v>0</v>
      </c>
      <c r="AF164" s="284">
        <v>0</v>
      </c>
      <c r="AG164" s="284">
        <v>0</v>
      </c>
      <c r="AH164" s="284">
        <v>0</v>
      </c>
      <c r="AI164" s="284">
        <v>0</v>
      </c>
      <c r="AJ164" s="284">
        <v>88</v>
      </c>
      <c r="AK164" s="284">
        <v>0</v>
      </c>
      <c r="AL164" s="284">
        <v>0</v>
      </c>
      <c r="AM164" s="284">
        <v>372</v>
      </c>
      <c r="AN164" s="284">
        <v>253</v>
      </c>
      <c r="AO164" s="284">
        <v>82</v>
      </c>
      <c r="AP164" s="284">
        <v>5</v>
      </c>
      <c r="AQ164" s="284">
        <v>2</v>
      </c>
      <c r="AR164" s="284">
        <v>0</v>
      </c>
      <c r="AS164" s="284">
        <v>0</v>
      </c>
      <c r="AT164" s="284">
        <v>0</v>
      </c>
      <c r="AU164" s="284">
        <v>6</v>
      </c>
      <c r="AV164" s="284">
        <v>0</v>
      </c>
      <c r="AW164" s="284">
        <v>105</v>
      </c>
      <c r="AX164" s="284">
        <v>0</v>
      </c>
      <c r="AY164" s="284">
        <v>0</v>
      </c>
    </row>
    <row r="165" spans="1:51" ht="14.25" hidden="1" customHeight="1" x14ac:dyDescent="0.25">
      <c r="A165" s="59">
        <v>75</v>
      </c>
      <c r="B165" s="39" t="s">
        <v>3553</v>
      </c>
      <c r="C165" s="59" t="s">
        <v>180</v>
      </c>
      <c r="D165" s="284">
        <v>0</v>
      </c>
      <c r="E165" s="284">
        <v>0</v>
      </c>
      <c r="F165" s="284">
        <v>0</v>
      </c>
      <c r="G165" s="284">
        <v>0</v>
      </c>
      <c r="H165" s="284">
        <v>0</v>
      </c>
      <c r="I165" s="284">
        <v>0</v>
      </c>
      <c r="J165" s="284">
        <v>0</v>
      </c>
      <c r="K165" s="284">
        <v>0</v>
      </c>
      <c r="L165" s="284">
        <v>0</v>
      </c>
      <c r="M165" s="284">
        <v>0</v>
      </c>
      <c r="N165" s="284">
        <v>0</v>
      </c>
      <c r="O165" s="284">
        <v>0</v>
      </c>
      <c r="P165" s="284">
        <v>0</v>
      </c>
      <c r="Q165" s="284">
        <v>0</v>
      </c>
      <c r="R165" s="284">
        <v>0</v>
      </c>
      <c r="S165" s="284">
        <v>0</v>
      </c>
      <c r="T165" s="284">
        <v>0</v>
      </c>
      <c r="U165" s="284">
        <v>0</v>
      </c>
      <c r="V165" s="284">
        <v>0</v>
      </c>
      <c r="W165" s="284">
        <v>0</v>
      </c>
      <c r="X165" s="284">
        <v>0</v>
      </c>
      <c r="Y165" s="284">
        <v>0</v>
      </c>
      <c r="Z165" s="284">
        <v>0</v>
      </c>
      <c r="AA165" s="284">
        <v>0</v>
      </c>
      <c r="AB165" s="284">
        <v>0</v>
      </c>
      <c r="AC165" s="284">
        <v>0</v>
      </c>
      <c r="AD165" s="284">
        <v>0</v>
      </c>
      <c r="AE165" s="284">
        <v>0</v>
      </c>
      <c r="AF165" s="284">
        <v>0</v>
      </c>
      <c r="AG165" s="284">
        <v>0</v>
      </c>
      <c r="AH165" s="284">
        <v>0</v>
      </c>
      <c r="AI165" s="284">
        <v>0</v>
      </c>
      <c r="AJ165" s="284">
        <v>0</v>
      </c>
      <c r="AK165" s="284">
        <v>0</v>
      </c>
      <c r="AL165" s="284">
        <v>0</v>
      </c>
      <c r="AM165" s="284">
        <v>0</v>
      </c>
      <c r="AN165" s="284">
        <v>0</v>
      </c>
      <c r="AO165" s="284">
        <v>0</v>
      </c>
      <c r="AP165" s="284">
        <v>0</v>
      </c>
      <c r="AQ165" s="284">
        <v>0</v>
      </c>
      <c r="AR165" s="284">
        <v>0</v>
      </c>
      <c r="AS165" s="284">
        <v>0</v>
      </c>
      <c r="AT165" s="284">
        <v>0</v>
      </c>
      <c r="AU165" s="284">
        <v>0</v>
      </c>
      <c r="AV165" s="284">
        <v>0</v>
      </c>
      <c r="AW165" s="284">
        <v>0</v>
      </c>
      <c r="AX165" s="284">
        <v>0</v>
      </c>
      <c r="AY165" s="284">
        <v>0</v>
      </c>
    </row>
    <row r="166" spans="1:51" ht="14.25" hidden="1" customHeight="1" x14ac:dyDescent="0.25">
      <c r="A166" s="59">
        <v>100.1</v>
      </c>
      <c r="B166" s="221" t="s">
        <v>244</v>
      </c>
      <c r="C166" s="59" t="s">
        <v>3565</v>
      </c>
      <c r="D166" s="284">
        <v>823.16769810495896</v>
      </c>
      <c r="E166" s="284">
        <v>947.38140949821536</v>
      </c>
      <c r="F166" s="284">
        <v>1036.1108562444613</v>
      </c>
      <c r="G166" s="284">
        <v>878.12772906768441</v>
      </c>
      <c r="H166" s="284">
        <v>923.03847980639273</v>
      </c>
      <c r="I166" s="284">
        <v>689.86257852303061</v>
      </c>
      <c r="J166" s="284">
        <v>521.32635004015549</v>
      </c>
      <c r="K166" s="284">
        <v>568.70766154718888</v>
      </c>
      <c r="L166" s="284">
        <v>493.87586047628207</v>
      </c>
      <c r="M166" s="284">
        <v>533.83554142667288</v>
      </c>
      <c r="N166" s="284">
        <v>657.36072590154333</v>
      </c>
      <c r="O166" s="284">
        <v>996.83217357793387</v>
      </c>
      <c r="P166" s="284">
        <v>977.78181558222468</v>
      </c>
      <c r="Q166" s="284">
        <v>797.22145049237156</v>
      </c>
      <c r="R166" s="284">
        <v>800.86751209013687</v>
      </c>
      <c r="S166" s="284">
        <v>654.61214634358248</v>
      </c>
      <c r="T166" s="284">
        <v>664.36430305230999</v>
      </c>
      <c r="U166" s="284">
        <v>500.71716893451639</v>
      </c>
      <c r="V166" s="284">
        <v>414.24137172858775</v>
      </c>
      <c r="W166" s="284">
        <v>446.10518492040887</v>
      </c>
      <c r="X166" s="284">
        <v>462.35794427884338</v>
      </c>
      <c r="Y166" s="284">
        <v>540.9849733133741</v>
      </c>
      <c r="Z166" s="284">
        <v>649.06694827617366</v>
      </c>
      <c r="AA166" s="284">
        <v>763.80473820581767</v>
      </c>
      <c r="AB166" s="284">
        <v>710.15146679539737</v>
      </c>
      <c r="AC166" s="284">
        <v>642.02169582907493</v>
      </c>
      <c r="AD166" s="284">
        <v>670.45917791437807</v>
      </c>
      <c r="AE166" s="284">
        <v>544.83491439522254</v>
      </c>
      <c r="AF166" s="284">
        <v>472.66875233754411</v>
      </c>
      <c r="AG166" s="284">
        <v>424.55385186383137</v>
      </c>
      <c r="AH166" s="284">
        <v>390.74222663754307</v>
      </c>
      <c r="AI166" s="284">
        <v>340.0270254838432</v>
      </c>
      <c r="AJ166" s="284">
        <v>325.62944627830865</v>
      </c>
      <c r="AK166" s="284">
        <v>327.1711548824922</v>
      </c>
      <c r="AL166" s="284">
        <v>423.86574105698242</v>
      </c>
      <c r="AM166" s="284">
        <v>436.66923193256281</v>
      </c>
      <c r="AN166" s="284">
        <v>424.78466752597541</v>
      </c>
      <c r="AO166" s="284">
        <v>342.99137296236091</v>
      </c>
      <c r="AP166" s="284">
        <v>663.20738192797239</v>
      </c>
      <c r="AQ166" s="284">
        <v>573.54403120883148</v>
      </c>
      <c r="AR166" s="284">
        <v>616.52064630359575</v>
      </c>
      <c r="AS166" s="284">
        <v>482.80803013887476</v>
      </c>
      <c r="AT166" s="284">
        <v>468.76707849485911</v>
      </c>
      <c r="AU166" s="284">
        <v>499.42421320776072</v>
      </c>
      <c r="AV166" s="284">
        <v>556.62038528472999</v>
      </c>
      <c r="AW166" s="284">
        <v>723.51759024020305</v>
      </c>
      <c r="AX166" s="284">
        <v>836.50918841332623</v>
      </c>
      <c r="AY166" s="284">
        <v>1148.5708789153994</v>
      </c>
    </row>
    <row r="167" spans="1:51" ht="14.25" hidden="1" customHeight="1" x14ac:dyDescent="0.25">
      <c r="A167" s="59">
        <v>623</v>
      </c>
      <c r="B167" s="221" t="s">
        <v>606</v>
      </c>
      <c r="C167" s="59" t="s">
        <v>607</v>
      </c>
      <c r="D167" s="284">
        <v>1349.8657639304733</v>
      </c>
      <c r="E167" s="284">
        <v>0</v>
      </c>
      <c r="F167" s="284">
        <v>470.62741325499599</v>
      </c>
      <c r="G167" s="284">
        <v>0</v>
      </c>
      <c r="H167" s="284">
        <v>0</v>
      </c>
      <c r="I167" s="284">
        <v>0</v>
      </c>
      <c r="J167" s="284">
        <v>0</v>
      </c>
      <c r="K167" s="284">
        <v>0</v>
      </c>
      <c r="L167" s="284">
        <v>0</v>
      </c>
      <c r="M167" s="284">
        <v>0</v>
      </c>
      <c r="N167" s="284">
        <v>0</v>
      </c>
      <c r="O167" s="284">
        <v>0</v>
      </c>
      <c r="P167" s="284">
        <v>0</v>
      </c>
      <c r="Q167" s="284">
        <v>0</v>
      </c>
      <c r="R167" s="284">
        <v>0</v>
      </c>
      <c r="S167" s="284">
        <v>0</v>
      </c>
      <c r="T167" s="284">
        <v>0</v>
      </c>
      <c r="U167" s="284">
        <v>67</v>
      </c>
      <c r="V167" s="284">
        <v>0</v>
      </c>
      <c r="W167" s="284">
        <v>0</v>
      </c>
      <c r="X167" s="284">
        <v>-2</v>
      </c>
      <c r="Y167" s="284">
        <v>0</v>
      </c>
      <c r="Z167" s="284">
        <v>0</v>
      </c>
      <c r="AA167" s="284">
        <v>0</v>
      </c>
      <c r="AB167" s="284">
        <v>0</v>
      </c>
      <c r="AC167" s="284">
        <v>1674</v>
      </c>
      <c r="AD167" s="284">
        <v>0</v>
      </c>
      <c r="AE167" s="284">
        <v>51</v>
      </c>
      <c r="AF167" s="284">
        <v>27</v>
      </c>
      <c r="AG167" s="284">
        <v>23</v>
      </c>
      <c r="AH167" s="284">
        <v>26</v>
      </c>
      <c r="AI167" s="284">
        <v>27</v>
      </c>
      <c r="AJ167" s="284">
        <v>32</v>
      </c>
      <c r="AK167" s="284">
        <v>0</v>
      </c>
      <c r="AL167" s="284">
        <v>44</v>
      </c>
      <c r="AM167" s="284">
        <v>68</v>
      </c>
      <c r="AN167" s="284">
        <v>6</v>
      </c>
      <c r="AO167" s="284">
        <v>6</v>
      </c>
      <c r="AP167" s="284">
        <v>7</v>
      </c>
      <c r="AQ167" s="284">
        <v>7</v>
      </c>
      <c r="AR167" s="284">
        <v>7</v>
      </c>
      <c r="AS167" s="284">
        <v>6</v>
      </c>
      <c r="AT167" s="284">
        <v>8</v>
      </c>
      <c r="AU167" s="284">
        <v>6</v>
      </c>
      <c r="AV167" s="284">
        <v>8</v>
      </c>
      <c r="AW167" s="284">
        <v>6</v>
      </c>
      <c r="AX167" s="284">
        <v>21</v>
      </c>
      <c r="AY167" s="284">
        <v>8</v>
      </c>
    </row>
    <row r="168" spans="1:51" ht="14.25" customHeight="1" x14ac:dyDescent="0.25">
      <c r="A168" s="59">
        <v>341</v>
      </c>
      <c r="B168" s="221" t="s">
        <v>610</v>
      </c>
      <c r="C168" s="285" t="s">
        <v>611</v>
      </c>
      <c r="D168" s="284">
        <v>49482</v>
      </c>
      <c r="E168" s="284">
        <v>17288</v>
      </c>
      <c r="F168" s="284">
        <v>15683</v>
      </c>
      <c r="G168" s="284">
        <v>17745</v>
      </c>
      <c r="H168" s="284">
        <v>9994</v>
      </c>
      <c r="I168" s="284">
        <v>9898</v>
      </c>
      <c r="J168" s="284">
        <v>9898</v>
      </c>
      <c r="K168" s="284">
        <v>14774</v>
      </c>
      <c r="L168" s="284">
        <v>14774</v>
      </c>
      <c r="M168" s="284">
        <v>0</v>
      </c>
      <c r="N168" s="284">
        <v>51803</v>
      </c>
      <c r="O168" s="284">
        <v>29069</v>
      </c>
      <c r="P168" s="284">
        <v>23283</v>
      </c>
      <c r="Q168" s="284">
        <v>15745</v>
      </c>
      <c r="R168" s="284">
        <v>13592</v>
      </c>
      <c r="S168" s="284">
        <v>12757</v>
      </c>
      <c r="T168" s="284">
        <v>10576</v>
      </c>
      <c r="U168" s="284">
        <v>8427</v>
      </c>
      <c r="V168" s="284">
        <v>7299</v>
      </c>
      <c r="W168" s="284">
        <v>9066</v>
      </c>
      <c r="X168" s="284">
        <v>12090</v>
      </c>
      <c r="Y168" s="284">
        <v>0</v>
      </c>
      <c r="Z168" s="284">
        <v>50657</v>
      </c>
      <c r="AA168" s="284">
        <v>19694</v>
      </c>
      <c r="AB168" s="284">
        <v>0</v>
      </c>
      <c r="AC168" s="284">
        <v>38241</v>
      </c>
      <c r="AD168" s="284">
        <v>0</v>
      </c>
      <c r="AE168" s="284">
        <v>21040</v>
      </c>
      <c r="AF168" s="284">
        <v>11194</v>
      </c>
      <c r="AG168" s="284">
        <v>9477</v>
      </c>
      <c r="AH168" s="284">
        <v>8754</v>
      </c>
      <c r="AI168" s="284">
        <v>9636</v>
      </c>
      <c r="AJ168" s="284">
        <v>14209</v>
      </c>
      <c r="AK168" s="284">
        <v>0</v>
      </c>
      <c r="AL168" s="284">
        <v>0</v>
      </c>
      <c r="AM168" s="284">
        <v>43272</v>
      </c>
      <c r="AN168" s="284">
        <v>19392</v>
      </c>
      <c r="AO168" s="284">
        <v>13356</v>
      </c>
      <c r="AP168" s="284">
        <v>12717</v>
      </c>
      <c r="AQ168" s="284">
        <v>11607</v>
      </c>
      <c r="AR168" s="284">
        <v>8763</v>
      </c>
      <c r="AS168" s="284">
        <v>8270</v>
      </c>
      <c r="AT168" s="284">
        <v>9437</v>
      </c>
      <c r="AU168" s="284">
        <v>10912</v>
      </c>
      <c r="AV168" s="284">
        <v>14070</v>
      </c>
      <c r="AW168" s="284">
        <v>21785</v>
      </c>
      <c r="AX168" s="284">
        <v>26399</v>
      </c>
      <c r="AY168" s="284">
        <v>18013</v>
      </c>
    </row>
    <row r="169" spans="1:51" ht="14.25" hidden="1" customHeight="1" x14ac:dyDescent="0.25">
      <c r="A169" s="59">
        <v>24</v>
      </c>
      <c r="B169" s="39" t="s">
        <v>74</v>
      </c>
      <c r="C169" s="59" t="s">
        <v>75</v>
      </c>
      <c r="D169" s="284">
        <v>3886.3114590996574</v>
      </c>
      <c r="E169" s="284">
        <v>4166.7297414918812</v>
      </c>
      <c r="F169" s="284">
        <v>4353.431968512984</v>
      </c>
      <c r="G169" s="284">
        <v>3572.9470881975631</v>
      </c>
      <c r="H169" s="284">
        <v>3802.9906386014395</v>
      </c>
      <c r="I169" s="284">
        <v>2974.3147316019408</v>
      </c>
      <c r="J169" s="284">
        <v>2453.8878792481646</v>
      </c>
      <c r="K169" s="284">
        <v>2510.6270909269438</v>
      </c>
      <c r="L169" s="284">
        <v>3314.0404011331043</v>
      </c>
      <c r="M169" s="284">
        <v>4270.9598320975456</v>
      </c>
      <c r="N169" s="284">
        <v>4650.6747755469878</v>
      </c>
      <c r="O169" s="284">
        <v>4922.720429909853</v>
      </c>
      <c r="P169" s="284">
        <v>6263.2165667063255</v>
      </c>
      <c r="Q169" s="284">
        <v>6572.1711125339434</v>
      </c>
      <c r="R169" s="284">
        <v>5658.0077430225419</v>
      </c>
      <c r="S169" s="284">
        <v>5199.6366850983641</v>
      </c>
      <c r="T169" s="284">
        <v>5575.9631803764378</v>
      </c>
      <c r="U169" s="284">
        <v>4197.9742373272793</v>
      </c>
      <c r="V169" s="284">
        <v>3665.7077024117921</v>
      </c>
      <c r="W169" s="284">
        <v>3595.0986197381153</v>
      </c>
      <c r="X169" s="284">
        <v>3501.8000404337699</v>
      </c>
      <c r="Y169" s="284">
        <v>4566.8113268718726</v>
      </c>
      <c r="Z169" s="284">
        <v>5833.4290561138632</v>
      </c>
      <c r="AA169" s="284">
        <v>7225.7647637536484</v>
      </c>
      <c r="AB169" s="284">
        <v>7679.8830307234712</v>
      </c>
      <c r="AC169" s="284">
        <v>6697.2326998241733</v>
      </c>
      <c r="AD169" s="284">
        <v>6566.9170701259782</v>
      </c>
      <c r="AE169" s="284">
        <v>5238.0376810010766</v>
      </c>
      <c r="AF169" s="284">
        <v>4619.4440051757692</v>
      </c>
      <c r="AG169" s="284">
        <v>4125.3452181115899</v>
      </c>
      <c r="AH169" s="284">
        <v>3940.8088588282685</v>
      </c>
      <c r="AI169" s="284">
        <v>3745.2548432631129</v>
      </c>
      <c r="AJ169" s="284">
        <v>3736.4867518068149</v>
      </c>
      <c r="AK169" s="284">
        <v>4030.0853426161652</v>
      </c>
      <c r="AL169" s="284">
        <v>5208.4137607000594</v>
      </c>
      <c r="AM169" s="284">
        <v>5937.4110392915909</v>
      </c>
      <c r="AN169" s="284">
        <v>6206.0454368943037</v>
      </c>
      <c r="AO169" s="284">
        <v>5391.4518493243149</v>
      </c>
      <c r="AP169" s="284">
        <v>5462.7214980635144</v>
      </c>
      <c r="AQ169" s="284">
        <v>4388.899248014166</v>
      </c>
      <c r="AR169" s="284">
        <v>4283.5600865498482</v>
      </c>
      <c r="AS169" s="284">
        <v>3678.4762584536302</v>
      </c>
      <c r="AT169" s="284">
        <v>3439.1476243585048</v>
      </c>
      <c r="AU169" s="284">
        <v>3492.8755360366854</v>
      </c>
      <c r="AV169" s="284">
        <v>3784.9255350187236</v>
      </c>
      <c r="AW169" s="284">
        <v>4457.9123237830054</v>
      </c>
      <c r="AX169" s="284">
        <v>4906.9561621880666</v>
      </c>
      <c r="AY169" s="284">
        <v>6403.5227618573726</v>
      </c>
    </row>
    <row r="170" spans="1:51" ht="14.25" hidden="1" customHeight="1" x14ac:dyDescent="0.25">
      <c r="A170" s="59">
        <v>4</v>
      </c>
      <c r="B170" s="39" t="s">
        <v>3533</v>
      </c>
      <c r="C170" s="347" t="s">
        <v>24</v>
      </c>
      <c r="D170" s="284">
        <v>3660.4361096073026</v>
      </c>
      <c r="E170" s="284">
        <v>4212.7857165451605</v>
      </c>
      <c r="F170" s="284">
        <v>4607.3450166770081</v>
      </c>
      <c r="G170" s="284">
        <v>3904.8306386737772</v>
      </c>
      <c r="H170" s="284">
        <v>4104.5383459756977</v>
      </c>
      <c r="I170" s="284">
        <v>3067.6591160049702</v>
      </c>
      <c r="J170" s="284">
        <v>2318.2175405690468</v>
      </c>
      <c r="K170" s="284">
        <v>2528.9112594311578</v>
      </c>
      <c r="L170" s="284">
        <v>2196.1515709527453</v>
      </c>
      <c r="M170" s="284">
        <v>2373.8430175631138</v>
      </c>
      <c r="N170" s="284">
        <v>2923.1309047562613</v>
      </c>
      <c r="O170" s="284">
        <v>4432.6818117172443</v>
      </c>
      <c r="P170" s="284">
        <v>4347.9692817321966</v>
      </c>
      <c r="Q170" s="284">
        <v>3545.0591555691749</v>
      </c>
      <c r="R170" s="284">
        <v>3561.2723470744263</v>
      </c>
      <c r="S170" s="284">
        <v>2910.9086080271136</v>
      </c>
      <c r="T170" s="284">
        <v>2954.2741903323413</v>
      </c>
      <c r="U170" s="284">
        <v>2226.5732852342135</v>
      </c>
      <c r="V170" s="284">
        <v>1842.0354426677782</v>
      </c>
      <c r="W170" s="284">
        <v>1983.7264403413189</v>
      </c>
      <c r="X170" s="284">
        <v>2055.9986971042244</v>
      </c>
      <c r="Y170" s="284">
        <v>2405.6348853702525</v>
      </c>
      <c r="Z170" s="284">
        <v>2886.2503964772723</v>
      </c>
      <c r="AA170" s="284">
        <v>3396.4627752694419</v>
      </c>
      <c r="AB170" s="284">
        <v>3157.879103289371</v>
      </c>
      <c r="AC170" s="284">
        <v>2854.9217905103123</v>
      </c>
      <c r="AD170" s="284">
        <v>2981.3766872840702</v>
      </c>
      <c r="AE170" s="284">
        <v>2422.7546817231719</v>
      </c>
      <c r="AF170" s="284">
        <v>2101.8484725803341</v>
      </c>
      <c r="AG170" s="284">
        <v>1887.8926534810244</v>
      </c>
      <c r="AH170" s="284">
        <v>1737.5401867992791</v>
      </c>
      <c r="AI170" s="284">
        <v>1512.0214328001023</v>
      </c>
      <c r="AJ170" s="284">
        <v>1447.9987325214163</v>
      </c>
      <c r="AK170" s="284">
        <v>1454.8543536278291</v>
      </c>
      <c r="AL170" s="284">
        <v>1884.8327840879474</v>
      </c>
      <c r="AM170" s="284">
        <v>1941.7669427507503</v>
      </c>
      <c r="AN170" s="284">
        <v>1888.9190372741691</v>
      </c>
      <c r="AO170" s="284">
        <v>1525.2031995005807</v>
      </c>
      <c r="AP170" s="284">
        <v>2949.1296300328518</v>
      </c>
      <c r="AQ170" s="284">
        <v>2550.4174752236877</v>
      </c>
      <c r="AR170" s="284">
        <v>2741.5245292586374</v>
      </c>
      <c r="AS170" s="284">
        <v>2146.9354927279569</v>
      </c>
      <c r="AT170" s="284">
        <v>2084.4986326211697</v>
      </c>
      <c r="AU170" s="284">
        <v>2220.8238105630912</v>
      </c>
      <c r="AV170" s="284">
        <v>2475.1619412791442</v>
      </c>
      <c r="AW170" s="284">
        <v>3217.3151586830281</v>
      </c>
      <c r="AX170" s="284">
        <v>3719.762627148199</v>
      </c>
      <c r="AY170" s="284">
        <v>5107.428691995703</v>
      </c>
    </row>
    <row r="171" spans="1:51" ht="14.25" hidden="1" customHeight="1" x14ac:dyDescent="0.25">
      <c r="A171" s="59">
        <v>331</v>
      </c>
      <c r="B171" s="221" t="s">
        <v>3635</v>
      </c>
      <c r="C171" s="59" t="s">
        <v>568</v>
      </c>
      <c r="D171" s="284">
        <v>3900.1079613849902</v>
      </c>
      <c r="E171" s="284">
        <v>4488.6233827666565</v>
      </c>
      <c r="F171" s="284">
        <v>4909.0169701984551</v>
      </c>
      <c r="G171" s="284">
        <v>4160.5045425544813</v>
      </c>
      <c r="H171" s="284">
        <v>4373.2883737362044</v>
      </c>
      <c r="I171" s="284">
        <v>3268.5181172113844</v>
      </c>
      <c r="J171" s="284">
        <v>2470.0058723783145</v>
      </c>
      <c r="K171" s="284">
        <v>2694.4950386257997</v>
      </c>
      <c r="L171" s="284">
        <v>2339.9474734172718</v>
      </c>
      <c r="M171" s="284">
        <v>2529.2735003833486</v>
      </c>
      <c r="N171" s="284">
        <v>3114.5267319072177</v>
      </c>
      <c r="O171" s="284">
        <v>4722.91746297398</v>
      </c>
      <c r="P171" s="284">
        <v>4632.6582690608275</v>
      </c>
      <c r="Q171" s="284">
        <v>3777.176550063969</v>
      </c>
      <c r="R171" s="284">
        <v>3794.4513215326274</v>
      </c>
      <c r="S171" s="284">
        <v>3101.504164280741</v>
      </c>
      <c r="T171" s="284">
        <v>3147.7091649239183</v>
      </c>
      <c r="U171" s="284">
        <v>2372.3610893131276</v>
      </c>
      <c r="V171" s="284">
        <v>1962.6451275153254</v>
      </c>
      <c r="W171" s="284">
        <v>2113.6135289669337</v>
      </c>
      <c r="X171" s="284">
        <v>2190.6179064640478</v>
      </c>
      <c r="Y171" s="284">
        <v>2563.1469824027417</v>
      </c>
      <c r="Z171" s="284">
        <v>3075.2314240117225</v>
      </c>
      <c r="AA171" s="284">
        <v>3618.8506270082726</v>
      </c>
      <c r="AB171" s="284">
        <v>3364.6453764088392</v>
      </c>
      <c r="AC171" s="284">
        <v>3041.8515365086614</v>
      </c>
      <c r="AD171" s="284">
        <v>3176.5862333850837</v>
      </c>
      <c r="AE171" s="284">
        <v>2581.3877198596988</v>
      </c>
      <c r="AF171" s="284">
        <v>2239.4697560818449</v>
      </c>
      <c r="AG171" s="284">
        <v>2011.5048993087032</v>
      </c>
      <c r="AH171" s="284">
        <v>1851.3079078135406</v>
      </c>
      <c r="AI171" s="284">
        <v>1611.0230178231589</v>
      </c>
      <c r="AJ171" s="284">
        <v>1542.8083473332381</v>
      </c>
      <c r="AK171" s="284">
        <v>1550.1128492168207</v>
      </c>
      <c r="AL171" s="284">
        <v>2008.244680956738</v>
      </c>
      <c r="AM171" s="284">
        <v>2068.9066782779742</v>
      </c>
      <c r="AN171" s="284">
        <v>2012.5984869259196</v>
      </c>
      <c r="AO171" s="284">
        <v>1625.0678779748555</v>
      </c>
      <c r="AP171" s="284">
        <v>3142.2277577961713</v>
      </c>
      <c r="AQ171" s="284">
        <v>2717.4094020841767</v>
      </c>
      <c r="AR171" s="284">
        <v>2921.0294409539442</v>
      </c>
      <c r="AS171" s="284">
        <v>2287.5089079663267</v>
      </c>
      <c r="AT171" s="284">
        <v>2220.9839126120205</v>
      </c>
      <c r="AU171" s="284">
        <v>2366.2351602524432</v>
      </c>
      <c r="AV171" s="284">
        <v>2637.2264134219654</v>
      </c>
      <c r="AW171" s="284">
        <v>3427.9730854284594</v>
      </c>
      <c r="AX171" s="284">
        <v>3963.3189604173758</v>
      </c>
      <c r="AY171" s="284">
        <v>5441.8442795865558</v>
      </c>
    </row>
    <row r="172" spans="1:51" ht="14.25" hidden="1" customHeight="1" x14ac:dyDescent="0.25">
      <c r="A172" s="59">
        <v>29</v>
      </c>
      <c r="B172" s="39" t="s">
        <v>3542</v>
      </c>
      <c r="C172" s="59" t="s">
        <v>87</v>
      </c>
      <c r="D172" s="284">
        <v>3033.5564841033206</v>
      </c>
      <c r="E172" s="284">
        <v>3216.0057806517566</v>
      </c>
      <c r="F172" s="284">
        <v>3283.5733031336254</v>
      </c>
      <c r="G172" s="284">
        <v>2596.7966767918479</v>
      </c>
      <c r="H172" s="284">
        <v>2774.0721126739209</v>
      </c>
      <c r="I172" s="284">
        <v>2153.2325379372678</v>
      </c>
      <c r="J172" s="284">
        <v>1904.0709470773934</v>
      </c>
      <c r="K172" s="284">
        <v>2036.160682874664</v>
      </c>
      <c r="L172" s="284">
        <v>2594.9812559075604</v>
      </c>
      <c r="M172" s="284">
        <v>3092.9687937007507</v>
      </c>
      <c r="N172" s="284">
        <v>3508.7804355835151</v>
      </c>
      <c r="O172" s="284">
        <v>3717.516242381113</v>
      </c>
      <c r="P172" s="284">
        <v>4907.7329852241464</v>
      </c>
      <c r="Q172" s="284">
        <v>4963.0251323416105</v>
      </c>
      <c r="R172" s="284">
        <v>4131.4493021844582</v>
      </c>
      <c r="S172" s="284">
        <v>3765.0550836340167</v>
      </c>
      <c r="T172" s="284">
        <v>4280.033788591908</v>
      </c>
      <c r="U172" s="284">
        <v>3246.5959838111075</v>
      </c>
      <c r="V172" s="284">
        <v>2703.6537490660248</v>
      </c>
      <c r="W172" s="284">
        <v>3497.7954626942601</v>
      </c>
      <c r="X172" s="284">
        <v>4556.9541350503405</v>
      </c>
      <c r="Y172" s="284">
        <v>3307.2202680484525</v>
      </c>
      <c r="Z172" s="284">
        <v>4701.7627538571733</v>
      </c>
      <c r="AA172" s="284">
        <v>5655.7967959222133</v>
      </c>
      <c r="AB172" s="284">
        <v>5561.6628315686585</v>
      </c>
      <c r="AC172" s="284">
        <v>6231.3171535502424</v>
      </c>
      <c r="AD172" s="284">
        <v>4755.668600785033</v>
      </c>
      <c r="AE172" s="284">
        <v>4080.5887284255132</v>
      </c>
      <c r="AF172" s="284">
        <v>3397.3361103702223</v>
      </c>
      <c r="AG172" s="284">
        <v>2987.7925608195501</v>
      </c>
      <c r="AH172" s="284">
        <v>3021.8781214219848</v>
      </c>
      <c r="AI172" s="284">
        <v>2752.2606650646753</v>
      </c>
      <c r="AJ172" s="284">
        <v>2874.1867511820656</v>
      </c>
      <c r="AK172" s="284">
        <v>2918.5308901724898</v>
      </c>
      <c r="AL172" s="284">
        <v>3771.859689585327</v>
      </c>
      <c r="AM172" s="284">
        <v>4304.0650375871237</v>
      </c>
      <c r="AN172" s="284">
        <v>4545.3304604145524</v>
      </c>
      <c r="AO172" s="284">
        <v>3950.6891025309505</v>
      </c>
      <c r="AP172" s="284">
        <v>4153.0257615185119</v>
      </c>
      <c r="AQ172" s="284">
        <v>3179.6546672286381</v>
      </c>
      <c r="AR172" s="284">
        <v>3102.0937200277958</v>
      </c>
      <c r="AS172" s="284">
        <v>2663.9005570273698</v>
      </c>
      <c r="AT172" s="284">
        <v>2489.8579542609828</v>
      </c>
      <c r="AU172" s="284">
        <v>2698.491135002439</v>
      </c>
      <c r="AV172" s="284">
        <v>4024.2654339065739</v>
      </c>
      <c r="AW172" s="284">
        <v>3498.3571479395541</v>
      </c>
      <c r="AX172" s="284">
        <v>3554.5483540831056</v>
      </c>
      <c r="AY172" s="284">
        <v>4687.6165643983786</v>
      </c>
    </row>
    <row r="173" spans="1:51" ht="14.25" hidden="1" customHeight="1" x14ac:dyDescent="0.25">
      <c r="A173" s="59">
        <v>3</v>
      </c>
      <c r="B173" s="39" t="s">
        <v>3531</v>
      </c>
      <c r="C173" s="59" t="s">
        <v>18</v>
      </c>
      <c r="D173" s="284">
        <v>2901.7769752766376</v>
      </c>
      <c r="E173" s="284">
        <v>3339.6470333029556</v>
      </c>
      <c r="F173" s="284">
        <v>3652.4302804955109</v>
      </c>
      <c r="G173" s="284">
        <v>3095.5184847834803</v>
      </c>
      <c r="H173" s="284">
        <v>3253.8349283659827</v>
      </c>
      <c r="I173" s="284">
        <v>2431.8584792279548</v>
      </c>
      <c r="J173" s="284">
        <v>1837.7455804377835</v>
      </c>
      <c r="K173" s="284">
        <v>2004.7710833894175</v>
      </c>
      <c r="L173" s="284">
        <v>1740.9789085191742</v>
      </c>
      <c r="M173" s="284">
        <v>1881.8421644367545</v>
      </c>
      <c r="N173" s="284">
        <v>2317.2850723656738</v>
      </c>
      <c r="O173" s="284">
        <v>3513.9676352249071</v>
      </c>
      <c r="P173" s="284">
        <v>3446.8125581610384</v>
      </c>
      <c r="Q173" s="284">
        <v>2810.3129587823551</v>
      </c>
      <c r="R173" s="284">
        <v>2823.1658168563445</v>
      </c>
      <c r="S173" s="284">
        <v>2307.5959593278717</v>
      </c>
      <c r="T173" s="284">
        <v>2341.9736248531613</v>
      </c>
      <c r="U173" s="284">
        <v>1765.0954420160199</v>
      </c>
      <c r="V173" s="284">
        <v>1460.2566129067902</v>
      </c>
      <c r="W173" s="284">
        <v>1572.5808448675457</v>
      </c>
      <c r="X173" s="284">
        <v>1629.8740100386158</v>
      </c>
      <c r="Y173" s="284">
        <v>1907.0448745077383</v>
      </c>
      <c r="Z173" s="284">
        <v>2288.0483894798335</v>
      </c>
      <c r="AA173" s="284">
        <v>2692.5145484149425</v>
      </c>
      <c r="AB173" s="284">
        <v>2503.3795422850321</v>
      </c>
      <c r="AC173" s="284">
        <v>2263.2129259612007</v>
      </c>
      <c r="AD173" s="284">
        <v>2363.4588794163042</v>
      </c>
      <c r="AE173" s="284">
        <v>1920.6164352154749</v>
      </c>
      <c r="AF173" s="284">
        <v>1666.2209967949157</v>
      </c>
      <c r="AG173" s="284">
        <v>1496.6094939580487</v>
      </c>
      <c r="AH173" s="284">
        <v>1377.4189623030807</v>
      </c>
      <c r="AI173" s="284">
        <v>1198.6410494390059</v>
      </c>
      <c r="AJ173" s="284">
        <v>1147.8876441067489</v>
      </c>
      <c r="AK173" s="284">
        <v>1153.3223745274211</v>
      </c>
      <c r="AL173" s="284">
        <v>1494.1838107098476</v>
      </c>
      <c r="AM173" s="284">
        <v>1539.3178400351655</v>
      </c>
      <c r="AN173" s="284">
        <v>1497.4231502464145</v>
      </c>
      <c r="AO173" s="284">
        <v>1209.0907734499024</v>
      </c>
      <c r="AP173" s="284">
        <v>2337.8953221105457</v>
      </c>
      <c r="AQ173" s="284">
        <v>2021.8199376634482</v>
      </c>
      <c r="AR173" s="284">
        <v>2173.3182926698573</v>
      </c>
      <c r="AS173" s="284">
        <v>1701.9633162974521</v>
      </c>
      <c r="AT173" s="284">
        <v>1652.4670711394183</v>
      </c>
      <c r="AU173" s="284">
        <v>1760.5375989828335</v>
      </c>
      <c r="AV173" s="284">
        <v>1962.1618070135862</v>
      </c>
      <c r="AW173" s="284">
        <v>2550.4969271752939</v>
      </c>
      <c r="AX173" s="284">
        <v>2948.8075250441048</v>
      </c>
      <c r="AY173" s="284">
        <v>4048.8670031425258</v>
      </c>
    </row>
    <row r="174" spans="1:51" ht="14.25" hidden="1" customHeight="1" x14ac:dyDescent="0.25">
      <c r="A174" s="59">
        <v>55</v>
      </c>
      <c r="B174" s="39" t="s">
        <v>3550</v>
      </c>
      <c r="C174" s="59" t="s">
        <v>141</v>
      </c>
      <c r="D174" s="284">
        <v>2436.2539214560329</v>
      </c>
      <c r="E174" s="284">
        <v>2776.4762454202537</v>
      </c>
      <c r="F174" s="284">
        <v>3067.1456628949445</v>
      </c>
      <c r="G174" s="284">
        <v>2453.2151139202279</v>
      </c>
      <c r="H174" s="284">
        <v>2696.4330319418673</v>
      </c>
      <c r="I174" s="284">
        <v>1717.5084651441039</v>
      </c>
      <c r="J174" s="284">
        <v>1285.9024703571131</v>
      </c>
      <c r="K174" s="284">
        <v>1194.9140396206351</v>
      </c>
      <c r="L174" s="284">
        <v>1585.1647921667372</v>
      </c>
      <c r="M174" s="284">
        <v>2083.8195027837592</v>
      </c>
      <c r="N174" s="284">
        <v>2951.3397276612577</v>
      </c>
      <c r="O174" s="284">
        <v>3583.4535700879305</v>
      </c>
      <c r="P174" s="284">
        <v>4260.1027596295662</v>
      </c>
      <c r="Q174" s="284">
        <v>3956.3248907831221</v>
      </c>
      <c r="R174" s="284">
        <v>3387.9377504334993</v>
      </c>
      <c r="S174" s="284">
        <v>2793.3825522334146</v>
      </c>
      <c r="T174" s="284">
        <v>2773.0973984117718</v>
      </c>
      <c r="U174" s="284">
        <v>2061.7743647330913</v>
      </c>
      <c r="V174" s="284">
        <v>1539.3635632859161</v>
      </c>
      <c r="W174" s="284">
        <v>1290.8270587759976</v>
      </c>
      <c r="X174" s="284">
        <v>1181.6953455381927</v>
      </c>
      <c r="Y174" s="284">
        <v>2530.6534056601763</v>
      </c>
      <c r="Z174" s="284">
        <v>3309.9455120079474</v>
      </c>
      <c r="AA174" s="284">
        <v>4210.0566522296149</v>
      </c>
      <c r="AB174" s="284">
        <v>3682.7371380192853</v>
      </c>
      <c r="AC174" s="284">
        <v>3145.9831565414465</v>
      </c>
      <c r="AD174" s="284">
        <v>3262.6707545365348</v>
      </c>
      <c r="AE174" s="284">
        <v>2160.706471229646</v>
      </c>
      <c r="AF174" s="284">
        <v>1033.8777385863148</v>
      </c>
      <c r="AG174" s="284">
        <v>927.08951719087361</v>
      </c>
      <c r="AH174" s="284">
        <v>890.90770341368534</v>
      </c>
      <c r="AI174" s="284">
        <v>897.36134871531112</v>
      </c>
      <c r="AJ174" s="284">
        <v>915.5486199901901</v>
      </c>
      <c r="AK174" s="284">
        <v>1350.0077997194639</v>
      </c>
      <c r="AL174" s="284">
        <v>2392.1379345997038</v>
      </c>
      <c r="AM174" s="284">
        <v>2949.0875448669053</v>
      </c>
      <c r="AN174" s="284">
        <v>3195.2643775020779</v>
      </c>
      <c r="AO174" s="284">
        <v>3000.0262274700162</v>
      </c>
      <c r="AP174" s="284">
        <v>3264.2571013563042</v>
      </c>
      <c r="AQ174" s="284">
        <v>2524.7975302639502</v>
      </c>
      <c r="AR174" s="284">
        <v>2289.0033148786556</v>
      </c>
      <c r="AS174" s="284">
        <v>1719.5042270503011</v>
      </c>
      <c r="AT174" s="284">
        <v>1545.0217734995274</v>
      </c>
      <c r="AU174" s="284">
        <v>1596.1574674096023</v>
      </c>
      <c r="AV174" s="284">
        <v>1793.0370824794254</v>
      </c>
      <c r="AW174" s="284">
        <v>2874.4626801242525</v>
      </c>
      <c r="AX174" s="284">
        <v>3296.7995132539877</v>
      </c>
      <c r="AY174" s="284">
        <v>4032.3209922854603</v>
      </c>
    </row>
    <row r="175" spans="1:51" ht="14.25" hidden="1" customHeight="1" x14ac:dyDescent="0.25">
      <c r="A175" s="59">
        <v>5</v>
      </c>
      <c r="B175" s="39" t="s">
        <v>26</v>
      </c>
      <c r="C175" s="59" t="s">
        <v>27</v>
      </c>
      <c r="D175" s="284">
        <v>0</v>
      </c>
      <c r="E175" s="284">
        <v>0</v>
      </c>
      <c r="F175" s="284">
        <v>0</v>
      </c>
      <c r="G175" s="284">
        <v>0</v>
      </c>
      <c r="H175" s="284">
        <v>0</v>
      </c>
      <c r="I175" s="284">
        <v>0</v>
      </c>
      <c r="J175" s="284">
        <v>0</v>
      </c>
      <c r="K175" s="284">
        <v>0</v>
      </c>
      <c r="L175" s="284">
        <v>0</v>
      </c>
      <c r="M175" s="284">
        <v>0</v>
      </c>
      <c r="N175" s="284">
        <v>0</v>
      </c>
      <c r="O175" s="284">
        <v>0</v>
      </c>
      <c r="P175" s="284">
        <v>0</v>
      </c>
      <c r="Q175" s="284">
        <v>0</v>
      </c>
      <c r="R175" s="284">
        <v>0</v>
      </c>
      <c r="S175" s="284">
        <v>0</v>
      </c>
      <c r="T175" s="284">
        <v>0</v>
      </c>
      <c r="U175" s="284">
        <v>0</v>
      </c>
      <c r="V175" s="284">
        <v>0</v>
      </c>
      <c r="W175" s="284">
        <v>0</v>
      </c>
      <c r="X175" s="284">
        <v>0</v>
      </c>
      <c r="Y175" s="284">
        <v>0</v>
      </c>
      <c r="Z175" s="284">
        <v>0</v>
      </c>
      <c r="AA175" s="284">
        <v>0</v>
      </c>
      <c r="AB175" s="284">
        <v>0</v>
      </c>
      <c r="AC175" s="284">
        <v>0</v>
      </c>
      <c r="AD175" s="284">
        <v>0</v>
      </c>
      <c r="AE175" s="284">
        <v>0</v>
      </c>
      <c r="AF175" s="284">
        <v>0</v>
      </c>
      <c r="AG175" s="284">
        <v>0</v>
      </c>
      <c r="AH175" s="284">
        <v>0</v>
      </c>
      <c r="AI175" s="284">
        <v>0</v>
      </c>
      <c r="AJ175" s="284">
        <v>0</v>
      </c>
      <c r="AK175" s="284">
        <v>0</v>
      </c>
      <c r="AL175" s="284">
        <v>0</v>
      </c>
      <c r="AM175" s="284">
        <v>0</v>
      </c>
      <c r="AN175" s="284">
        <v>0</v>
      </c>
      <c r="AO175" s="284">
        <v>0</v>
      </c>
      <c r="AP175" s="284">
        <v>0</v>
      </c>
      <c r="AQ175" s="284">
        <v>0</v>
      </c>
      <c r="AR175" s="284">
        <v>0</v>
      </c>
      <c r="AS175" s="284">
        <v>0</v>
      </c>
      <c r="AT175" s="284">
        <v>0</v>
      </c>
      <c r="AU175" s="284">
        <v>0</v>
      </c>
      <c r="AV175" s="284">
        <v>0</v>
      </c>
      <c r="AW175" s="284">
        <v>0</v>
      </c>
      <c r="AX175" s="284">
        <v>0</v>
      </c>
      <c r="AY175" s="284">
        <v>0</v>
      </c>
    </row>
    <row r="176" spans="1:51" ht="14.25" hidden="1" customHeight="1" x14ac:dyDescent="0.25">
      <c r="A176" s="59">
        <v>74</v>
      </c>
      <c r="B176" s="289" t="s">
        <v>176</v>
      </c>
      <c r="C176" s="59" t="s">
        <v>177</v>
      </c>
      <c r="D176" s="284">
        <v>7705.5532905428572</v>
      </c>
      <c r="E176" s="284">
        <v>8385.6109402236816</v>
      </c>
      <c r="F176" s="284">
        <v>8661.7294267983871</v>
      </c>
      <c r="G176" s="284">
        <v>7127.1263410671863</v>
      </c>
      <c r="H176" s="284">
        <v>7623.4071693041051</v>
      </c>
      <c r="I176" s="284">
        <v>5960.2536518016577</v>
      </c>
      <c r="J176" s="284">
        <v>4919.0198528094325</v>
      </c>
      <c r="K176" s="284">
        <v>5032.7582640224928</v>
      </c>
      <c r="L176" s="284">
        <v>6643.2662486522895</v>
      </c>
      <c r="M176" s="284">
        <v>8561.4898636185044</v>
      </c>
      <c r="N176" s="284">
        <v>9316.6459167326921</v>
      </c>
      <c r="O176" s="284">
        <v>9863.9883629351589</v>
      </c>
      <c r="P176" s="284">
        <v>12555.132161748457</v>
      </c>
      <c r="Q176" s="284">
        <v>13170.447766672823</v>
      </c>
      <c r="R176" s="284">
        <v>11341.941353817947</v>
      </c>
      <c r="S176" s="284">
        <v>10419.089746481368</v>
      </c>
      <c r="T176" s="284">
        <v>11177.47628763289</v>
      </c>
      <c r="U176" s="284">
        <v>8397.1430033850647</v>
      </c>
      <c r="V176" s="284">
        <v>7348.2122452492422</v>
      </c>
      <c r="W176" s="284">
        <v>7204.6659559944892</v>
      </c>
      <c r="X176" s="284">
        <v>7019.6458710005145</v>
      </c>
      <c r="Y176" s="284">
        <v>9154.5484905367557</v>
      </c>
      <c r="Z176" s="284">
        <v>11691.583205470994</v>
      </c>
      <c r="AA176" s="284">
        <v>14484.639100758395</v>
      </c>
      <c r="AB176" s="284">
        <v>15394.956474929693</v>
      </c>
      <c r="AC176" s="284">
        <v>13423.148574970268</v>
      </c>
      <c r="AD176" s="284">
        <v>13163.924771330607</v>
      </c>
      <c r="AE176" s="284">
        <v>10498.072279752321</v>
      </c>
      <c r="AF176" s="284">
        <v>9260.0550182281204</v>
      </c>
      <c r="AG176" s="284">
        <v>8267.5888247781022</v>
      </c>
      <c r="AH176" s="284">
        <v>7899.6751141876912</v>
      </c>
      <c r="AI176" s="284">
        <v>7507.6710242712743</v>
      </c>
      <c r="AJ176" s="284">
        <v>7488.0900824507753</v>
      </c>
      <c r="AK176" s="284">
        <v>8078.6371604390606</v>
      </c>
      <c r="AL176" s="284">
        <v>10440.693279914285</v>
      </c>
      <c r="AM176" s="284">
        <v>11900.023633377768</v>
      </c>
      <c r="AN176" s="284">
        <v>12440.527935153132</v>
      </c>
      <c r="AO176" s="284">
        <v>10805.603583878355</v>
      </c>
      <c r="AP176" s="284">
        <v>10950.474032080174</v>
      </c>
      <c r="AQ176" s="284">
        <v>8795.9045299666814</v>
      </c>
      <c r="AR176" s="284">
        <v>8586.7481088404966</v>
      </c>
      <c r="AS176" s="284">
        <v>7373.8078648342553</v>
      </c>
      <c r="AT176" s="284">
        <v>6892.0493736212429</v>
      </c>
      <c r="AU176" s="284">
        <v>7001.7559687449984</v>
      </c>
      <c r="AV176" s="284">
        <v>7585.1896028813135</v>
      </c>
      <c r="AW176" s="284">
        <v>8936.2514922609353</v>
      </c>
      <c r="AX176" s="284">
        <v>9836.3967574851195</v>
      </c>
      <c r="AY176" s="284">
        <v>12834.38287461204</v>
      </c>
    </row>
    <row r="177" spans="1:51" ht="14.25" hidden="1" customHeight="1" x14ac:dyDescent="0.25">
      <c r="A177" s="59">
        <v>199.1</v>
      </c>
      <c r="B177" s="39" t="s">
        <v>3593</v>
      </c>
      <c r="D177" s="284">
        <v>0</v>
      </c>
      <c r="E177" s="284">
        <v>221</v>
      </c>
      <c r="F177" s="284">
        <v>18</v>
      </c>
      <c r="G177" s="284">
        <v>0</v>
      </c>
      <c r="H177" s="284">
        <v>0</v>
      </c>
      <c r="I177" s="284">
        <v>0</v>
      </c>
      <c r="J177" s="284">
        <v>0</v>
      </c>
      <c r="K177" s="284">
        <v>0</v>
      </c>
      <c r="L177" s="284">
        <v>8</v>
      </c>
      <c r="M177" s="284">
        <v>81</v>
      </c>
      <c r="N177" s="284">
        <v>177</v>
      </c>
      <c r="O177" s="284">
        <v>278</v>
      </c>
      <c r="P177" s="284">
        <v>296</v>
      </c>
      <c r="Q177" s="284">
        <v>7</v>
      </c>
      <c r="R177" s="284">
        <v>0</v>
      </c>
      <c r="S177" s="284">
        <v>0</v>
      </c>
      <c r="T177" s="284">
        <v>0</v>
      </c>
      <c r="U177" s="284">
        <v>0</v>
      </c>
      <c r="V177" s="284">
        <v>0</v>
      </c>
      <c r="W177" s="284">
        <v>0</v>
      </c>
      <c r="X177" s="284">
        <v>0</v>
      </c>
      <c r="Y177" s="284">
        <v>0</v>
      </c>
      <c r="Z177" s="284">
        <v>350</v>
      </c>
      <c r="AA177" s="284">
        <v>0</v>
      </c>
      <c r="AB177" s="284">
        <v>297</v>
      </c>
      <c r="AC177" s="284">
        <v>147</v>
      </c>
      <c r="AD177" s="284">
        <v>0</v>
      </c>
      <c r="AE177" s="284">
        <v>0</v>
      </c>
      <c r="AF177" s="284">
        <v>0</v>
      </c>
      <c r="AG177" s="284">
        <v>92</v>
      </c>
      <c r="AH177" s="284">
        <v>0</v>
      </c>
      <c r="AI177" s="284">
        <v>0</v>
      </c>
      <c r="AJ177" s="284">
        <v>4</v>
      </c>
      <c r="AK177" s="284">
        <v>0</v>
      </c>
      <c r="AL177" s="284">
        <v>0</v>
      </c>
      <c r="AM177" s="284">
        <v>225</v>
      </c>
      <c r="AN177" s="284">
        <v>120</v>
      </c>
      <c r="AO177" s="284">
        <v>17</v>
      </c>
      <c r="AP177" s="284">
        <v>0</v>
      </c>
      <c r="AQ177" s="284">
        <v>0</v>
      </c>
      <c r="AR177" s="284">
        <v>0</v>
      </c>
      <c r="AS177" s="284">
        <v>0</v>
      </c>
      <c r="AT177" s="284">
        <v>0</v>
      </c>
      <c r="AU177" s="284">
        <v>0</v>
      </c>
      <c r="AV177" s="284">
        <v>1</v>
      </c>
      <c r="AW177" s="284">
        <v>196</v>
      </c>
      <c r="AX177" s="284">
        <v>456</v>
      </c>
      <c r="AY177" s="284">
        <v>77</v>
      </c>
    </row>
    <row r="178" spans="1:51" ht="14.25" hidden="1" customHeight="1" x14ac:dyDescent="0.25">
      <c r="A178" s="59">
        <v>356</v>
      </c>
      <c r="B178" s="221" t="s">
        <v>408</v>
      </c>
      <c r="C178" s="59" t="s">
        <v>409</v>
      </c>
      <c r="D178" s="284">
        <v>730</v>
      </c>
      <c r="E178" s="284">
        <v>168</v>
      </c>
      <c r="F178" s="284">
        <v>118</v>
      </c>
      <c r="G178" s="284">
        <v>74</v>
      </c>
      <c r="H178" s="284">
        <v>10</v>
      </c>
      <c r="I178" s="284">
        <v>0</v>
      </c>
      <c r="J178" s="284">
        <v>7</v>
      </c>
      <c r="K178" s="284">
        <v>46</v>
      </c>
      <c r="L178" s="284">
        <v>232</v>
      </c>
      <c r="M178" s="284">
        <v>0</v>
      </c>
      <c r="N178" s="284">
        <v>991</v>
      </c>
      <c r="O178" s="284">
        <v>507</v>
      </c>
      <c r="P178" s="284">
        <v>384</v>
      </c>
      <c r="Q178" s="284">
        <v>186</v>
      </c>
      <c r="R178" s="284">
        <v>121</v>
      </c>
      <c r="S178" s="284">
        <v>21</v>
      </c>
      <c r="T178" s="284">
        <v>0</v>
      </c>
      <c r="U178" s="284">
        <v>0</v>
      </c>
      <c r="V178" s="284">
        <v>0</v>
      </c>
      <c r="W178" s="284">
        <v>0</v>
      </c>
      <c r="X178" s="284">
        <v>0</v>
      </c>
      <c r="Y178" s="284">
        <v>0</v>
      </c>
      <c r="Z178" s="284">
        <v>727</v>
      </c>
      <c r="AA178" s="284">
        <v>306</v>
      </c>
      <c r="AB178" s="284">
        <v>0</v>
      </c>
      <c r="AC178" s="284">
        <v>766</v>
      </c>
      <c r="AD178" s="284">
        <v>0</v>
      </c>
      <c r="AE178" s="284">
        <v>93</v>
      </c>
      <c r="AF178" s="284">
        <v>19</v>
      </c>
      <c r="AG178" s="284">
        <v>25</v>
      </c>
      <c r="AH178" s="284">
        <v>11</v>
      </c>
      <c r="AI178" s="284">
        <v>6</v>
      </c>
      <c r="AJ178" s="284">
        <v>66</v>
      </c>
      <c r="AK178" s="284">
        <v>0</v>
      </c>
      <c r="AL178" s="284">
        <v>0</v>
      </c>
      <c r="AM178" s="284">
        <v>765</v>
      </c>
      <c r="AN178" s="284">
        <v>291</v>
      </c>
      <c r="AO178" s="284">
        <v>88</v>
      </c>
      <c r="AP178" s="284">
        <v>55</v>
      </c>
      <c r="AQ178" s="284">
        <v>0</v>
      </c>
      <c r="AR178" s="284">
        <v>0</v>
      </c>
      <c r="AS178" s="284">
        <v>0</v>
      </c>
      <c r="AT178" s="284">
        <v>51</v>
      </c>
      <c r="AU178" s="284">
        <v>139</v>
      </c>
      <c r="AV178" s="284">
        <v>270</v>
      </c>
      <c r="AW178" s="284">
        <v>501</v>
      </c>
      <c r="AX178" s="284">
        <v>467</v>
      </c>
      <c r="AY178" s="284">
        <v>375</v>
      </c>
    </row>
    <row r="179" spans="1:51" ht="12.75" customHeight="1" x14ac:dyDescent="0.3">
      <c r="A179" s="205"/>
      <c r="B179" s="100"/>
      <c r="C179" s="283"/>
      <c r="D179" s="276"/>
      <c r="E179" s="276"/>
      <c r="F179" s="276"/>
      <c r="G179" s="276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</row>
    <row r="180" spans="1:51" x14ac:dyDescent="0.25"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100"/>
      <c r="U180" s="100"/>
      <c r="V180" s="280"/>
      <c r="W180" s="100"/>
      <c r="X180" s="28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</row>
    <row r="181" spans="1:51" s="274" customFormat="1" ht="14.4" thickBot="1" x14ac:dyDescent="0.3">
      <c r="A181" s="277"/>
      <c r="B181" s="278"/>
      <c r="C181" s="277"/>
      <c r="D181" s="279">
        <v>423049.00000000006</v>
      </c>
      <c r="E181" s="279">
        <v>363495.00000000017</v>
      </c>
      <c r="F181" s="279">
        <v>370683.99999999988</v>
      </c>
      <c r="G181" s="279">
        <v>315397</v>
      </c>
      <c r="H181" s="279">
        <v>311350</v>
      </c>
      <c r="I181" s="279">
        <v>262764.00000000012</v>
      </c>
      <c r="J181" s="279">
        <v>216747</v>
      </c>
      <c r="K181" s="279">
        <v>231273.00000000006</v>
      </c>
      <c r="L181" s="279">
        <v>264692.99999999988</v>
      </c>
      <c r="M181" s="279">
        <v>239521.00000000003</v>
      </c>
      <c r="N181" s="279">
        <v>433413.00000000006</v>
      </c>
      <c r="O181" s="279">
        <v>410576.99999999988</v>
      </c>
      <c r="P181" s="279">
        <v>458433.00000000012</v>
      </c>
      <c r="Q181" s="279">
        <v>439508.00000000006</v>
      </c>
      <c r="R181" s="279">
        <v>385074.99999999994</v>
      </c>
      <c r="S181" s="279">
        <v>336224</v>
      </c>
      <c r="T181" s="279">
        <v>352559.00000000012</v>
      </c>
      <c r="U181" s="279">
        <v>276398</v>
      </c>
      <c r="V181" s="279">
        <v>247852.00000000009</v>
      </c>
      <c r="W181" s="279">
        <v>251000</v>
      </c>
      <c r="X181" s="279">
        <v>259492.99999999994</v>
      </c>
      <c r="Y181" s="279">
        <v>249107.00000000009</v>
      </c>
      <c r="Z181" s="279">
        <v>479637</v>
      </c>
      <c r="AA181" s="279">
        <v>470364.99999999994</v>
      </c>
      <c r="AB181" s="279">
        <v>393180</v>
      </c>
      <c r="AC181" s="279">
        <v>472903.07699999999</v>
      </c>
      <c r="AD181" s="279">
        <v>346589.99999999994</v>
      </c>
      <c r="AE181" s="279">
        <v>331148.03999999992</v>
      </c>
      <c r="AF181" s="279">
        <v>259901.99999999994</v>
      </c>
      <c r="AG181" s="279">
        <v>234018.99999999997</v>
      </c>
      <c r="AH181" s="279">
        <v>225278</v>
      </c>
      <c r="AI181" s="279">
        <v>222768.00000000006</v>
      </c>
      <c r="AJ181" s="279">
        <v>237335.00000000003</v>
      </c>
      <c r="AK181" s="279">
        <v>195881</v>
      </c>
      <c r="AL181" s="279">
        <v>260733</v>
      </c>
      <c r="AM181" s="279">
        <v>432083.00000000006</v>
      </c>
      <c r="AN181" s="279">
        <v>371742.00000000012</v>
      </c>
      <c r="AO181" s="279">
        <v>317429.00000000006</v>
      </c>
      <c r="AP181" s="279">
        <v>353438.62000000005</v>
      </c>
      <c r="AQ181" s="279">
        <v>292624.27999999997</v>
      </c>
      <c r="AR181" s="279">
        <v>281842.00000000006</v>
      </c>
      <c r="AS181" s="279">
        <v>241773.10364912287</v>
      </c>
      <c r="AT181" s="279">
        <v>242368.00000000017</v>
      </c>
      <c r="AU181" s="279">
        <v>254326.99999999997</v>
      </c>
      <c r="AV181" s="279">
        <v>282990.00000000006</v>
      </c>
      <c r="AW181" s="279">
        <v>344091.00000000006</v>
      </c>
      <c r="AX181" s="279">
        <v>379155</v>
      </c>
      <c r="AY181" s="279">
        <v>466263.15999999992</v>
      </c>
    </row>
    <row r="182" spans="1:51" s="274" customFormat="1" ht="12.75" customHeight="1" thickTop="1" x14ac:dyDescent="0.25">
      <c r="A182" s="277"/>
      <c r="B182" s="278"/>
      <c r="C182" s="277"/>
      <c r="D182" s="276"/>
      <c r="E182" s="276"/>
      <c r="F182" s="276"/>
      <c r="G182" s="276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75"/>
      <c r="S182" s="275"/>
      <c r="T182" s="275"/>
      <c r="U182" s="275"/>
      <c r="V182" s="275"/>
      <c r="W182" s="275"/>
      <c r="X182" s="275"/>
      <c r="Y182" s="275"/>
      <c r="Z182" s="275"/>
      <c r="AA182" s="275"/>
      <c r="AB182" s="275"/>
      <c r="AC182" s="275"/>
      <c r="AD182" s="275"/>
      <c r="AE182" s="275"/>
      <c r="AF182" s="275"/>
      <c r="AG182" s="275"/>
      <c r="AH182" s="275"/>
      <c r="AI182" s="275"/>
      <c r="AJ182" s="275"/>
      <c r="AK182" s="275"/>
      <c r="AL182" s="275"/>
      <c r="AM182" s="275"/>
      <c r="AN182" s="275"/>
      <c r="AO182" s="275"/>
      <c r="AP182" s="275"/>
      <c r="AQ182" s="275"/>
      <c r="AR182" s="275"/>
      <c r="AS182" s="275"/>
      <c r="AT182" s="275"/>
      <c r="AU182" s="275"/>
      <c r="AV182" s="275"/>
      <c r="AW182" s="275"/>
      <c r="AX182" s="275"/>
      <c r="AY182" s="275"/>
    </row>
  </sheetData>
  <autoFilter ref="A3:AY178" xr:uid="{8310608C-00D2-45E4-93F2-00C6C5CA4CC5}">
    <filterColumn colId="2">
      <filters>
        <filter val="UVO"/>
      </filters>
    </filterColumn>
    <sortState xmlns:xlrd2="http://schemas.microsoft.com/office/spreadsheetml/2017/richdata2" ref="A4:AY178">
      <sortCondition ref="C3"/>
    </sortState>
  </autoFilter>
  <mergeCells count="4">
    <mergeCell ref="D2:O2"/>
    <mergeCell ref="P2:AA2"/>
    <mergeCell ref="AB2:AM2"/>
    <mergeCell ref="AN2:AY2"/>
  </mergeCells>
  <conditionalFormatting sqref="A184:A190 A179:A182">
    <cfRule type="duplicateValues" dxfId="10" priority="3" stopIfTrue="1"/>
  </conditionalFormatting>
  <conditionalFormatting sqref="A168:A174">
    <cfRule type="duplicateValues" dxfId="9" priority="1" stopIfTrue="1"/>
  </conditionalFormatting>
  <conditionalFormatting sqref="A168:A174">
    <cfRule type="duplicateValues" dxfId="8" priority="2" stopIfTrue="1"/>
  </conditionalFormatting>
  <conditionalFormatting sqref="A4:A167 A175:A182">
    <cfRule type="duplicateValues" dxfId="7" priority="4" stopIfTrue="1"/>
  </conditionalFormatting>
  <printOptions horizontalCentered="1" gridLines="1"/>
  <pageMargins left="0" right="0" top="0.5" bottom="0.75" header="0.5" footer="0.5"/>
  <pageSetup paperSize="17" scale="49" fitToHeight="0" orientation="landscape" r:id="rId1"/>
  <headerFooter alignWithMargins="0">
    <oddFooter>&amp;L&amp;F&amp;CPage 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5F94-9012-48DC-9C82-A35C5731EF04}">
  <sheetPr>
    <pageSetUpPr fitToPage="1"/>
  </sheetPr>
  <dimension ref="A1:AY358"/>
  <sheetViews>
    <sheetView zoomScaleNormal="100" workbookViewId="0">
      <pane xSplit="3" topLeftCell="AH1" activePane="topRight" state="frozen"/>
      <selection activeCell="A40" sqref="A40"/>
      <selection pane="topRight" activeCell="D5" sqref="D5:AY5"/>
    </sheetView>
  </sheetViews>
  <sheetFormatPr defaultColWidth="9.109375" defaultRowHeight="13.8" x14ac:dyDescent="0.25"/>
  <cols>
    <col min="1" max="2" width="7.44140625" style="143" customWidth="1"/>
    <col min="3" max="3" width="24.88671875" style="143" customWidth="1"/>
    <col min="4" max="19" width="8.6640625" style="302" customWidth="1"/>
    <col min="20" max="27" width="8.6640625" style="301" customWidth="1"/>
    <col min="28" max="52" width="8.6640625" style="143" customWidth="1"/>
    <col min="53" max="204" width="9.109375" style="143"/>
    <col min="205" max="206" width="7.44140625" style="143" customWidth="1"/>
    <col min="207" max="207" width="32.5546875" style="143" customWidth="1"/>
    <col min="208" max="208" width="16.5546875" style="143" customWidth="1"/>
    <col min="209" max="220" width="9.109375" style="143" customWidth="1"/>
    <col min="221" max="221" width="14.44140625" style="143" customWidth="1"/>
    <col min="222" max="238" width="9.109375" style="143" customWidth="1"/>
    <col min="239" max="240" width="11.109375" style="143" customWidth="1"/>
    <col min="241" max="241" width="8.109375" style="143" customWidth="1"/>
    <col min="242" max="247" width="11.6640625" style="143" customWidth="1"/>
    <col min="248" max="253" width="10.44140625" style="143" customWidth="1"/>
    <col min="254" max="254" width="11.6640625" style="143" customWidth="1"/>
    <col min="255" max="256" width="14" style="143" customWidth="1"/>
    <col min="257" max="259" width="12.6640625" style="143" customWidth="1"/>
    <col min="260" max="260" width="13.6640625" style="143" customWidth="1"/>
    <col min="261" max="263" width="20.5546875" style="143" customWidth="1"/>
    <col min="264" max="264" width="31.33203125" style="143" bestFit="1" customWidth="1"/>
    <col min="265" max="265" width="21.44140625" style="143" customWidth="1"/>
    <col min="266" max="460" width="9.109375" style="143"/>
    <col min="461" max="462" width="7.44140625" style="143" customWidth="1"/>
    <col min="463" max="463" width="32.5546875" style="143" customWidth="1"/>
    <col min="464" max="464" width="16.5546875" style="143" customWidth="1"/>
    <col min="465" max="476" width="9.109375" style="143" customWidth="1"/>
    <col min="477" max="477" width="14.44140625" style="143" customWidth="1"/>
    <col min="478" max="494" width="9.109375" style="143" customWidth="1"/>
    <col min="495" max="496" width="11.109375" style="143" customWidth="1"/>
    <col min="497" max="497" width="8.109375" style="143" customWidth="1"/>
    <col min="498" max="503" width="11.6640625" style="143" customWidth="1"/>
    <col min="504" max="509" width="10.44140625" style="143" customWidth="1"/>
    <col min="510" max="510" width="11.6640625" style="143" customWidth="1"/>
    <col min="511" max="512" width="14" style="143" customWidth="1"/>
    <col min="513" max="515" width="12.6640625" style="143" customWidth="1"/>
    <col min="516" max="516" width="13.6640625" style="143" customWidth="1"/>
    <col min="517" max="519" width="20.5546875" style="143" customWidth="1"/>
    <col min="520" max="520" width="31.33203125" style="143" bestFit="1" customWidth="1"/>
    <col min="521" max="521" width="21.44140625" style="143" customWidth="1"/>
    <col min="522" max="716" width="9.109375" style="143"/>
    <col min="717" max="718" width="7.44140625" style="143" customWidth="1"/>
    <col min="719" max="719" width="32.5546875" style="143" customWidth="1"/>
    <col min="720" max="720" width="16.5546875" style="143" customWidth="1"/>
    <col min="721" max="732" width="9.109375" style="143" customWidth="1"/>
    <col min="733" max="733" width="14.44140625" style="143" customWidth="1"/>
    <col min="734" max="750" width="9.109375" style="143" customWidth="1"/>
    <col min="751" max="752" width="11.109375" style="143" customWidth="1"/>
    <col min="753" max="753" width="8.109375" style="143" customWidth="1"/>
    <col min="754" max="759" width="11.6640625" style="143" customWidth="1"/>
    <col min="760" max="765" width="10.44140625" style="143" customWidth="1"/>
    <col min="766" max="766" width="11.6640625" style="143" customWidth="1"/>
    <col min="767" max="768" width="14" style="143" customWidth="1"/>
    <col min="769" max="771" width="12.6640625" style="143" customWidth="1"/>
    <col min="772" max="772" width="13.6640625" style="143" customWidth="1"/>
    <col min="773" max="775" width="20.5546875" style="143" customWidth="1"/>
    <col min="776" max="776" width="31.33203125" style="143" bestFit="1" customWidth="1"/>
    <col min="777" max="777" width="21.44140625" style="143" customWidth="1"/>
    <col min="778" max="972" width="9.109375" style="143"/>
    <col min="973" max="974" width="7.44140625" style="143" customWidth="1"/>
    <col min="975" max="975" width="32.5546875" style="143" customWidth="1"/>
    <col min="976" max="976" width="16.5546875" style="143" customWidth="1"/>
    <col min="977" max="988" width="9.109375" style="143" customWidth="1"/>
    <col min="989" max="989" width="14.44140625" style="143" customWidth="1"/>
    <col min="990" max="1006" width="9.109375" style="143" customWidth="1"/>
    <col min="1007" max="1008" width="11.109375" style="143" customWidth="1"/>
    <col min="1009" max="1009" width="8.109375" style="143" customWidth="1"/>
    <col min="1010" max="1015" width="11.6640625" style="143" customWidth="1"/>
    <col min="1016" max="1021" width="10.44140625" style="143" customWidth="1"/>
    <col min="1022" max="1022" width="11.6640625" style="143" customWidth="1"/>
    <col min="1023" max="1024" width="14" style="143" customWidth="1"/>
    <col min="1025" max="1027" width="12.6640625" style="143" customWidth="1"/>
    <col min="1028" max="1028" width="13.6640625" style="143" customWidth="1"/>
    <col min="1029" max="1031" width="20.5546875" style="143" customWidth="1"/>
    <col min="1032" max="1032" width="31.33203125" style="143" bestFit="1" customWidth="1"/>
    <col min="1033" max="1033" width="21.44140625" style="143" customWidth="1"/>
    <col min="1034" max="1228" width="9.109375" style="143"/>
    <col min="1229" max="1230" width="7.44140625" style="143" customWidth="1"/>
    <col min="1231" max="1231" width="32.5546875" style="143" customWidth="1"/>
    <col min="1232" max="1232" width="16.5546875" style="143" customWidth="1"/>
    <col min="1233" max="1244" width="9.109375" style="143" customWidth="1"/>
    <col min="1245" max="1245" width="14.44140625" style="143" customWidth="1"/>
    <col min="1246" max="1262" width="9.109375" style="143" customWidth="1"/>
    <col min="1263" max="1264" width="11.109375" style="143" customWidth="1"/>
    <col min="1265" max="1265" width="8.109375" style="143" customWidth="1"/>
    <col min="1266" max="1271" width="11.6640625" style="143" customWidth="1"/>
    <col min="1272" max="1277" width="10.44140625" style="143" customWidth="1"/>
    <col min="1278" max="1278" width="11.6640625" style="143" customWidth="1"/>
    <col min="1279" max="1280" width="14" style="143" customWidth="1"/>
    <col min="1281" max="1283" width="12.6640625" style="143" customWidth="1"/>
    <col min="1284" max="1284" width="13.6640625" style="143" customWidth="1"/>
    <col min="1285" max="1287" width="20.5546875" style="143" customWidth="1"/>
    <col min="1288" max="1288" width="31.33203125" style="143" bestFit="1" customWidth="1"/>
    <col min="1289" max="1289" width="21.44140625" style="143" customWidth="1"/>
    <col min="1290" max="1484" width="9.109375" style="143"/>
    <col min="1485" max="1486" width="7.44140625" style="143" customWidth="1"/>
    <col min="1487" max="1487" width="32.5546875" style="143" customWidth="1"/>
    <col min="1488" max="1488" width="16.5546875" style="143" customWidth="1"/>
    <col min="1489" max="1500" width="9.109375" style="143" customWidth="1"/>
    <col min="1501" max="1501" width="14.44140625" style="143" customWidth="1"/>
    <col min="1502" max="1518" width="9.109375" style="143" customWidth="1"/>
    <col min="1519" max="1520" width="11.109375" style="143" customWidth="1"/>
    <col min="1521" max="1521" width="8.109375" style="143" customWidth="1"/>
    <col min="1522" max="1527" width="11.6640625" style="143" customWidth="1"/>
    <col min="1528" max="1533" width="10.44140625" style="143" customWidth="1"/>
    <col min="1534" max="1534" width="11.6640625" style="143" customWidth="1"/>
    <col min="1535" max="1536" width="14" style="143" customWidth="1"/>
    <col min="1537" max="1539" width="12.6640625" style="143" customWidth="1"/>
    <col min="1540" max="1540" width="13.6640625" style="143" customWidth="1"/>
    <col min="1541" max="1543" width="20.5546875" style="143" customWidth="1"/>
    <col min="1544" max="1544" width="31.33203125" style="143" bestFit="1" customWidth="1"/>
    <col min="1545" max="1545" width="21.44140625" style="143" customWidth="1"/>
    <col min="1546" max="1740" width="9.109375" style="143"/>
    <col min="1741" max="1742" width="7.44140625" style="143" customWidth="1"/>
    <col min="1743" max="1743" width="32.5546875" style="143" customWidth="1"/>
    <col min="1744" max="1744" width="16.5546875" style="143" customWidth="1"/>
    <col min="1745" max="1756" width="9.109375" style="143" customWidth="1"/>
    <col min="1757" max="1757" width="14.44140625" style="143" customWidth="1"/>
    <col min="1758" max="1774" width="9.109375" style="143" customWidth="1"/>
    <col min="1775" max="1776" width="11.109375" style="143" customWidth="1"/>
    <col min="1777" max="1777" width="8.109375" style="143" customWidth="1"/>
    <col min="1778" max="1783" width="11.6640625" style="143" customWidth="1"/>
    <col min="1784" max="1789" width="10.44140625" style="143" customWidth="1"/>
    <col min="1790" max="1790" width="11.6640625" style="143" customWidth="1"/>
    <col min="1791" max="1792" width="14" style="143" customWidth="1"/>
    <col min="1793" max="1795" width="12.6640625" style="143" customWidth="1"/>
    <col min="1796" max="1796" width="13.6640625" style="143" customWidth="1"/>
    <col min="1797" max="1799" width="20.5546875" style="143" customWidth="1"/>
    <col min="1800" max="1800" width="31.33203125" style="143" bestFit="1" customWidth="1"/>
    <col min="1801" max="1801" width="21.44140625" style="143" customWidth="1"/>
    <col min="1802" max="1996" width="9.109375" style="143"/>
    <col min="1997" max="1998" width="7.44140625" style="143" customWidth="1"/>
    <col min="1999" max="1999" width="32.5546875" style="143" customWidth="1"/>
    <col min="2000" max="2000" width="16.5546875" style="143" customWidth="1"/>
    <col min="2001" max="2012" width="9.109375" style="143" customWidth="1"/>
    <col min="2013" max="2013" width="14.44140625" style="143" customWidth="1"/>
    <col min="2014" max="2030" width="9.109375" style="143" customWidth="1"/>
    <col min="2031" max="2032" width="11.109375" style="143" customWidth="1"/>
    <col min="2033" max="2033" width="8.109375" style="143" customWidth="1"/>
    <col min="2034" max="2039" width="11.6640625" style="143" customWidth="1"/>
    <col min="2040" max="2045" width="10.44140625" style="143" customWidth="1"/>
    <col min="2046" max="2046" width="11.6640625" style="143" customWidth="1"/>
    <col min="2047" max="2048" width="14" style="143" customWidth="1"/>
    <col min="2049" max="2051" width="12.6640625" style="143" customWidth="1"/>
    <col min="2052" max="2052" width="13.6640625" style="143" customWidth="1"/>
    <col min="2053" max="2055" width="20.5546875" style="143" customWidth="1"/>
    <col min="2056" max="2056" width="31.33203125" style="143" bestFit="1" customWidth="1"/>
    <col min="2057" max="2057" width="21.44140625" style="143" customWidth="1"/>
    <col min="2058" max="2252" width="9.109375" style="143"/>
    <col min="2253" max="2254" width="7.44140625" style="143" customWidth="1"/>
    <col min="2255" max="2255" width="32.5546875" style="143" customWidth="1"/>
    <col min="2256" max="2256" width="16.5546875" style="143" customWidth="1"/>
    <col min="2257" max="2268" width="9.109375" style="143" customWidth="1"/>
    <col min="2269" max="2269" width="14.44140625" style="143" customWidth="1"/>
    <col min="2270" max="2286" width="9.109375" style="143" customWidth="1"/>
    <col min="2287" max="2288" width="11.109375" style="143" customWidth="1"/>
    <col min="2289" max="2289" width="8.109375" style="143" customWidth="1"/>
    <col min="2290" max="2295" width="11.6640625" style="143" customWidth="1"/>
    <col min="2296" max="2301" width="10.44140625" style="143" customWidth="1"/>
    <col min="2302" max="2302" width="11.6640625" style="143" customWidth="1"/>
    <col min="2303" max="2304" width="14" style="143" customWidth="1"/>
    <col min="2305" max="2307" width="12.6640625" style="143" customWidth="1"/>
    <col min="2308" max="2308" width="13.6640625" style="143" customWidth="1"/>
    <col min="2309" max="2311" width="20.5546875" style="143" customWidth="1"/>
    <col min="2312" max="2312" width="31.33203125" style="143" bestFit="1" customWidth="1"/>
    <col min="2313" max="2313" width="21.44140625" style="143" customWidth="1"/>
    <col min="2314" max="2508" width="9.109375" style="143"/>
    <col min="2509" max="2510" width="7.44140625" style="143" customWidth="1"/>
    <col min="2511" max="2511" width="32.5546875" style="143" customWidth="1"/>
    <col min="2512" max="2512" width="16.5546875" style="143" customWidth="1"/>
    <col min="2513" max="2524" width="9.109375" style="143" customWidth="1"/>
    <col min="2525" max="2525" width="14.44140625" style="143" customWidth="1"/>
    <col min="2526" max="2542" width="9.109375" style="143" customWidth="1"/>
    <col min="2543" max="2544" width="11.109375" style="143" customWidth="1"/>
    <col min="2545" max="2545" width="8.109375" style="143" customWidth="1"/>
    <col min="2546" max="2551" width="11.6640625" style="143" customWidth="1"/>
    <col min="2552" max="2557" width="10.44140625" style="143" customWidth="1"/>
    <col min="2558" max="2558" width="11.6640625" style="143" customWidth="1"/>
    <col min="2559" max="2560" width="14" style="143" customWidth="1"/>
    <col min="2561" max="2563" width="12.6640625" style="143" customWidth="1"/>
    <col min="2564" max="2564" width="13.6640625" style="143" customWidth="1"/>
    <col min="2565" max="2567" width="20.5546875" style="143" customWidth="1"/>
    <col min="2568" max="2568" width="31.33203125" style="143" bestFit="1" customWidth="1"/>
    <col min="2569" max="2569" width="21.44140625" style="143" customWidth="1"/>
    <col min="2570" max="2764" width="9.109375" style="143"/>
    <col min="2765" max="2766" width="7.44140625" style="143" customWidth="1"/>
    <col min="2767" max="2767" width="32.5546875" style="143" customWidth="1"/>
    <col min="2768" max="2768" width="16.5546875" style="143" customWidth="1"/>
    <col min="2769" max="2780" width="9.109375" style="143" customWidth="1"/>
    <col min="2781" max="2781" width="14.44140625" style="143" customWidth="1"/>
    <col min="2782" max="2798" width="9.109375" style="143" customWidth="1"/>
    <col min="2799" max="2800" width="11.109375" style="143" customWidth="1"/>
    <col min="2801" max="2801" width="8.109375" style="143" customWidth="1"/>
    <col min="2802" max="2807" width="11.6640625" style="143" customWidth="1"/>
    <col min="2808" max="2813" width="10.44140625" style="143" customWidth="1"/>
    <col min="2814" max="2814" width="11.6640625" style="143" customWidth="1"/>
    <col min="2815" max="2816" width="14" style="143" customWidth="1"/>
    <col min="2817" max="2819" width="12.6640625" style="143" customWidth="1"/>
    <col min="2820" max="2820" width="13.6640625" style="143" customWidth="1"/>
    <col min="2821" max="2823" width="20.5546875" style="143" customWidth="1"/>
    <col min="2824" max="2824" width="31.33203125" style="143" bestFit="1" customWidth="1"/>
    <col min="2825" max="2825" width="21.44140625" style="143" customWidth="1"/>
    <col min="2826" max="3020" width="9.109375" style="143"/>
    <col min="3021" max="3022" width="7.44140625" style="143" customWidth="1"/>
    <col min="3023" max="3023" width="32.5546875" style="143" customWidth="1"/>
    <col min="3024" max="3024" width="16.5546875" style="143" customWidth="1"/>
    <col min="3025" max="3036" width="9.109375" style="143" customWidth="1"/>
    <col min="3037" max="3037" width="14.44140625" style="143" customWidth="1"/>
    <col min="3038" max="3054" width="9.109375" style="143" customWidth="1"/>
    <col min="3055" max="3056" width="11.109375" style="143" customWidth="1"/>
    <col min="3057" max="3057" width="8.109375" style="143" customWidth="1"/>
    <col min="3058" max="3063" width="11.6640625" style="143" customWidth="1"/>
    <col min="3064" max="3069" width="10.44140625" style="143" customWidth="1"/>
    <col min="3070" max="3070" width="11.6640625" style="143" customWidth="1"/>
    <col min="3071" max="3072" width="14" style="143" customWidth="1"/>
    <col min="3073" max="3075" width="12.6640625" style="143" customWidth="1"/>
    <col min="3076" max="3076" width="13.6640625" style="143" customWidth="1"/>
    <col min="3077" max="3079" width="20.5546875" style="143" customWidth="1"/>
    <col min="3080" max="3080" width="31.33203125" style="143" bestFit="1" customWidth="1"/>
    <col min="3081" max="3081" width="21.44140625" style="143" customWidth="1"/>
    <col min="3082" max="3276" width="9.109375" style="143"/>
    <col min="3277" max="3278" width="7.44140625" style="143" customWidth="1"/>
    <col min="3279" max="3279" width="32.5546875" style="143" customWidth="1"/>
    <col min="3280" max="3280" width="16.5546875" style="143" customWidth="1"/>
    <col min="3281" max="3292" width="9.109375" style="143" customWidth="1"/>
    <col min="3293" max="3293" width="14.44140625" style="143" customWidth="1"/>
    <col min="3294" max="3310" width="9.109375" style="143" customWidth="1"/>
    <col min="3311" max="3312" width="11.109375" style="143" customWidth="1"/>
    <col min="3313" max="3313" width="8.109375" style="143" customWidth="1"/>
    <col min="3314" max="3319" width="11.6640625" style="143" customWidth="1"/>
    <col min="3320" max="3325" width="10.44140625" style="143" customWidth="1"/>
    <col min="3326" max="3326" width="11.6640625" style="143" customWidth="1"/>
    <col min="3327" max="3328" width="14" style="143" customWidth="1"/>
    <col min="3329" max="3331" width="12.6640625" style="143" customWidth="1"/>
    <col min="3332" max="3332" width="13.6640625" style="143" customWidth="1"/>
    <col min="3333" max="3335" width="20.5546875" style="143" customWidth="1"/>
    <col min="3336" max="3336" width="31.33203125" style="143" bestFit="1" customWidth="1"/>
    <col min="3337" max="3337" width="21.44140625" style="143" customWidth="1"/>
    <col min="3338" max="3532" width="9.109375" style="143"/>
    <col min="3533" max="3534" width="7.44140625" style="143" customWidth="1"/>
    <col min="3535" max="3535" width="32.5546875" style="143" customWidth="1"/>
    <col min="3536" max="3536" width="16.5546875" style="143" customWidth="1"/>
    <col min="3537" max="3548" width="9.109375" style="143" customWidth="1"/>
    <col min="3549" max="3549" width="14.44140625" style="143" customWidth="1"/>
    <col min="3550" max="3566" width="9.109375" style="143" customWidth="1"/>
    <col min="3567" max="3568" width="11.109375" style="143" customWidth="1"/>
    <col min="3569" max="3569" width="8.109375" style="143" customWidth="1"/>
    <col min="3570" max="3575" width="11.6640625" style="143" customWidth="1"/>
    <col min="3576" max="3581" width="10.44140625" style="143" customWidth="1"/>
    <col min="3582" max="3582" width="11.6640625" style="143" customWidth="1"/>
    <col min="3583" max="3584" width="14" style="143" customWidth="1"/>
    <col min="3585" max="3587" width="12.6640625" style="143" customWidth="1"/>
    <col min="3588" max="3588" width="13.6640625" style="143" customWidth="1"/>
    <col min="3589" max="3591" width="20.5546875" style="143" customWidth="1"/>
    <col min="3592" max="3592" width="31.33203125" style="143" bestFit="1" customWidth="1"/>
    <col min="3593" max="3593" width="21.44140625" style="143" customWidth="1"/>
    <col min="3594" max="3788" width="9.109375" style="143"/>
    <col min="3789" max="3790" width="7.44140625" style="143" customWidth="1"/>
    <col min="3791" max="3791" width="32.5546875" style="143" customWidth="1"/>
    <col min="3792" max="3792" width="16.5546875" style="143" customWidth="1"/>
    <col min="3793" max="3804" width="9.109375" style="143" customWidth="1"/>
    <col min="3805" max="3805" width="14.44140625" style="143" customWidth="1"/>
    <col min="3806" max="3822" width="9.109375" style="143" customWidth="1"/>
    <col min="3823" max="3824" width="11.109375" style="143" customWidth="1"/>
    <col min="3825" max="3825" width="8.109375" style="143" customWidth="1"/>
    <col min="3826" max="3831" width="11.6640625" style="143" customWidth="1"/>
    <col min="3832" max="3837" width="10.44140625" style="143" customWidth="1"/>
    <col min="3838" max="3838" width="11.6640625" style="143" customWidth="1"/>
    <col min="3839" max="3840" width="14" style="143" customWidth="1"/>
    <col min="3841" max="3843" width="12.6640625" style="143" customWidth="1"/>
    <col min="3844" max="3844" width="13.6640625" style="143" customWidth="1"/>
    <col min="3845" max="3847" width="20.5546875" style="143" customWidth="1"/>
    <col min="3848" max="3848" width="31.33203125" style="143" bestFit="1" customWidth="1"/>
    <col min="3849" max="3849" width="21.44140625" style="143" customWidth="1"/>
    <col min="3850" max="4044" width="9.109375" style="143"/>
    <col min="4045" max="4046" width="7.44140625" style="143" customWidth="1"/>
    <col min="4047" max="4047" width="32.5546875" style="143" customWidth="1"/>
    <col min="4048" max="4048" width="16.5546875" style="143" customWidth="1"/>
    <col min="4049" max="4060" width="9.109375" style="143" customWidth="1"/>
    <col min="4061" max="4061" width="14.44140625" style="143" customWidth="1"/>
    <col min="4062" max="4078" width="9.109375" style="143" customWidth="1"/>
    <col min="4079" max="4080" width="11.109375" style="143" customWidth="1"/>
    <col min="4081" max="4081" width="8.109375" style="143" customWidth="1"/>
    <col min="4082" max="4087" width="11.6640625" style="143" customWidth="1"/>
    <col min="4088" max="4093" width="10.44140625" style="143" customWidth="1"/>
    <col min="4094" max="4094" width="11.6640625" style="143" customWidth="1"/>
    <col min="4095" max="4096" width="14" style="143" customWidth="1"/>
    <col min="4097" max="4099" width="12.6640625" style="143" customWidth="1"/>
    <col min="4100" max="4100" width="13.6640625" style="143" customWidth="1"/>
    <col min="4101" max="4103" width="20.5546875" style="143" customWidth="1"/>
    <col min="4104" max="4104" width="31.33203125" style="143" bestFit="1" customWidth="1"/>
    <col min="4105" max="4105" width="21.44140625" style="143" customWidth="1"/>
    <col min="4106" max="4300" width="9.109375" style="143"/>
    <col min="4301" max="4302" width="7.44140625" style="143" customWidth="1"/>
    <col min="4303" max="4303" width="32.5546875" style="143" customWidth="1"/>
    <col min="4304" max="4304" width="16.5546875" style="143" customWidth="1"/>
    <col min="4305" max="4316" width="9.109375" style="143" customWidth="1"/>
    <col min="4317" max="4317" width="14.44140625" style="143" customWidth="1"/>
    <col min="4318" max="4334" width="9.109375" style="143" customWidth="1"/>
    <col min="4335" max="4336" width="11.109375" style="143" customWidth="1"/>
    <col min="4337" max="4337" width="8.109375" style="143" customWidth="1"/>
    <col min="4338" max="4343" width="11.6640625" style="143" customWidth="1"/>
    <col min="4344" max="4349" width="10.44140625" style="143" customWidth="1"/>
    <col min="4350" max="4350" width="11.6640625" style="143" customWidth="1"/>
    <col min="4351" max="4352" width="14" style="143" customWidth="1"/>
    <col min="4353" max="4355" width="12.6640625" style="143" customWidth="1"/>
    <col min="4356" max="4356" width="13.6640625" style="143" customWidth="1"/>
    <col min="4357" max="4359" width="20.5546875" style="143" customWidth="1"/>
    <col min="4360" max="4360" width="31.33203125" style="143" bestFit="1" customWidth="1"/>
    <col min="4361" max="4361" width="21.44140625" style="143" customWidth="1"/>
    <col min="4362" max="4556" width="9.109375" style="143"/>
    <col min="4557" max="4558" width="7.44140625" style="143" customWidth="1"/>
    <col min="4559" max="4559" width="32.5546875" style="143" customWidth="1"/>
    <col min="4560" max="4560" width="16.5546875" style="143" customWidth="1"/>
    <col min="4561" max="4572" width="9.109375" style="143" customWidth="1"/>
    <col min="4573" max="4573" width="14.44140625" style="143" customWidth="1"/>
    <col min="4574" max="4590" width="9.109375" style="143" customWidth="1"/>
    <col min="4591" max="4592" width="11.109375" style="143" customWidth="1"/>
    <col min="4593" max="4593" width="8.109375" style="143" customWidth="1"/>
    <col min="4594" max="4599" width="11.6640625" style="143" customWidth="1"/>
    <col min="4600" max="4605" width="10.44140625" style="143" customWidth="1"/>
    <col min="4606" max="4606" width="11.6640625" style="143" customWidth="1"/>
    <col min="4607" max="4608" width="14" style="143" customWidth="1"/>
    <col min="4609" max="4611" width="12.6640625" style="143" customWidth="1"/>
    <col min="4612" max="4612" width="13.6640625" style="143" customWidth="1"/>
    <col min="4613" max="4615" width="20.5546875" style="143" customWidth="1"/>
    <col min="4616" max="4616" width="31.33203125" style="143" bestFit="1" customWidth="1"/>
    <col min="4617" max="4617" width="21.44140625" style="143" customWidth="1"/>
    <col min="4618" max="4812" width="9.109375" style="143"/>
    <col min="4813" max="4814" width="7.44140625" style="143" customWidth="1"/>
    <col min="4815" max="4815" width="32.5546875" style="143" customWidth="1"/>
    <col min="4816" max="4816" width="16.5546875" style="143" customWidth="1"/>
    <col min="4817" max="4828" width="9.109375" style="143" customWidth="1"/>
    <col min="4829" max="4829" width="14.44140625" style="143" customWidth="1"/>
    <col min="4830" max="4846" width="9.109375" style="143" customWidth="1"/>
    <col min="4847" max="4848" width="11.109375" style="143" customWidth="1"/>
    <col min="4849" max="4849" width="8.109375" style="143" customWidth="1"/>
    <col min="4850" max="4855" width="11.6640625" style="143" customWidth="1"/>
    <col min="4856" max="4861" width="10.44140625" style="143" customWidth="1"/>
    <col min="4862" max="4862" width="11.6640625" style="143" customWidth="1"/>
    <col min="4863" max="4864" width="14" style="143" customWidth="1"/>
    <col min="4865" max="4867" width="12.6640625" style="143" customWidth="1"/>
    <col min="4868" max="4868" width="13.6640625" style="143" customWidth="1"/>
    <col min="4869" max="4871" width="20.5546875" style="143" customWidth="1"/>
    <col min="4872" max="4872" width="31.33203125" style="143" bestFit="1" customWidth="1"/>
    <col min="4873" max="4873" width="21.44140625" style="143" customWidth="1"/>
    <col min="4874" max="5068" width="9.109375" style="143"/>
    <col min="5069" max="5070" width="7.44140625" style="143" customWidth="1"/>
    <col min="5071" max="5071" width="32.5546875" style="143" customWidth="1"/>
    <col min="5072" max="5072" width="16.5546875" style="143" customWidth="1"/>
    <col min="5073" max="5084" width="9.109375" style="143" customWidth="1"/>
    <col min="5085" max="5085" width="14.44140625" style="143" customWidth="1"/>
    <col min="5086" max="5102" width="9.109375" style="143" customWidth="1"/>
    <col min="5103" max="5104" width="11.109375" style="143" customWidth="1"/>
    <col min="5105" max="5105" width="8.109375" style="143" customWidth="1"/>
    <col min="5106" max="5111" width="11.6640625" style="143" customWidth="1"/>
    <col min="5112" max="5117" width="10.44140625" style="143" customWidth="1"/>
    <col min="5118" max="5118" width="11.6640625" style="143" customWidth="1"/>
    <col min="5119" max="5120" width="14" style="143" customWidth="1"/>
    <col min="5121" max="5123" width="12.6640625" style="143" customWidth="1"/>
    <col min="5124" max="5124" width="13.6640625" style="143" customWidth="1"/>
    <col min="5125" max="5127" width="20.5546875" style="143" customWidth="1"/>
    <col min="5128" max="5128" width="31.33203125" style="143" bestFit="1" customWidth="1"/>
    <col min="5129" max="5129" width="21.44140625" style="143" customWidth="1"/>
    <col min="5130" max="5324" width="9.109375" style="143"/>
    <col min="5325" max="5326" width="7.44140625" style="143" customWidth="1"/>
    <col min="5327" max="5327" width="32.5546875" style="143" customWidth="1"/>
    <col min="5328" max="5328" width="16.5546875" style="143" customWidth="1"/>
    <col min="5329" max="5340" width="9.109375" style="143" customWidth="1"/>
    <col min="5341" max="5341" width="14.44140625" style="143" customWidth="1"/>
    <col min="5342" max="5358" width="9.109375" style="143" customWidth="1"/>
    <col min="5359" max="5360" width="11.109375" style="143" customWidth="1"/>
    <col min="5361" max="5361" width="8.109375" style="143" customWidth="1"/>
    <col min="5362" max="5367" width="11.6640625" style="143" customWidth="1"/>
    <col min="5368" max="5373" width="10.44140625" style="143" customWidth="1"/>
    <col min="5374" max="5374" width="11.6640625" style="143" customWidth="1"/>
    <col min="5375" max="5376" width="14" style="143" customWidth="1"/>
    <col min="5377" max="5379" width="12.6640625" style="143" customWidth="1"/>
    <col min="5380" max="5380" width="13.6640625" style="143" customWidth="1"/>
    <col min="5381" max="5383" width="20.5546875" style="143" customWidth="1"/>
    <col min="5384" max="5384" width="31.33203125" style="143" bestFit="1" customWidth="1"/>
    <col min="5385" max="5385" width="21.44140625" style="143" customWidth="1"/>
    <col min="5386" max="5580" width="9.109375" style="143"/>
    <col min="5581" max="5582" width="7.44140625" style="143" customWidth="1"/>
    <col min="5583" max="5583" width="32.5546875" style="143" customWidth="1"/>
    <col min="5584" max="5584" width="16.5546875" style="143" customWidth="1"/>
    <col min="5585" max="5596" width="9.109375" style="143" customWidth="1"/>
    <col min="5597" max="5597" width="14.44140625" style="143" customWidth="1"/>
    <col min="5598" max="5614" width="9.109375" style="143" customWidth="1"/>
    <col min="5615" max="5616" width="11.109375" style="143" customWidth="1"/>
    <col min="5617" max="5617" width="8.109375" style="143" customWidth="1"/>
    <col min="5618" max="5623" width="11.6640625" style="143" customWidth="1"/>
    <col min="5624" max="5629" width="10.44140625" style="143" customWidth="1"/>
    <col min="5630" max="5630" width="11.6640625" style="143" customWidth="1"/>
    <col min="5631" max="5632" width="14" style="143" customWidth="1"/>
    <col min="5633" max="5635" width="12.6640625" style="143" customWidth="1"/>
    <col min="5636" max="5636" width="13.6640625" style="143" customWidth="1"/>
    <col min="5637" max="5639" width="20.5546875" style="143" customWidth="1"/>
    <col min="5640" max="5640" width="31.33203125" style="143" bestFit="1" customWidth="1"/>
    <col min="5641" max="5641" width="21.44140625" style="143" customWidth="1"/>
    <col min="5642" max="5836" width="9.109375" style="143"/>
    <col min="5837" max="5838" width="7.44140625" style="143" customWidth="1"/>
    <col min="5839" max="5839" width="32.5546875" style="143" customWidth="1"/>
    <col min="5840" max="5840" width="16.5546875" style="143" customWidth="1"/>
    <col min="5841" max="5852" width="9.109375" style="143" customWidth="1"/>
    <col min="5853" max="5853" width="14.44140625" style="143" customWidth="1"/>
    <col min="5854" max="5870" width="9.109375" style="143" customWidth="1"/>
    <col min="5871" max="5872" width="11.109375" style="143" customWidth="1"/>
    <col min="5873" max="5873" width="8.109375" style="143" customWidth="1"/>
    <col min="5874" max="5879" width="11.6640625" style="143" customWidth="1"/>
    <col min="5880" max="5885" width="10.44140625" style="143" customWidth="1"/>
    <col min="5886" max="5886" width="11.6640625" style="143" customWidth="1"/>
    <col min="5887" max="5888" width="14" style="143" customWidth="1"/>
    <col min="5889" max="5891" width="12.6640625" style="143" customWidth="1"/>
    <col min="5892" max="5892" width="13.6640625" style="143" customWidth="1"/>
    <col min="5893" max="5895" width="20.5546875" style="143" customWidth="1"/>
    <col min="5896" max="5896" width="31.33203125" style="143" bestFit="1" customWidth="1"/>
    <col min="5897" max="5897" width="21.44140625" style="143" customWidth="1"/>
    <col min="5898" max="6092" width="9.109375" style="143"/>
    <col min="6093" max="6094" width="7.44140625" style="143" customWidth="1"/>
    <col min="6095" max="6095" width="32.5546875" style="143" customWidth="1"/>
    <col min="6096" max="6096" width="16.5546875" style="143" customWidth="1"/>
    <col min="6097" max="6108" width="9.109375" style="143" customWidth="1"/>
    <col min="6109" max="6109" width="14.44140625" style="143" customWidth="1"/>
    <col min="6110" max="6126" width="9.109375" style="143" customWidth="1"/>
    <col min="6127" max="6128" width="11.109375" style="143" customWidth="1"/>
    <col min="6129" max="6129" width="8.109375" style="143" customWidth="1"/>
    <col min="6130" max="6135" width="11.6640625" style="143" customWidth="1"/>
    <col min="6136" max="6141" width="10.44140625" style="143" customWidth="1"/>
    <col min="6142" max="6142" width="11.6640625" style="143" customWidth="1"/>
    <col min="6143" max="6144" width="14" style="143" customWidth="1"/>
    <col min="6145" max="6147" width="12.6640625" style="143" customWidth="1"/>
    <col min="6148" max="6148" width="13.6640625" style="143" customWidth="1"/>
    <col min="6149" max="6151" width="20.5546875" style="143" customWidth="1"/>
    <col min="6152" max="6152" width="31.33203125" style="143" bestFit="1" customWidth="1"/>
    <col min="6153" max="6153" width="21.44140625" style="143" customWidth="1"/>
    <col min="6154" max="6348" width="9.109375" style="143"/>
    <col min="6349" max="6350" width="7.44140625" style="143" customWidth="1"/>
    <col min="6351" max="6351" width="32.5546875" style="143" customWidth="1"/>
    <col min="6352" max="6352" width="16.5546875" style="143" customWidth="1"/>
    <col min="6353" max="6364" width="9.109375" style="143" customWidth="1"/>
    <col min="6365" max="6365" width="14.44140625" style="143" customWidth="1"/>
    <col min="6366" max="6382" width="9.109375" style="143" customWidth="1"/>
    <col min="6383" max="6384" width="11.109375" style="143" customWidth="1"/>
    <col min="6385" max="6385" width="8.109375" style="143" customWidth="1"/>
    <col min="6386" max="6391" width="11.6640625" style="143" customWidth="1"/>
    <col min="6392" max="6397" width="10.44140625" style="143" customWidth="1"/>
    <col min="6398" max="6398" width="11.6640625" style="143" customWidth="1"/>
    <col min="6399" max="6400" width="14" style="143" customWidth="1"/>
    <col min="6401" max="6403" width="12.6640625" style="143" customWidth="1"/>
    <col min="6404" max="6404" width="13.6640625" style="143" customWidth="1"/>
    <col min="6405" max="6407" width="20.5546875" style="143" customWidth="1"/>
    <col min="6408" max="6408" width="31.33203125" style="143" bestFit="1" customWidth="1"/>
    <col min="6409" max="6409" width="21.44140625" style="143" customWidth="1"/>
    <col min="6410" max="6604" width="9.109375" style="143"/>
    <col min="6605" max="6606" width="7.44140625" style="143" customWidth="1"/>
    <col min="6607" max="6607" width="32.5546875" style="143" customWidth="1"/>
    <col min="6608" max="6608" width="16.5546875" style="143" customWidth="1"/>
    <col min="6609" max="6620" width="9.109375" style="143" customWidth="1"/>
    <col min="6621" max="6621" width="14.44140625" style="143" customWidth="1"/>
    <col min="6622" max="6638" width="9.109375" style="143" customWidth="1"/>
    <col min="6639" max="6640" width="11.109375" style="143" customWidth="1"/>
    <col min="6641" max="6641" width="8.109375" style="143" customWidth="1"/>
    <col min="6642" max="6647" width="11.6640625" style="143" customWidth="1"/>
    <col min="6648" max="6653" width="10.44140625" style="143" customWidth="1"/>
    <col min="6654" max="6654" width="11.6640625" style="143" customWidth="1"/>
    <col min="6655" max="6656" width="14" style="143" customWidth="1"/>
    <col min="6657" max="6659" width="12.6640625" style="143" customWidth="1"/>
    <col min="6660" max="6660" width="13.6640625" style="143" customWidth="1"/>
    <col min="6661" max="6663" width="20.5546875" style="143" customWidth="1"/>
    <col min="6664" max="6664" width="31.33203125" style="143" bestFit="1" customWidth="1"/>
    <col min="6665" max="6665" width="21.44140625" style="143" customWidth="1"/>
    <col min="6666" max="6860" width="9.109375" style="143"/>
    <col min="6861" max="6862" width="7.44140625" style="143" customWidth="1"/>
    <col min="6863" max="6863" width="32.5546875" style="143" customWidth="1"/>
    <col min="6864" max="6864" width="16.5546875" style="143" customWidth="1"/>
    <col min="6865" max="6876" width="9.109375" style="143" customWidth="1"/>
    <col min="6877" max="6877" width="14.44140625" style="143" customWidth="1"/>
    <col min="6878" max="6894" width="9.109375" style="143" customWidth="1"/>
    <col min="6895" max="6896" width="11.109375" style="143" customWidth="1"/>
    <col min="6897" max="6897" width="8.109375" style="143" customWidth="1"/>
    <col min="6898" max="6903" width="11.6640625" style="143" customWidth="1"/>
    <col min="6904" max="6909" width="10.44140625" style="143" customWidth="1"/>
    <col min="6910" max="6910" width="11.6640625" style="143" customWidth="1"/>
    <col min="6911" max="6912" width="14" style="143" customWidth="1"/>
    <col min="6913" max="6915" width="12.6640625" style="143" customWidth="1"/>
    <col min="6916" max="6916" width="13.6640625" style="143" customWidth="1"/>
    <col min="6917" max="6919" width="20.5546875" style="143" customWidth="1"/>
    <col min="6920" max="6920" width="31.33203125" style="143" bestFit="1" customWidth="1"/>
    <col min="6921" max="6921" width="21.44140625" style="143" customWidth="1"/>
    <col min="6922" max="7116" width="9.109375" style="143"/>
    <col min="7117" max="7118" width="7.44140625" style="143" customWidth="1"/>
    <col min="7119" max="7119" width="32.5546875" style="143" customWidth="1"/>
    <col min="7120" max="7120" width="16.5546875" style="143" customWidth="1"/>
    <col min="7121" max="7132" width="9.109375" style="143" customWidth="1"/>
    <col min="7133" max="7133" width="14.44140625" style="143" customWidth="1"/>
    <col min="7134" max="7150" width="9.109375" style="143" customWidth="1"/>
    <col min="7151" max="7152" width="11.109375" style="143" customWidth="1"/>
    <col min="7153" max="7153" width="8.109375" style="143" customWidth="1"/>
    <col min="7154" max="7159" width="11.6640625" style="143" customWidth="1"/>
    <col min="7160" max="7165" width="10.44140625" style="143" customWidth="1"/>
    <col min="7166" max="7166" width="11.6640625" style="143" customWidth="1"/>
    <col min="7167" max="7168" width="14" style="143" customWidth="1"/>
    <col min="7169" max="7171" width="12.6640625" style="143" customWidth="1"/>
    <col min="7172" max="7172" width="13.6640625" style="143" customWidth="1"/>
    <col min="7173" max="7175" width="20.5546875" style="143" customWidth="1"/>
    <col min="7176" max="7176" width="31.33203125" style="143" bestFit="1" customWidth="1"/>
    <col min="7177" max="7177" width="21.44140625" style="143" customWidth="1"/>
    <col min="7178" max="7372" width="9.109375" style="143"/>
    <col min="7373" max="7374" width="7.44140625" style="143" customWidth="1"/>
    <col min="7375" max="7375" width="32.5546875" style="143" customWidth="1"/>
    <col min="7376" max="7376" width="16.5546875" style="143" customWidth="1"/>
    <col min="7377" max="7388" width="9.109375" style="143" customWidth="1"/>
    <col min="7389" max="7389" width="14.44140625" style="143" customWidth="1"/>
    <col min="7390" max="7406" width="9.109375" style="143" customWidth="1"/>
    <col min="7407" max="7408" width="11.109375" style="143" customWidth="1"/>
    <col min="7409" max="7409" width="8.109375" style="143" customWidth="1"/>
    <col min="7410" max="7415" width="11.6640625" style="143" customWidth="1"/>
    <col min="7416" max="7421" width="10.44140625" style="143" customWidth="1"/>
    <col min="7422" max="7422" width="11.6640625" style="143" customWidth="1"/>
    <col min="7423" max="7424" width="14" style="143" customWidth="1"/>
    <col min="7425" max="7427" width="12.6640625" style="143" customWidth="1"/>
    <col min="7428" max="7428" width="13.6640625" style="143" customWidth="1"/>
    <col min="7429" max="7431" width="20.5546875" style="143" customWidth="1"/>
    <col min="7432" max="7432" width="31.33203125" style="143" bestFit="1" customWidth="1"/>
    <col min="7433" max="7433" width="21.44140625" style="143" customWidth="1"/>
    <col min="7434" max="7628" width="9.109375" style="143"/>
    <col min="7629" max="7630" width="7.44140625" style="143" customWidth="1"/>
    <col min="7631" max="7631" width="32.5546875" style="143" customWidth="1"/>
    <col min="7632" max="7632" width="16.5546875" style="143" customWidth="1"/>
    <col min="7633" max="7644" width="9.109375" style="143" customWidth="1"/>
    <col min="7645" max="7645" width="14.44140625" style="143" customWidth="1"/>
    <col min="7646" max="7662" width="9.109375" style="143" customWidth="1"/>
    <col min="7663" max="7664" width="11.109375" style="143" customWidth="1"/>
    <col min="7665" max="7665" width="8.109375" style="143" customWidth="1"/>
    <col min="7666" max="7671" width="11.6640625" style="143" customWidth="1"/>
    <col min="7672" max="7677" width="10.44140625" style="143" customWidth="1"/>
    <col min="7678" max="7678" width="11.6640625" style="143" customWidth="1"/>
    <col min="7679" max="7680" width="14" style="143" customWidth="1"/>
    <col min="7681" max="7683" width="12.6640625" style="143" customWidth="1"/>
    <col min="7684" max="7684" width="13.6640625" style="143" customWidth="1"/>
    <col min="7685" max="7687" width="20.5546875" style="143" customWidth="1"/>
    <col min="7688" max="7688" width="31.33203125" style="143" bestFit="1" customWidth="1"/>
    <col min="7689" max="7689" width="21.44140625" style="143" customWidth="1"/>
    <col min="7690" max="7884" width="9.109375" style="143"/>
    <col min="7885" max="7886" width="7.44140625" style="143" customWidth="1"/>
    <col min="7887" max="7887" width="32.5546875" style="143" customWidth="1"/>
    <col min="7888" max="7888" width="16.5546875" style="143" customWidth="1"/>
    <col min="7889" max="7900" width="9.109375" style="143" customWidth="1"/>
    <col min="7901" max="7901" width="14.44140625" style="143" customWidth="1"/>
    <col min="7902" max="7918" width="9.109375" style="143" customWidth="1"/>
    <col min="7919" max="7920" width="11.109375" style="143" customWidth="1"/>
    <col min="7921" max="7921" width="8.109375" style="143" customWidth="1"/>
    <col min="7922" max="7927" width="11.6640625" style="143" customWidth="1"/>
    <col min="7928" max="7933" width="10.44140625" style="143" customWidth="1"/>
    <col min="7934" max="7934" width="11.6640625" style="143" customWidth="1"/>
    <col min="7935" max="7936" width="14" style="143" customWidth="1"/>
    <col min="7937" max="7939" width="12.6640625" style="143" customWidth="1"/>
    <col min="7940" max="7940" width="13.6640625" style="143" customWidth="1"/>
    <col min="7941" max="7943" width="20.5546875" style="143" customWidth="1"/>
    <col min="7944" max="7944" width="31.33203125" style="143" bestFit="1" customWidth="1"/>
    <col min="7945" max="7945" width="21.44140625" style="143" customWidth="1"/>
    <col min="7946" max="8140" width="9.109375" style="143"/>
    <col min="8141" max="8142" width="7.44140625" style="143" customWidth="1"/>
    <col min="8143" max="8143" width="32.5546875" style="143" customWidth="1"/>
    <col min="8144" max="8144" width="16.5546875" style="143" customWidth="1"/>
    <col min="8145" max="8156" width="9.109375" style="143" customWidth="1"/>
    <col min="8157" max="8157" width="14.44140625" style="143" customWidth="1"/>
    <col min="8158" max="8174" width="9.109375" style="143" customWidth="1"/>
    <col min="8175" max="8176" width="11.109375" style="143" customWidth="1"/>
    <col min="8177" max="8177" width="8.109375" style="143" customWidth="1"/>
    <col min="8178" max="8183" width="11.6640625" style="143" customWidth="1"/>
    <col min="8184" max="8189" width="10.44140625" style="143" customWidth="1"/>
    <col min="8190" max="8190" width="11.6640625" style="143" customWidth="1"/>
    <col min="8191" max="8192" width="14" style="143" customWidth="1"/>
    <col min="8193" max="8195" width="12.6640625" style="143" customWidth="1"/>
    <col min="8196" max="8196" width="13.6640625" style="143" customWidth="1"/>
    <col min="8197" max="8199" width="20.5546875" style="143" customWidth="1"/>
    <col min="8200" max="8200" width="31.33203125" style="143" bestFit="1" customWidth="1"/>
    <col min="8201" max="8201" width="21.44140625" style="143" customWidth="1"/>
    <col min="8202" max="8396" width="9.109375" style="143"/>
    <col min="8397" max="8398" width="7.44140625" style="143" customWidth="1"/>
    <col min="8399" max="8399" width="32.5546875" style="143" customWidth="1"/>
    <col min="8400" max="8400" width="16.5546875" style="143" customWidth="1"/>
    <col min="8401" max="8412" width="9.109375" style="143" customWidth="1"/>
    <col min="8413" max="8413" width="14.44140625" style="143" customWidth="1"/>
    <col min="8414" max="8430" width="9.109375" style="143" customWidth="1"/>
    <col min="8431" max="8432" width="11.109375" style="143" customWidth="1"/>
    <col min="8433" max="8433" width="8.109375" style="143" customWidth="1"/>
    <col min="8434" max="8439" width="11.6640625" style="143" customWidth="1"/>
    <col min="8440" max="8445" width="10.44140625" style="143" customWidth="1"/>
    <col min="8446" max="8446" width="11.6640625" style="143" customWidth="1"/>
    <col min="8447" max="8448" width="14" style="143" customWidth="1"/>
    <col min="8449" max="8451" width="12.6640625" style="143" customWidth="1"/>
    <col min="8452" max="8452" width="13.6640625" style="143" customWidth="1"/>
    <col min="8453" max="8455" width="20.5546875" style="143" customWidth="1"/>
    <col min="8456" max="8456" width="31.33203125" style="143" bestFit="1" customWidth="1"/>
    <col min="8457" max="8457" width="21.44140625" style="143" customWidth="1"/>
    <col min="8458" max="8652" width="9.109375" style="143"/>
    <col min="8653" max="8654" width="7.44140625" style="143" customWidth="1"/>
    <col min="8655" max="8655" width="32.5546875" style="143" customWidth="1"/>
    <col min="8656" max="8656" width="16.5546875" style="143" customWidth="1"/>
    <col min="8657" max="8668" width="9.109375" style="143" customWidth="1"/>
    <col min="8669" max="8669" width="14.44140625" style="143" customWidth="1"/>
    <col min="8670" max="8686" width="9.109375" style="143" customWidth="1"/>
    <col min="8687" max="8688" width="11.109375" style="143" customWidth="1"/>
    <col min="8689" max="8689" width="8.109375" style="143" customWidth="1"/>
    <col min="8690" max="8695" width="11.6640625" style="143" customWidth="1"/>
    <col min="8696" max="8701" width="10.44140625" style="143" customWidth="1"/>
    <col min="8702" max="8702" width="11.6640625" style="143" customWidth="1"/>
    <col min="8703" max="8704" width="14" style="143" customWidth="1"/>
    <col min="8705" max="8707" width="12.6640625" style="143" customWidth="1"/>
    <col min="8708" max="8708" width="13.6640625" style="143" customWidth="1"/>
    <col min="8709" max="8711" width="20.5546875" style="143" customWidth="1"/>
    <col min="8712" max="8712" width="31.33203125" style="143" bestFit="1" customWidth="1"/>
    <col min="8713" max="8713" width="21.44140625" style="143" customWidth="1"/>
    <col min="8714" max="8908" width="9.109375" style="143"/>
    <col min="8909" max="8910" width="7.44140625" style="143" customWidth="1"/>
    <col min="8911" max="8911" width="32.5546875" style="143" customWidth="1"/>
    <col min="8912" max="8912" width="16.5546875" style="143" customWidth="1"/>
    <col min="8913" max="8924" width="9.109375" style="143" customWidth="1"/>
    <col min="8925" max="8925" width="14.44140625" style="143" customWidth="1"/>
    <col min="8926" max="8942" width="9.109375" style="143" customWidth="1"/>
    <col min="8943" max="8944" width="11.109375" style="143" customWidth="1"/>
    <col min="8945" max="8945" width="8.109375" style="143" customWidth="1"/>
    <col min="8946" max="8951" width="11.6640625" style="143" customWidth="1"/>
    <col min="8952" max="8957" width="10.44140625" style="143" customWidth="1"/>
    <col min="8958" max="8958" width="11.6640625" style="143" customWidth="1"/>
    <col min="8959" max="8960" width="14" style="143" customWidth="1"/>
    <col min="8961" max="8963" width="12.6640625" style="143" customWidth="1"/>
    <col min="8964" max="8964" width="13.6640625" style="143" customWidth="1"/>
    <col min="8965" max="8967" width="20.5546875" style="143" customWidth="1"/>
    <col min="8968" max="8968" width="31.33203125" style="143" bestFit="1" customWidth="1"/>
    <col min="8969" max="8969" width="21.44140625" style="143" customWidth="1"/>
    <col min="8970" max="9164" width="9.109375" style="143"/>
    <col min="9165" max="9166" width="7.44140625" style="143" customWidth="1"/>
    <col min="9167" max="9167" width="32.5546875" style="143" customWidth="1"/>
    <col min="9168" max="9168" width="16.5546875" style="143" customWidth="1"/>
    <col min="9169" max="9180" width="9.109375" style="143" customWidth="1"/>
    <col min="9181" max="9181" width="14.44140625" style="143" customWidth="1"/>
    <col min="9182" max="9198" width="9.109375" style="143" customWidth="1"/>
    <col min="9199" max="9200" width="11.109375" style="143" customWidth="1"/>
    <col min="9201" max="9201" width="8.109375" style="143" customWidth="1"/>
    <col min="9202" max="9207" width="11.6640625" style="143" customWidth="1"/>
    <col min="9208" max="9213" width="10.44140625" style="143" customWidth="1"/>
    <col min="9214" max="9214" width="11.6640625" style="143" customWidth="1"/>
    <col min="9215" max="9216" width="14" style="143" customWidth="1"/>
    <col min="9217" max="9219" width="12.6640625" style="143" customWidth="1"/>
    <col min="9220" max="9220" width="13.6640625" style="143" customWidth="1"/>
    <col min="9221" max="9223" width="20.5546875" style="143" customWidth="1"/>
    <col min="9224" max="9224" width="31.33203125" style="143" bestFit="1" customWidth="1"/>
    <col min="9225" max="9225" width="21.44140625" style="143" customWidth="1"/>
    <col min="9226" max="9420" width="9.109375" style="143"/>
    <col min="9421" max="9422" width="7.44140625" style="143" customWidth="1"/>
    <col min="9423" max="9423" width="32.5546875" style="143" customWidth="1"/>
    <col min="9424" max="9424" width="16.5546875" style="143" customWidth="1"/>
    <col min="9425" max="9436" width="9.109375" style="143" customWidth="1"/>
    <col min="9437" max="9437" width="14.44140625" style="143" customWidth="1"/>
    <col min="9438" max="9454" width="9.109375" style="143" customWidth="1"/>
    <col min="9455" max="9456" width="11.109375" style="143" customWidth="1"/>
    <col min="9457" max="9457" width="8.109375" style="143" customWidth="1"/>
    <col min="9458" max="9463" width="11.6640625" style="143" customWidth="1"/>
    <col min="9464" max="9469" width="10.44140625" style="143" customWidth="1"/>
    <col min="9470" max="9470" width="11.6640625" style="143" customWidth="1"/>
    <col min="9471" max="9472" width="14" style="143" customWidth="1"/>
    <col min="9473" max="9475" width="12.6640625" style="143" customWidth="1"/>
    <col min="9476" max="9476" width="13.6640625" style="143" customWidth="1"/>
    <col min="9477" max="9479" width="20.5546875" style="143" customWidth="1"/>
    <col min="9480" max="9480" width="31.33203125" style="143" bestFit="1" customWidth="1"/>
    <col min="9481" max="9481" width="21.44140625" style="143" customWidth="1"/>
    <col min="9482" max="9676" width="9.109375" style="143"/>
    <col min="9677" max="9678" width="7.44140625" style="143" customWidth="1"/>
    <col min="9679" max="9679" width="32.5546875" style="143" customWidth="1"/>
    <col min="9680" max="9680" width="16.5546875" style="143" customWidth="1"/>
    <col min="9681" max="9692" width="9.109375" style="143" customWidth="1"/>
    <col min="9693" max="9693" width="14.44140625" style="143" customWidth="1"/>
    <col min="9694" max="9710" width="9.109375" style="143" customWidth="1"/>
    <col min="9711" max="9712" width="11.109375" style="143" customWidth="1"/>
    <col min="9713" max="9713" width="8.109375" style="143" customWidth="1"/>
    <col min="9714" max="9719" width="11.6640625" style="143" customWidth="1"/>
    <col min="9720" max="9725" width="10.44140625" style="143" customWidth="1"/>
    <col min="9726" max="9726" width="11.6640625" style="143" customWidth="1"/>
    <col min="9727" max="9728" width="14" style="143" customWidth="1"/>
    <col min="9729" max="9731" width="12.6640625" style="143" customWidth="1"/>
    <col min="9732" max="9732" width="13.6640625" style="143" customWidth="1"/>
    <col min="9733" max="9735" width="20.5546875" style="143" customWidth="1"/>
    <col min="9736" max="9736" width="31.33203125" style="143" bestFit="1" customWidth="1"/>
    <col min="9737" max="9737" width="21.44140625" style="143" customWidth="1"/>
    <col min="9738" max="9932" width="9.109375" style="143"/>
    <col min="9933" max="9934" width="7.44140625" style="143" customWidth="1"/>
    <col min="9935" max="9935" width="32.5546875" style="143" customWidth="1"/>
    <col min="9936" max="9936" width="16.5546875" style="143" customWidth="1"/>
    <col min="9937" max="9948" width="9.109375" style="143" customWidth="1"/>
    <col min="9949" max="9949" width="14.44140625" style="143" customWidth="1"/>
    <col min="9950" max="9966" width="9.109375" style="143" customWidth="1"/>
    <col min="9967" max="9968" width="11.109375" style="143" customWidth="1"/>
    <col min="9969" max="9969" width="8.109375" style="143" customWidth="1"/>
    <col min="9970" max="9975" width="11.6640625" style="143" customWidth="1"/>
    <col min="9976" max="9981" width="10.44140625" style="143" customWidth="1"/>
    <col min="9982" max="9982" width="11.6640625" style="143" customWidth="1"/>
    <col min="9983" max="9984" width="14" style="143" customWidth="1"/>
    <col min="9985" max="9987" width="12.6640625" style="143" customWidth="1"/>
    <col min="9988" max="9988" width="13.6640625" style="143" customWidth="1"/>
    <col min="9989" max="9991" width="20.5546875" style="143" customWidth="1"/>
    <col min="9992" max="9992" width="31.33203125" style="143" bestFit="1" customWidth="1"/>
    <col min="9993" max="9993" width="21.44140625" style="143" customWidth="1"/>
    <col min="9994" max="10188" width="9.109375" style="143"/>
    <col min="10189" max="10190" width="7.44140625" style="143" customWidth="1"/>
    <col min="10191" max="10191" width="32.5546875" style="143" customWidth="1"/>
    <col min="10192" max="10192" width="16.5546875" style="143" customWidth="1"/>
    <col min="10193" max="10204" width="9.109375" style="143" customWidth="1"/>
    <col min="10205" max="10205" width="14.44140625" style="143" customWidth="1"/>
    <col min="10206" max="10222" width="9.109375" style="143" customWidth="1"/>
    <col min="10223" max="10224" width="11.109375" style="143" customWidth="1"/>
    <col min="10225" max="10225" width="8.109375" style="143" customWidth="1"/>
    <col min="10226" max="10231" width="11.6640625" style="143" customWidth="1"/>
    <col min="10232" max="10237" width="10.44140625" style="143" customWidth="1"/>
    <col min="10238" max="10238" width="11.6640625" style="143" customWidth="1"/>
    <col min="10239" max="10240" width="14" style="143" customWidth="1"/>
    <col min="10241" max="10243" width="12.6640625" style="143" customWidth="1"/>
    <col min="10244" max="10244" width="13.6640625" style="143" customWidth="1"/>
    <col min="10245" max="10247" width="20.5546875" style="143" customWidth="1"/>
    <col min="10248" max="10248" width="31.33203125" style="143" bestFit="1" customWidth="1"/>
    <col min="10249" max="10249" width="21.44140625" style="143" customWidth="1"/>
    <col min="10250" max="10444" width="9.109375" style="143"/>
    <col min="10445" max="10446" width="7.44140625" style="143" customWidth="1"/>
    <col min="10447" max="10447" width="32.5546875" style="143" customWidth="1"/>
    <col min="10448" max="10448" width="16.5546875" style="143" customWidth="1"/>
    <col min="10449" max="10460" width="9.109375" style="143" customWidth="1"/>
    <col min="10461" max="10461" width="14.44140625" style="143" customWidth="1"/>
    <col min="10462" max="10478" width="9.109375" style="143" customWidth="1"/>
    <col min="10479" max="10480" width="11.109375" style="143" customWidth="1"/>
    <col min="10481" max="10481" width="8.109375" style="143" customWidth="1"/>
    <col min="10482" max="10487" width="11.6640625" style="143" customWidth="1"/>
    <col min="10488" max="10493" width="10.44140625" style="143" customWidth="1"/>
    <col min="10494" max="10494" width="11.6640625" style="143" customWidth="1"/>
    <col min="10495" max="10496" width="14" style="143" customWidth="1"/>
    <col min="10497" max="10499" width="12.6640625" style="143" customWidth="1"/>
    <col min="10500" max="10500" width="13.6640625" style="143" customWidth="1"/>
    <col min="10501" max="10503" width="20.5546875" style="143" customWidth="1"/>
    <col min="10504" max="10504" width="31.33203125" style="143" bestFit="1" customWidth="1"/>
    <col min="10505" max="10505" width="21.44140625" style="143" customWidth="1"/>
    <col min="10506" max="10700" width="9.109375" style="143"/>
    <col min="10701" max="10702" width="7.44140625" style="143" customWidth="1"/>
    <col min="10703" max="10703" width="32.5546875" style="143" customWidth="1"/>
    <col min="10704" max="10704" width="16.5546875" style="143" customWidth="1"/>
    <col min="10705" max="10716" width="9.109375" style="143" customWidth="1"/>
    <col min="10717" max="10717" width="14.44140625" style="143" customWidth="1"/>
    <col min="10718" max="10734" width="9.109375" style="143" customWidth="1"/>
    <col min="10735" max="10736" width="11.109375" style="143" customWidth="1"/>
    <col min="10737" max="10737" width="8.109375" style="143" customWidth="1"/>
    <col min="10738" max="10743" width="11.6640625" style="143" customWidth="1"/>
    <col min="10744" max="10749" width="10.44140625" style="143" customWidth="1"/>
    <col min="10750" max="10750" width="11.6640625" style="143" customWidth="1"/>
    <col min="10751" max="10752" width="14" style="143" customWidth="1"/>
    <col min="10753" max="10755" width="12.6640625" style="143" customWidth="1"/>
    <col min="10756" max="10756" width="13.6640625" style="143" customWidth="1"/>
    <col min="10757" max="10759" width="20.5546875" style="143" customWidth="1"/>
    <col min="10760" max="10760" width="31.33203125" style="143" bestFit="1" customWidth="1"/>
    <col min="10761" max="10761" width="21.44140625" style="143" customWidth="1"/>
    <col min="10762" max="10956" width="9.109375" style="143"/>
    <col min="10957" max="10958" width="7.44140625" style="143" customWidth="1"/>
    <col min="10959" max="10959" width="32.5546875" style="143" customWidth="1"/>
    <col min="10960" max="10960" width="16.5546875" style="143" customWidth="1"/>
    <col min="10961" max="10972" width="9.109375" style="143" customWidth="1"/>
    <col min="10973" max="10973" width="14.44140625" style="143" customWidth="1"/>
    <col min="10974" max="10990" width="9.109375" style="143" customWidth="1"/>
    <col min="10991" max="10992" width="11.109375" style="143" customWidth="1"/>
    <col min="10993" max="10993" width="8.109375" style="143" customWidth="1"/>
    <col min="10994" max="10999" width="11.6640625" style="143" customWidth="1"/>
    <col min="11000" max="11005" width="10.44140625" style="143" customWidth="1"/>
    <col min="11006" max="11006" width="11.6640625" style="143" customWidth="1"/>
    <col min="11007" max="11008" width="14" style="143" customWidth="1"/>
    <col min="11009" max="11011" width="12.6640625" style="143" customWidth="1"/>
    <col min="11012" max="11012" width="13.6640625" style="143" customWidth="1"/>
    <col min="11013" max="11015" width="20.5546875" style="143" customWidth="1"/>
    <col min="11016" max="11016" width="31.33203125" style="143" bestFit="1" customWidth="1"/>
    <col min="11017" max="11017" width="21.44140625" style="143" customWidth="1"/>
    <col min="11018" max="11212" width="9.109375" style="143"/>
    <col min="11213" max="11214" width="7.44140625" style="143" customWidth="1"/>
    <col min="11215" max="11215" width="32.5546875" style="143" customWidth="1"/>
    <col min="11216" max="11216" width="16.5546875" style="143" customWidth="1"/>
    <col min="11217" max="11228" width="9.109375" style="143" customWidth="1"/>
    <col min="11229" max="11229" width="14.44140625" style="143" customWidth="1"/>
    <col min="11230" max="11246" width="9.109375" style="143" customWidth="1"/>
    <col min="11247" max="11248" width="11.109375" style="143" customWidth="1"/>
    <col min="11249" max="11249" width="8.109375" style="143" customWidth="1"/>
    <col min="11250" max="11255" width="11.6640625" style="143" customWidth="1"/>
    <col min="11256" max="11261" width="10.44140625" style="143" customWidth="1"/>
    <col min="11262" max="11262" width="11.6640625" style="143" customWidth="1"/>
    <col min="11263" max="11264" width="14" style="143" customWidth="1"/>
    <col min="11265" max="11267" width="12.6640625" style="143" customWidth="1"/>
    <col min="11268" max="11268" width="13.6640625" style="143" customWidth="1"/>
    <col min="11269" max="11271" width="20.5546875" style="143" customWidth="1"/>
    <col min="11272" max="11272" width="31.33203125" style="143" bestFit="1" customWidth="1"/>
    <col min="11273" max="11273" width="21.44140625" style="143" customWidth="1"/>
    <col min="11274" max="11468" width="9.109375" style="143"/>
    <col min="11469" max="11470" width="7.44140625" style="143" customWidth="1"/>
    <col min="11471" max="11471" width="32.5546875" style="143" customWidth="1"/>
    <col min="11472" max="11472" width="16.5546875" style="143" customWidth="1"/>
    <col min="11473" max="11484" width="9.109375" style="143" customWidth="1"/>
    <col min="11485" max="11485" width="14.44140625" style="143" customWidth="1"/>
    <col min="11486" max="11502" width="9.109375" style="143" customWidth="1"/>
    <col min="11503" max="11504" width="11.109375" style="143" customWidth="1"/>
    <col min="11505" max="11505" width="8.109375" style="143" customWidth="1"/>
    <col min="11506" max="11511" width="11.6640625" style="143" customWidth="1"/>
    <col min="11512" max="11517" width="10.44140625" style="143" customWidth="1"/>
    <col min="11518" max="11518" width="11.6640625" style="143" customWidth="1"/>
    <col min="11519" max="11520" width="14" style="143" customWidth="1"/>
    <col min="11521" max="11523" width="12.6640625" style="143" customWidth="1"/>
    <col min="11524" max="11524" width="13.6640625" style="143" customWidth="1"/>
    <col min="11525" max="11527" width="20.5546875" style="143" customWidth="1"/>
    <col min="11528" max="11528" width="31.33203125" style="143" bestFit="1" customWidth="1"/>
    <col min="11529" max="11529" width="21.44140625" style="143" customWidth="1"/>
    <col min="11530" max="11724" width="9.109375" style="143"/>
    <col min="11725" max="11726" width="7.44140625" style="143" customWidth="1"/>
    <col min="11727" max="11727" width="32.5546875" style="143" customWidth="1"/>
    <col min="11728" max="11728" width="16.5546875" style="143" customWidth="1"/>
    <col min="11729" max="11740" width="9.109375" style="143" customWidth="1"/>
    <col min="11741" max="11741" width="14.44140625" style="143" customWidth="1"/>
    <col min="11742" max="11758" width="9.109375" style="143" customWidth="1"/>
    <col min="11759" max="11760" width="11.109375" style="143" customWidth="1"/>
    <col min="11761" max="11761" width="8.109375" style="143" customWidth="1"/>
    <col min="11762" max="11767" width="11.6640625" style="143" customWidth="1"/>
    <col min="11768" max="11773" width="10.44140625" style="143" customWidth="1"/>
    <col min="11774" max="11774" width="11.6640625" style="143" customWidth="1"/>
    <col min="11775" max="11776" width="14" style="143" customWidth="1"/>
    <col min="11777" max="11779" width="12.6640625" style="143" customWidth="1"/>
    <col min="11780" max="11780" width="13.6640625" style="143" customWidth="1"/>
    <col min="11781" max="11783" width="20.5546875" style="143" customWidth="1"/>
    <col min="11784" max="11784" width="31.33203125" style="143" bestFit="1" customWidth="1"/>
    <col min="11785" max="11785" width="21.44140625" style="143" customWidth="1"/>
    <col min="11786" max="11980" width="9.109375" style="143"/>
    <col min="11981" max="11982" width="7.44140625" style="143" customWidth="1"/>
    <col min="11983" max="11983" width="32.5546875" style="143" customWidth="1"/>
    <col min="11984" max="11984" width="16.5546875" style="143" customWidth="1"/>
    <col min="11985" max="11996" width="9.109375" style="143" customWidth="1"/>
    <col min="11997" max="11997" width="14.44140625" style="143" customWidth="1"/>
    <col min="11998" max="12014" width="9.109375" style="143" customWidth="1"/>
    <col min="12015" max="12016" width="11.109375" style="143" customWidth="1"/>
    <col min="12017" max="12017" width="8.109375" style="143" customWidth="1"/>
    <col min="12018" max="12023" width="11.6640625" style="143" customWidth="1"/>
    <col min="12024" max="12029" width="10.44140625" style="143" customWidth="1"/>
    <col min="12030" max="12030" width="11.6640625" style="143" customWidth="1"/>
    <col min="12031" max="12032" width="14" style="143" customWidth="1"/>
    <col min="12033" max="12035" width="12.6640625" style="143" customWidth="1"/>
    <col min="12036" max="12036" width="13.6640625" style="143" customWidth="1"/>
    <col min="12037" max="12039" width="20.5546875" style="143" customWidth="1"/>
    <col min="12040" max="12040" width="31.33203125" style="143" bestFit="1" customWidth="1"/>
    <col min="12041" max="12041" width="21.44140625" style="143" customWidth="1"/>
    <col min="12042" max="12236" width="9.109375" style="143"/>
    <col min="12237" max="12238" width="7.44140625" style="143" customWidth="1"/>
    <col min="12239" max="12239" width="32.5546875" style="143" customWidth="1"/>
    <col min="12240" max="12240" width="16.5546875" style="143" customWidth="1"/>
    <col min="12241" max="12252" width="9.109375" style="143" customWidth="1"/>
    <col min="12253" max="12253" width="14.44140625" style="143" customWidth="1"/>
    <col min="12254" max="12270" width="9.109375" style="143" customWidth="1"/>
    <col min="12271" max="12272" width="11.109375" style="143" customWidth="1"/>
    <col min="12273" max="12273" width="8.109375" style="143" customWidth="1"/>
    <col min="12274" max="12279" width="11.6640625" style="143" customWidth="1"/>
    <col min="12280" max="12285" width="10.44140625" style="143" customWidth="1"/>
    <col min="12286" max="12286" width="11.6640625" style="143" customWidth="1"/>
    <col min="12287" max="12288" width="14" style="143" customWidth="1"/>
    <col min="12289" max="12291" width="12.6640625" style="143" customWidth="1"/>
    <col min="12292" max="12292" width="13.6640625" style="143" customWidth="1"/>
    <col min="12293" max="12295" width="20.5546875" style="143" customWidth="1"/>
    <col min="12296" max="12296" width="31.33203125" style="143" bestFit="1" customWidth="1"/>
    <col min="12297" max="12297" width="21.44140625" style="143" customWidth="1"/>
    <col min="12298" max="12492" width="9.109375" style="143"/>
    <col min="12493" max="12494" width="7.44140625" style="143" customWidth="1"/>
    <col min="12495" max="12495" width="32.5546875" style="143" customWidth="1"/>
    <col min="12496" max="12496" width="16.5546875" style="143" customWidth="1"/>
    <col min="12497" max="12508" width="9.109375" style="143" customWidth="1"/>
    <col min="12509" max="12509" width="14.44140625" style="143" customWidth="1"/>
    <col min="12510" max="12526" width="9.109375" style="143" customWidth="1"/>
    <col min="12527" max="12528" width="11.109375" style="143" customWidth="1"/>
    <col min="12529" max="12529" width="8.109375" style="143" customWidth="1"/>
    <col min="12530" max="12535" width="11.6640625" style="143" customWidth="1"/>
    <col min="12536" max="12541" width="10.44140625" style="143" customWidth="1"/>
    <col min="12542" max="12542" width="11.6640625" style="143" customWidth="1"/>
    <col min="12543" max="12544" width="14" style="143" customWidth="1"/>
    <col min="12545" max="12547" width="12.6640625" style="143" customWidth="1"/>
    <col min="12548" max="12548" width="13.6640625" style="143" customWidth="1"/>
    <col min="12549" max="12551" width="20.5546875" style="143" customWidth="1"/>
    <col min="12552" max="12552" width="31.33203125" style="143" bestFit="1" customWidth="1"/>
    <col min="12553" max="12553" width="21.44140625" style="143" customWidth="1"/>
    <col min="12554" max="12748" width="9.109375" style="143"/>
    <col min="12749" max="12750" width="7.44140625" style="143" customWidth="1"/>
    <col min="12751" max="12751" width="32.5546875" style="143" customWidth="1"/>
    <col min="12752" max="12752" width="16.5546875" style="143" customWidth="1"/>
    <col min="12753" max="12764" width="9.109375" style="143" customWidth="1"/>
    <col min="12765" max="12765" width="14.44140625" style="143" customWidth="1"/>
    <col min="12766" max="12782" width="9.109375" style="143" customWidth="1"/>
    <col min="12783" max="12784" width="11.109375" style="143" customWidth="1"/>
    <col min="12785" max="12785" width="8.109375" style="143" customWidth="1"/>
    <col min="12786" max="12791" width="11.6640625" style="143" customWidth="1"/>
    <col min="12792" max="12797" width="10.44140625" style="143" customWidth="1"/>
    <col min="12798" max="12798" width="11.6640625" style="143" customWidth="1"/>
    <col min="12799" max="12800" width="14" style="143" customWidth="1"/>
    <col min="12801" max="12803" width="12.6640625" style="143" customWidth="1"/>
    <col min="12804" max="12804" width="13.6640625" style="143" customWidth="1"/>
    <col min="12805" max="12807" width="20.5546875" style="143" customWidth="1"/>
    <col min="12808" max="12808" width="31.33203125" style="143" bestFit="1" customWidth="1"/>
    <col min="12809" max="12809" width="21.44140625" style="143" customWidth="1"/>
    <col min="12810" max="13004" width="9.109375" style="143"/>
    <col min="13005" max="13006" width="7.44140625" style="143" customWidth="1"/>
    <col min="13007" max="13007" width="32.5546875" style="143" customWidth="1"/>
    <col min="13008" max="13008" width="16.5546875" style="143" customWidth="1"/>
    <col min="13009" max="13020" width="9.109375" style="143" customWidth="1"/>
    <col min="13021" max="13021" width="14.44140625" style="143" customWidth="1"/>
    <col min="13022" max="13038" width="9.109375" style="143" customWidth="1"/>
    <col min="13039" max="13040" width="11.109375" style="143" customWidth="1"/>
    <col min="13041" max="13041" width="8.109375" style="143" customWidth="1"/>
    <col min="13042" max="13047" width="11.6640625" style="143" customWidth="1"/>
    <col min="13048" max="13053" width="10.44140625" style="143" customWidth="1"/>
    <col min="13054" max="13054" width="11.6640625" style="143" customWidth="1"/>
    <col min="13055" max="13056" width="14" style="143" customWidth="1"/>
    <col min="13057" max="13059" width="12.6640625" style="143" customWidth="1"/>
    <col min="13060" max="13060" width="13.6640625" style="143" customWidth="1"/>
    <col min="13061" max="13063" width="20.5546875" style="143" customWidth="1"/>
    <col min="13064" max="13064" width="31.33203125" style="143" bestFit="1" customWidth="1"/>
    <col min="13065" max="13065" width="21.44140625" style="143" customWidth="1"/>
    <col min="13066" max="13260" width="9.109375" style="143"/>
    <col min="13261" max="13262" width="7.44140625" style="143" customWidth="1"/>
    <col min="13263" max="13263" width="32.5546875" style="143" customWidth="1"/>
    <col min="13264" max="13264" width="16.5546875" style="143" customWidth="1"/>
    <col min="13265" max="13276" width="9.109375" style="143" customWidth="1"/>
    <col min="13277" max="13277" width="14.44140625" style="143" customWidth="1"/>
    <col min="13278" max="13294" width="9.109375" style="143" customWidth="1"/>
    <col min="13295" max="13296" width="11.109375" style="143" customWidth="1"/>
    <col min="13297" max="13297" width="8.109375" style="143" customWidth="1"/>
    <col min="13298" max="13303" width="11.6640625" style="143" customWidth="1"/>
    <col min="13304" max="13309" width="10.44140625" style="143" customWidth="1"/>
    <col min="13310" max="13310" width="11.6640625" style="143" customWidth="1"/>
    <col min="13311" max="13312" width="14" style="143" customWidth="1"/>
    <col min="13313" max="13315" width="12.6640625" style="143" customWidth="1"/>
    <col min="13316" max="13316" width="13.6640625" style="143" customWidth="1"/>
    <col min="13317" max="13319" width="20.5546875" style="143" customWidth="1"/>
    <col min="13320" max="13320" width="31.33203125" style="143" bestFit="1" customWidth="1"/>
    <col min="13321" max="13321" width="21.44140625" style="143" customWidth="1"/>
    <col min="13322" max="13516" width="9.109375" style="143"/>
    <col min="13517" max="13518" width="7.44140625" style="143" customWidth="1"/>
    <col min="13519" max="13519" width="32.5546875" style="143" customWidth="1"/>
    <col min="13520" max="13520" width="16.5546875" style="143" customWidth="1"/>
    <col min="13521" max="13532" width="9.109375" style="143" customWidth="1"/>
    <col min="13533" max="13533" width="14.44140625" style="143" customWidth="1"/>
    <col min="13534" max="13550" width="9.109375" style="143" customWidth="1"/>
    <col min="13551" max="13552" width="11.109375" style="143" customWidth="1"/>
    <col min="13553" max="13553" width="8.109375" style="143" customWidth="1"/>
    <col min="13554" max="13559" width="11.6640625" style="143" customWidth="1"/>
    <col min="13560" max="13565" width="10.44140625" style="143" customWidth="1"/>
    <col min="13566" max="13566" width="11.6640625" style="143" customWidth="1"/>
    <col min="13567" max="13568" width="14" style="143" customWidth="1"/>
    <col min="13569" max="13571" width="12.6640625" style="143" customWidth="1"/>
    <col min="13572" max="13572" width="13.6640625" style="143" customWidth="1"/>
    <col min="13573" max="13575" width="20.5546875" style="143" customWidth="1"/>
    <col min="13576" max="13576" width="31.33203125" style="143" bestFit="1" customWidth="1"/>
    <col min="13577" max="13577" width="21.44140625" style="143" customWidth="1"/>
    <col min="13578" max="13772" width="9.109375" style="143"/>
    <col min="13773" max="13774" width="7.44140625" style="143" customWidth="1"/>
    <col min="13775" max="13775" width="32.5546875" style="143" customWidth="1"/>
    <col min="13776" max="13776" width="16.5546875" style="143" customWidth="1"/>
    <col min="13777" max="13788" width="9.109375" style="143" customWidth="1"/>
    <col min="13789" max="13789" width="14.44140625" style="143" customWidth="1"/>
    <col min="13790" max="13806" width="9.109375" style="143" customWidth="1"/>
    <col min="13807" max="13808" width="11.109375" style="143" customWidth="1"/>
    <col min="13809" max="13809" width="8.109375" style="143" customWidth="1"/>
    <col min="13810" max="13815" width="11.6640625" style="143" customWidth="1"/>
    <col min="13816" max="13821" width="10.44140625" style="143" customWidth="1"/>
    <col min="13822" max="13822" width="11.6640625" style="143" customWidth="1"/>
    <col min="13823" max="13824" width="14" style="143" customWidth="1"/>
    <col min="13825" max="13827" width="12.6640625" style="143" customWidth="1"/>
    <col min="13828" max="13828" width="13.6640625" style="143" customWidth="1"/>
    <col min="13829" max="13831" width="20.5546875" style="143" customWidth="1"/>
    <col min="13832" max="13832" width="31.33203125" style="143" bestFit="1" customWidth="1"/>
    <col min="13833" max="13833" width="21.44140625" style="143" customWidth="1"/>
    <col min="13834" max="14028" width="9.109375" style="143"/>
    <col min="14029" max="14030" width="7.44140625" style="143" customWidth="1"/>
    <col min="14031" max="14031" width="32.5546875" style="143" customWidth="1"/>
    <col min="14032" max="14032" width="16.5546875" style="143" customWidth="1"/>
    <col min="14033" max="14044" width="9.109375" style="143" customWidth="1"/>
    <col min="14045" max="14045" width="14.44140625" style="143" customWidth="1"/>
    <col min="14046" max="14062" width="9.109375" style="143" customWidth="1"/>
    <col min="14063" max="14064" width="11.109375" style="143" customWidth="1"/>
    <col min="14065" max="14065" width="8.109375" style="143" customWidth="1"/>
    <col min="14066" max="14071" width="11.6640625" style="143" customWidth="1"/>
    <col min="14072" max="14077" width="10.44140625" style="143" customWidth="1"/>
    <col min="14078" max="14078" width="11.6640625" style="143" customWidth="1"/>
    <col min="14079" max="14080" width="14" style="143" customWidth="1"/>
    <col min="14081" max="14083" width="12.6640625" style="143" customWidth="1"/>
    <col min="14084" max="14084" width="13.6640625" style="143" customWidth="1"/>
    <col min="14085" max="14087" width="20.5546875" style="143" customWidth="1"/>
    <col min="14088" max="14088" width="31.33203125" style="143" bestFit="1" customWidth="1"/>
    <col min="14089" max="14089" width="21.44140625" style="143" customWidth="1"/>
    <col min="14090" max="14284" width="9.109375" style="143"/>
    <col min="14285" max="14286" width="7.44140625" style="143" customWidth="1"/>
    <col min="14287" max="14287" width="32.5546875" style="143" customWidth="1"/>
    <col min="14288" max="14288" width="16.5546875" style="143" customWidth="1"/>
    <col min="14289" max="14300" width="9.109375" style="143" customWidth="1"/>
    <col min="14301" max="14301" width="14.44140625" style="143" customWidth="1"/>
    <col min="14302" max="14318" width="9.109375" style="143" customWidth="1"/>
    <col min="14319" max="14320" width="11.109375" style="143" customWidth="1"/>
    <col min="14321" max="14321" width="8.109375" style="143" customWidth="1"/>
    <col min="14322" max="14327" width="11.6640625" style="143" customWidth="1"/>
    <col min="14328" max="14333" width="10.44140625" style="143" customWidth="1"/>
    <col min="14334" max="14334" width="11.6640625" style="143" customWidth="1"/>
    <col min="14335" max="14336" width="14" style="143" customWidth="1"/>
    <col min="14337" max="14339" width="12.6640625" style="143" customWidth="1"/>
    <col min="14340" max="14340" width="13.6640625" style="143" customWidth="1"/>
    <col min="14341" max="14343" width="20.5546875" style="143" customWidth="1"/>
    <col min="14344" max="14344" width="31.33203125" style="143" bestFit="1" customWidth="1"/>
    <col min="14345" max="14345" width="21.44140625" style="143" customWidth="1"/>
    <col min="14346" max="14540" width="9.109375" style="143"/>
    <col min="14541" max="14542" width="7.44140625" style="143" customWidth="1"/>
    <col min="14543" max="14543" width="32.5546875" style="143" customWidth="1"/>
    <col min="14544" max="14544" width="16.5546875" style="143" customWidth="1"/>
    <col min="14545" max="14556" width="9.109375" style="143" customWidth="1"/>
    <col min="14557" max="14557" width="14.44140625" style="143" customWidth="1"/>
    <col min="14558" max="14574" width="9.109375" style="143" customWidth="1"/>
    <col min="14575" max="14576" width="11.109375" style="143" customWidth="1"/>
    <col min="14577" max="14577" width="8.109375" style="143" customWidth="1"/>
    <col min="14578" max="14583" width="11.6640625" style="143" customWidth="1"/>
    <col min="14584" max="14589" width="10.44140625" style="143" customWidth="1"/>
    <col min="14590" max="14590" width="11.6640625" style="143" customWidth="1"/>
    <col min="14591" max="14592" width="14" style="143" customWidth="1"/>
    <col min="14593" max="14595" width="12.6640625" style="143" customWidth="1"/>
    <col min="14596" max="14596" width="13.6640625" style="143" customWidth="1"/>
    <col min="14597" max="14599" width="20.5546875" style="143" customWidth="1"/>
    <col min="14600" max="14600" width="31.33203125" style="143" bestFit="1" customWidth="1"/>
    <col min="14601" max="14601" width="21.44140625" style="143" customWidth="1"/>
    <col min="14602" max="14796" width="9.109375" style="143"/>
    <col min="14797" max="14798" width="7.44140625" style="143" customWidth="1"/>
    <col min="14799" max="14799" width="32.5546875" style="143" customWidth="1"/>
    <col min="14800" max="14800" width="16.5546875" style="143" customWidth="1"/>
    <col min="14801" max="14812" width="9.109375" style="143" customWidth="1"/>
    <col min="14813" max="14813" width="14.44140625" style="143" customWidth="1"/>
    <col min="14814" max="14830" width="9.109375" style="143" customWidth="1"/>
    <col min="14831" max="14832" width="11.109375" style="143" customWidth="1"/>
    <col min="14833" max="14833" width="8.109375" style="143" customWidth="1"/>
    <col min="14834" max="14839" width="11.6640625" style="143" customWidth="1"/>
    <col min="14840" max="14845" width="10.44140625" style="143" customWidth="1"/>
    <col min="14846" max="14846" width="11.6640625" style="143" customWidth="1"/>
    <col min="14847" max="14848" width="14" style="143" customWidth="1"/>
    <col min="14849" max="14851" width="12.6640625" style="143" customWidth="1"/>
    <col min="14852" max="14852" width="13.6640625" style="143" customWidth="1"/>
    <col min="14853" max="14855" width="20.5546875" style="143" customWidth="1"/>
    <col min="14856" max="14856" width="31.33203125" style="143" bestFit="1" customWidth="1"/>
    <col min="14857" max="14857" width="21.44140625" style="143" customWidth="1"/>
    <col min="14858" max="15052" width="9.109375" style="143"/>
    <col min="15053" max="15054" width="7.44140625" style="143" customWidth="1"/>
    <col min="15055" max="15055" width="32.5546875" style="143" customWidth="1"/>
    <col min="15056" max="15056" width="16.5546875" style="143" customWidth="1"/>
    <col min="15057" max="15068" width="9.109375" style="143" customWidth="1"/>
    <col min="15069" max="15069" width="14.44140625" style="143" customWidth="1"/>
    <col min="15070" max="15086" width="9.109375" style="143" customWidth="1"/>
    <col min="15087" max="15088" width="11.109375" style="143" customWidth="1"/>
    <col min="15089" max="15089" width="8.109375" style="143" customWidth="1"/>
    <col min="15090" max="15095" width="11.6640625" style="143" customWidth="1"/>
    <col min="15096" max="15101" width="10.44140625" style="143" customWidth="1"/>
    <col min="15102" max="15102" width="11.6640625" style="143" customWidth="1"/>
    <col min="15103" max="15104" width="14" style="143" customWidth="1"/>
    <col min="15105" max="15107" width="12.6640625" style="143" customWidth="1"/>
    <col min="15108" max="15108" width="13.6640625" style="143" customWidth="1"/>
    <col min="15109" max="15111" width="20.5546875" style="143" customWidth="1"/>
    <col min="15112" max="15112" width="31.33203125" style="143" bestFit="1" customWidth="1"/>
    <col min="15113" max="15113" width="21.44140625" style="143" customWidth="1"/>
    <col min="15114" max="15308" width="9.109375" style="143"/>
    <col min="15309" max="15310" width="7.44140625" style="143" customWidth="1"/>
    <col min="15311" max="15311" width="32.5546875" style="143" customWidth="1"/>
    <col min="15312" max="15312" width="16.5546875" style="143" customWidth="1"/>
    <col min="15313" max="15324" width="9.109375" style="143" customWidth="1"/>
    <col min="15325" max="15325" width="14.44140625" style="143" customWidth="1"/>
    <col min="15326" max="15342" width="9.109375" style="143" customWidth="1"/>
    <col min="15343" max="15344" width="11.109375" style="143" customWidth="1"/>
    <col min="15345" max="15345" width="8.109375" style="143" customWidth="1"/>
    <col min="15346" max="15351" width="11.6640625" style="143" customWidth="1"/>
    <col min="15352" max="15357" width="10.44140625" style="143" customWidth="1"/>
    <col min="15358" max="15358" width="11.6640625" style="143" customWidth="1"/>
    <col min="15359" max="15360" width="14" style="143" customWidth="1"/>
    <col min="15361" max="15363" width="12.6640625" style="143" customWidth="1"/>
    <col min="15364" max="15364" width="13.6640625" style="143" customWidth="1"/>
    <col min="15365" max="15367" width="20.5546875" style="143" customWidth="1"/>
    <col min="15368" max="15368" width="31.33203125" style="143" bestFit="1" customWidth="1"/>
    <col min="15369" max="15369" width="21.44140625" style="143" customWidth="1"/>
    <col min="15370" max="15564" width="9.109375" style="143"/>
    <col min="15565" max="15566" width="7.44140625" style="143" customWidth="1"/>
    <col min="15567" max="15567" width="32.5546875" style="143" customWidth="1"/>
    <col min="15568" max="15568" width="16.5546875" style="143" customWidth="1"/>
    <col min="15569" max="15580" width="9.109375" style="143" customWidth="1"/>
    <col min="15581" max="15581" width="14.44140625" style="143" customWidth="1"/>
    <col min="15582" max="15598" width="9.109375" style="143" customWidth="1"/>
    <col min="15599" max="15600" width="11.109375" style="143" customWidth="1"/>
    <col min="15601" max="15601" width="8.109375" style="143" customWidth="1"/>
    <col min="15602" max="15607" width="11.6640625" style="143" customWidth="1"/>
    <col min="15608" max="15613" width="10.44140625" style="143" customWidth="1"/>
    <col min="15614" max="15614" width="11.6640625" style="143" customWidth="1"/>
    <col min="15615" max="15616" width="14" style="143" customWidth="1"/>
    <col min="15617" max="15619" width="12.6640625" style="143" customWidth="1"/>
    <col min="15620" max="15620" width="13.6640625" style="143" customWidth="1"/>
    <col min="15621" max="15623" width="20.5546875" style="143" customWidth="1"/>
    <col min="15624" max="15624" width="31.33203125" style="143" bestFit="1" customWidth="1"/>
    <col min="15625" max="15625" width="21.44140625" style="143" customWidth="1"/>
    <col min="15626" max="15820" width="9.109375" style="143"/>
    <col min="15821" max="15822" width="7.44140625" style="143" customWidth="1"/>
    <col min="15823" max="15823" width="32.5546875" style="143" customWidth="1"/>
    <col min="15824" max="15824" width="16.5546875" style="143" customWidth="1"/>
    <col min="15825" max="15836" width="9.109375" style="143" customWidth="1"/>
    <col min="15837" max="15837" width="14.44140625" style="143" customWidth="1"/>
    <col min="15838" max="15854" width="9.109375" style="143" customWidth="1"/>
    <col min="15855" max="15856" width="11.109375" style="143" customWidth="1"/>
    <col min="15857" max="15857" width="8.109375" style="143" customWidth="1"/>
    <col min="15858" max="15863" width="11.6640625" style="143" customWidth="1"/>
    <col min="15864" max="15869" width="10.44140625" style="143" customWidth="1"/>
    <col min="15870" max="15870" width="11.6640625" style="143" customWidth="1"/>
    <col min="15871" max="15872" width="14" style="143" customWidth="1"/>
    <col min="15873" max="15875" width="12.6640625" style="143" customWidth="1"/>
    <col min="15876" max="15876" width="13.6640625" style="143" customWidth="1"/>
    <col min="15877" max="15879" width="20.5546875" style="143" customWidth="1"/>
    <col min="15880" max="15880" width="31.33203125" style="143" bestFit="1" customWidth="1"/>
    <col min="15881" max="15881" width="21.44140625" style="143" customWidth="1"/>
    <col min="15882" max="16076" width="9.109375" style="143"/>
    <col min="16077" max="16078" width="7.44140625" style="143" customWidth="1"/>
    <col min="16079" max="16079" width="32.5546875" style="143" customWidth="1"/>
    <col min="16080" max="16080" width="16.5546875" style="143" customWidth="1"/>
    <col min="16081" max="16092" width="9.109375" style="143" customWidth="1"/>
    <col min="16093" max="16093" width="14.44140625" style="143" customWidth="1"/>
    <col min="16094" max="16110" width="9.109375" style="143" customWidth="1"/>
    <col min="16111" max="16112" width="11.109375" style="143" customWidth="1"/>
    <col min="16113" max="16113" width="8.109375" style="143" customWidth="1"/>
    <col min="16114" max="16119" width="11.6640625" style="143" customWidth="1"/>
    <col min="16120" max="16125" width="10.44140625" style="143" customWidth="1"/>
    <col min="16126" max="16126" width="11.6640625" style="143" customWidth="1"/>
    <col min="16127" max="16128" width="14" style="143" customWidth="1"/>
    <col min="16129" max="16131" width="12.6640625" style="143" customWidth="1"/>
    <col min="16132" max="16132" width="13.6640625" style="143" customWidth="1"/>
    <col min="16133" max="16135" width="20.5546875" style="143" customWidth="1"/>
    <col min="16136" max="16136" width="31.33203125" style="143" bestFit="1" customWidth="1"/>
    <col min="16137" max="16137" width="21.44140625" style="143" customWidth="1"/>
    <col min="16138" max="16384" width="9.109375" style="143"/>
  </cols>
  <sheetData>
    <row r="1" spans="1:51" x14ac:dyDescent="0.25">
      <c r="A1" s="335"/>
      <c r="B1" s="335"/>
    </row>
    <row r="2" spans="1:51" ht="20.399999999999999" x14ac:dyDescent="0.35">
      <c r="A2" s="334" t="s">
        <v>3651</v>
      </c>
      <c r="B2" s="307"/>
    </row>
    <row r="3" spans="1:51" ht="14.4" thickBot="1" x14ac:dyDescent="0.3"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</row>
    <row r="4" spans="1:51" s="332" customFormat="1" ht="14.4" thickBot="1" x14ac:dyDescent="0.3">
      <c r="D4" s="353">
        <v>2018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5"/>
      <c r="P4" s="353">
        <v>2019</v>
      </c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55"/>
      <c r="AB4" s="353">
        <v>2020</v>
      </c>
      <c r="AC4" s="354"/>
      <c r="AD4" s="354"/>
      <c r="AE4" s="354"/>
      <c r="AF4" s="354"/>
      <c r="AG4" s="354"/>
      <c r="AH4" s="354"/>
      <c r="AI4" s="354"/>
      <c r="AJ4" s="354"/>
      <c r="AK4" s="354"/>
      <c r="AL4" s="354"/>
      <c r="AM4" s="355"/>
      <c r="AN4" s="353">
        <v>2021</v>
      </c>
      <c r="AO4" s="354"/>
      <c r="AP4" s="354"/>
      <c r="AQ4" s="354"/>
      <c r="AR4" s="354"/>
      <c r="AS4" s="354"/>
      <c r="AT4" s="354"/>
      <c r="AU4" s="354"/>
      <c r="AV4" s="354"/>
      <c r="AW4" s="354"/>
      <c r="AX4" s="354"/>
      <c r="AY4" s="355"/>
    </row>
    <row r="5" spans="1:51" s="332" customFormat="1" ht="14.4" x14ac:dyDescent="0.3">
      <c r="A5" s="333" t="s">
        <v>1</v>
      </c>
      <c r="B5" s="333" t="s">
        <v>3</v>
      </c>
      <c r="C5" s="333" t="s">
        <v>2</v>
      </c>
      <c r="D5" s="267">
        <v>43101</v>
      </c>
      <c r="E5" s="267">
        <v>43132</v>
      </c>
      <c r="F5" s="267">
        <v>43160</v>
      </c>
      <c r="G5" s="267">
        <v>43191</v>
      </c>
      <c r="H5" s="267">
        <v>43221</v>
      </c>
      <c r="I5" s="267">
        <v>43252</v>
      </c>
      <c r="J5" s="267">
        <v>43282</v>
      </c>
      <c r="K5" s="267">
        <v>43313</v>
      </c>
      <c r="L5" s="267">
        <v>43344</v>
      </c>
      <c r="M5" s="267">
        <v>43374</v>
      </c>
      <c r="N5" s="267">
        <v>43405</v>
      </c>
      <c r="O5" s="267">
        <v>43435</v>
      </c>
      <c r="P5" s="267">
        <v>43466</v>
      </c>
      <c r="Q5" s="267">
        <v>43497</v>
      </c>
      <c r="R5" s="267">
        <v>43525</v>
      </c>
      <c r="S5" s="267">
        <v>43556</v>
      </c>
      <c r="T5" s="267">
        <v>43586</v>
      </c>
      <c r="U5" s="267">
        <v>43617</v>
      </c>
      <c r="V5" s="267">
        <v>43647</v>
      </c>
      <c r="W5" s="267">
        <v>43678</v>
      </c>
      <c r="X5" s="267">
        <v>43709</v>
      </c>
      <c r="Y5" s="267">
        <v>43739</v>
      </c>
      <c r="Z5" s="267">
        <v>43770</v>
      </c>
      <c r="AA5" s="267">
        <v>43800</v>
      </c>
      <c r="AB5" s="267">
        <v>43831</v>
      </c>
      <c r="AC5" s="267">
        <v>43862</v>
      </c>
      <c r="AD5" s="267">
        <v>43891</v>
      </c>
      <c r="AE5" s="267">
        <v>43922</v>
      </c>
      <c r="AF5" s="267">
        <v>43952</v>
      </c>
      <c r="AG5" s="267">
        <v>43983</v>
      </c>
      <c r="AH5" s="267">
        <v>44013</v>
      </c>
      <c r="AI5" s="267">
        <v>44044</v>
      </c>
      <c r="AJ5" s="267">
        <v>44075</v>
      </c>
      <c r="AK5" s="267">
        <v>44105</v>
      </c>
      <c r="AL5" s="267">
        <v>44136</v>
      </c>
      <c r="AM5" s="267">
        <v>44166</v>
      </c>
      <c r="AN5" s="267">
        <v>44197</v>
      </c>
      <c r="AO5" s="267">
        <v>44228</v>
      </c>
      <c r="AP5" s="267">
        <v>44256</v>
      </c>
      <c r="AQ5" s="267">
        <v>44287</v>
      </c>
      <c r="AR5" s="267">
        <v>44317</v>
      </c>
      <c r="AS5" s="267">
        <v>44348</v>
      </c>
      <c r="AT5" s="267">
        <v>44378</v>
      </c>
      <c r="AU5" s="267">
        <v>44409</v>
      </c>
      <c r="AV5" s="267">
        <v>44440</v>
      </c>
      <c r="AW5" s="267">
        <v>44470</v>
      </c>
      <c r="AX5" s="267">
        <v>44501</v>
      </c>
      <c r="AY5" s="267">
        <v>44531</v>
      </c>
    </row>
    <row r="7" spans="1:51" x14ac:dyDescent="0.25">
      <c r="A7" s="132">
        <v>1</v>
      </c>
      <c r="B7" s="132" t="s">
        <v>6</v>
      </c>
      <c r="C7" s="143" t="s">
        <v>5</v>
      </c>
      <c r="D7" s="324">
        <v>169.60011683600192</v>
      </c>
      <c r="E7" s="324">
        <v>307.17403411909629</v>
      </c>
      <c r="F7" s="324">
        <v>162.99481285569863</v>
      </c>
      <c r="G7" s="324">
        <v>153.15844703550061</v>
      </c>
      <c r="H7" s="324">
        <v>240.80658556051603</v>
      </c>
      <c r="I7" s="324">
        <v>211.08586153748334</v>
      </c>
      <c r="J7" s="324">
        <v>200.93630181993035</v>
      </c>
      <c r="K7" s="324">
        <v>293.01847494532899</v>
      </c>
      <c r="L7" s="324">
        <v>279.95392243167026</v>
      </c>
      <c r="M7" s="324">
        <v>258.28254827431459</v>
      </c>
      <c r="N7" s="324">
        <v>251.72471167596836</v>
      </c>
      <c r="O7" s="324">
        <v>135.08703525844768</v>
      </c>
      <c r="P7" s="324">
        <v>179.78862646962779</v>
      </c>
      <c r="Q7" s="324">
        <v>164.01407127707546</v>
      </c>
      <c r="R7" s="324">
        <v>182.8613955477737</v>
      </c>
      <c r="S7" s="324">
        <v>294.50110808991451</v>
      </c>
      <c r="T7" s="324">
        <v>199.94393126470263</v>
      </c>
      <c r="U7" s="324">
        <v>210.90193372972598</v>
      </c>
      <c r="V7" s="324">
        <v>258.14260365244542</v>
      </c>
      <c r="W7" s="324">
        <v>240.81538055462352</v>
      </c>
      <c r="X7" s="324">
        <v>298.75431054772491</v>
      </c>
      <c r="Y7" s="324">
        <v>273.60356488495449</v>
      </c>
      <c r="Z7" s="324">
        <v>255.26874169301161</v>
      </c>
      <c r="AA7" s="324">
        <v>177.54341126663223</v>
      </c>
      <c r="AB7" s="324">
        <v>184.66615293644503</v>
      </c>
      <c r="AC7" s="324">
        <v>235.89271929971852</v>
      </c>
      <c r="AD7" s="324">
        <v>168.33005806556415</v>
      </c>
      <c r="AE7" s="324">
        <v>123.91499200526552</v>
      </c>
      <c r="AF7" s="322">
        <v>201.46946599727298</v>
      </c>
      <c r="AG7" s="322">
        <v>146.75110920541854</v>
      </c>
      <c r="AH7" s="322">
        <v>195.33295912648592</v>
      </c>
      <c r="AI7" s="322">
        <v>230.93250203610751</v>
      </c>
      <c r="AJ7" s="322">
        <v>222.04238675535498</v>
      </c>
      <c r="AK7" s="322">
        <v>194.44032020256296</v>
      </c>
      <c r="AL7" s="322">
        <v>140.1784696464118</v>
      </c>
      <c r="AM7" s="322">
        <v>145.84123146184731</v>
      </c>
      <c r="AN7" s="322">
        <v>105.40569592147956</v>
      </c>
      <c r="AO7" s="322">
        <v>118.87140003390957</v>
      </c>
      <c r="AP7" s="322">
        <v>130.93465792294842</v>
      </c>
      <c r="AQ7" s="322">
        <v>151.01519055733144</v>
      </c>
      <c r="AR7" s="322">
        <v>73.780218441306403</v>
      </c>
      <c r="AS7" s="322">
        <v>70.572689573045324</v>
      </c>
      <c r="AT7" s="322">
        <v>85.351115714304939</v>
      </c>
      <c r="AU7" s="322">
        <v>98.687515429094347</v>
      </c>
      <c r="AV7" s="322">
        <v>90.009102467005192</v>
      </c>
      <c r="AW7" s="322">
        <v>78.945125564495456</v>
      </c>
      <c r="AX7" s="322">
        <v>66.820061974042261</v>
      </c>
      <c r="AY7" s="322">
        <v>67.19643521842093</v>
      </c>
    </row>
    <row r="8" spans="1:51" x14ac:dyDescent="0.25">
      <c r="A8" s="132">
        <v>113</v>
      </c>
      <c r="B8" s="132" t="s">
        <v>271</v>
      </c>
      <c r="C8" s="143" t="s">
        <v>270</v>
      </c>
      <c r="D8" s="324">
        <v>0</v>
      </c>
      <c r="E8" s="324">
        <v>0</v>
      </c>
      <c r="F8" s="324">
        <v>0</v>
      </c>
      <c r="G8" s="324">
        <v>0</v>
      </c>
      <c r="H8" s="324">
        <v>0</v>
      </c>
      <c r="I8" s="324">
        <v>0</v>
      </c>
      <c r="J8" s="324">
        <v>0</v>
      </c>
      <c r="K8" s="324">
        <v>0</v>
      </c>
      <c r="L8" s="324">
        <v>0</v>
      </c>
      <c r="M8" s="324">
        <v>0</v>
      </c>
      <c r="N8" s="324">
        <v>0</v>
      </c>
      <c r="O8" s="324">
        <v>0</v>
      </c>
      <c r="P8" s="324">
        <v>0</v>
      </c>
      <c r="Q8" s="324">
        <v>0</v>
      </c>
      <c r="R8" s="324">
        <v>0</v>
      </c>
      <c r="S8" s="324">
        <v>0</v>
      </c>
      <c r="T8" s="330">
        <v>0</v>
      </c>
      <c r="U8" s="325">
        <v>0</v>
      </c>
      <c r="V8" s="325">
        <v>221.94900000000001</v>
      </c>
      <c r="W8" s="325">
        <v>81.06</v>
      </c>
      <c r="X8" s="325">
        <v>175.63</v>
      </c>
      <c r="Y8" s="325">
        <v>156.32999999999998</v>
      </c>
      <c r="Z8" s="325">
        <v>0</v>
      </c>
      <c r="AA8" s="325">
        <v>52.11</v>
      </c>
      <c r="AB8" s="322">
        <v>0</v>
      </c>
      <c r="AC8" s="322">
        <v>131.24</v>
      </c>
      <c r="AD8" s="322">
        <v>65.62</v>
      </c>
      <c r="AE8" s="322">
        <v>46.32</v>
      </c>
      <c r="AF8" s="322">
        <v>44.39</v>
      </c>
      <c r="AG8" s="322">
        <v>131.24</v>
      </c>
      <c r="AH8" s="322">
        <v>117.72999999999999</v>
      </c>
      <c r="AI8" s="322">
        <v>129.31</v>
      </c>
      <c r="AJ8" s="322">
        <v>133.17000000000002</v>
      </c>
      <c r="AK8" s="322">
        <v>121.59</v>
      </c>
      <c r="AL8" s="322">
        <v>77.2</v>
      </c>
      <c r="AM8" s="322">
        <v>125.45</v>
      </c>
      <c r="AN8" s="322">
        <v>59.83</v>
      </c>
      <c r="AO8" s="322">
        <v>81.06</v>
      </c>
      <c r="AP8" s="322">
        <v>71.41</v>
      </c>
      <c r="AQ8" s="322">
        <v>111.94</v>
      </c>
      <c r="AR8" s="322">
        <v>162.12</v>
      </c>
      <c r="AS8" s="322">
        <v>204.57999999999998</v>
      </c>
      <c r="AT8" s="322">
        <v>200.72</v>
      </c>
      <c r="AU8" s="322">
        <v>239.32</v>
      </c>
      <c r="AV8" s="322">
        <v>218.09</v>
      </c>
      <c r="AW8" s="322">
        <v>127.38</v>
      </c>
      <c r="AX8" s="322">
        <v>46</v>
      </c>
      <c r="AY8" s="322">
        <v>27</v>
      </c>
    </row>
    <row r="9" spans="1:51" x14ac:dyDescent="0.25">
      <c r="A9" s="305">
        <v>11</v>
      </c>
      <c r="B9" s="132" t="s">
        <v>3653</v>
      </c>
      <c r="C9" s="143" t="s">
        <v>3654</v>
      </c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30">
        <v>0</v>
      </c>
      <c r="U9" s="325">
        <v>0</v>
      </c>
      <c r="V9" s="325">
        <v>102.866</v>
      </c>
      <c r="W9" s="325">
        <v>161.22</v>
      </c>
      <c r="X9" s="325">
        <v>0</v>
      </c>
      <c r="Y9" s="325">
        <v>120.307</v>
      </c>
      <c r="Z9" s="325">
        <v>0</v>
      </c>
      <c r="AA9" s="325">
        <v>276.76900000000001</v>
      </c>
      <c r="AB9" s="322">
        <v>0</v>
      </c>
      <c r="AC9" s="322">
        <v>0</v>
      </c>
      <c r="AD9" s="322">
        <v>0</v>
      </c>
      <c r="AE9" s="322">
        <v>0</v>
      </c>
      <c r="AF9" s="322">
        <v>-1.0000000000474074E-3</v>
      </c>
      <c r="AG9" s="322">
        <v>379.846</v>
      </c>
      <c r="AH9" s="322">
        <v>0</v>
      </c>
      <c r="AI9" s="322">
        <v>660.15300000000002</v>
      </c>
      <c r="AJ9" s="322">
        <v>0</v>
      </c>
      <c r="AK9" s="322">
        <v>256.46899999999999</v>
      </c>
      <c r="AL9" s="322">
        <v>0</v>
      </c>
      <c r="AM9" s="322">
        <v>737.28899999999999</v>
      </c>
      <c r="AN9" s="322">
        <v>0</v>
      </c>
      <c r="AO9" s="322">
        <v>657.19600000000003</v>
      </c>
      <c r="AP9" s="322">
        <v>0</v>
      </c>
      <c r="AQ9" s="322">
        <v>656.05899999999997</v>
      </c>
      <c r="AR9" s="322">
        <v>0</v>
      </c>
      <c r="AS9" s="322">
        <v>650.78600000000006</v>
      </c>
      <c r="AT9" s="322">
        <v>0</v>
      </c>
      <c r="AU9" s="322">
        <v>753.69100000000003</v>
      </c>
      <c r="AV9" s="322">
        <v>0</v>
      </c>
      <c r="AW9" s="322">
        <v>813.077</v>
      </c>
      <c r="AX9" s="322">
        <v>0</v>
      </c>
      <c r="AY9" s="322">
        <v>836</v>
      </c>
    </row>
    <row r="10" spans="1:51" x14ac:dyDescent="0.25">
      <c r="A10" s="132">
        <v>148</v>
      </c>
      <c r="B10" s="132" t="s">
        <v>337</v>
      </c>
      <c r="C10" s="143" t="s">
        <v>336</v>
      </c>
      <c r="D10" s="324">
        <v>610.48997387946019</v>
      </c>
      <c r="E10" s="324">
        <v>1478.174250902458</v>
      </c>
      <c r="F10" s="324">
        <v>595.49109290128706</v>
      </c>
      <c r="G10" s="324">
        <v>683.68905199536948</v>
      </c>
      <c r="H10" s="324">
        <v>1060.5396031345795</v>
      </c>
      <c r="I10" s="324">
        <v>898.89726315679559</v>
      </c>
      <c r="J10" s="324">
        <v>841.2600140958391</v>
      </c>
      <c r="K10" s="324">
        <v>1373.3844089906811</v>
      </c>
      <c r="L10" s="324">
        <v>1316.8236597506541</v>
      </c>
      <c r="M10" s="324">
        <v>1178.2778043039759</v>
      </c>
      <c r="N10" s="324">
        <v>1138.7181561383222</v>
      </c>
      <c r="O10" s="324">
        <v>412.06578123366126</v>
      </c>
      <c r="P10" s="324">
        <v>686.77088420947371</v>
      </c>
      <c r="Q10" s="324">
        <v>608.09087060840466</v>
      </c>
      <c r="R10" s="324">
        <v>721.92090394428351</v>
      </c>
      <c r="S10" s="324">
        <v>1401.4283957696373</v>
      </c>
      <c r="T10" s="324">
        <v>823.48232987562267</v>
      </c>
      <c r="U10" s="324">
        <v>907.26811696270465</v>
      </c>
      <c r="V10" s="324">
        <v>1199.7076093853839</v>
      </c>
      <c r="W10" s="324">
        <v>1069.5642115501205</v>
      </c>
      <c r="X10" s="324">
        <v>1440.3204813119366</v>
      </c>
      <c r="Y10" s="324">
        <v>1278.655125252837</v>
      </c>
      <c r="Z10" s="324">
        <v>1162.6401733163955</v>
      </c>
      <c r="AA10" s="324">
        <v>690.29447796255545</v>
      </c>
      <c r="AB10" s="322">
        <v>723.74846391825929</v>
      </c>
      <c r="AC10" s="322">
        <v>1046.9857326967324</v>
      </c>
      <c r="AD10" s="322">
        <v>649.90606476756125</v>
      </c>
      <c r="AE10" s="322">
        <v>387.99878108619208</v>
      </c>
      <c r="AF10" s="322">
        <v>838.11760638373198</v>
      </c>
      <c r="AG10" s="322">
        <v>533.98729586001787</v>
      </c>
      <c r="AH10" s="322">
        <v>821.43710205050593</v>
      </c>
      <c r="AI10" s="322">
        <v>1014.8194681208821</v>
      </c>
      <c r="AJ10" s="322">
        <v>985.1052621099933</v>
      </c>
      <c r="AK10" s="322">
        <v>808.6290935397642</v>
      </c>
      <c r="AL10" s="322">
        <v>472.84090421859702</v>
      </c>
      <c r="AM10" s="322">
        <v>491.12870957809031</v>
      </c>
      <c r="AN10" s="322">
        <v>238.70422925054234</v>
      </c>
      <c r="AO10" s="322">
        <v>338.73229425865549</v>
      </c>
      <c r="AP10" s="322">
        <v>408.66169932288869</v>
      </c>
      <c r="AQ10" s="322">
        <v>530.51306173694149</v>
      </c>
      <c r="AR10" s="322">
        <v>710.90471570624732</v>
      </c>
      <c r="AS10" s="322">
        <v>829.39877051465817</v>
      </c>
      <c r="AT10" s="322">
        <v>760.17801347412103</v>
      </c>
      <c r="AU10" s="322">
        <v>696.82579823816889</v>
      </c>
      <c r="AV10" s="322">
        <v>836.24721029714851</v>
      </c>
      <c r="AW10" s="322">
        <v>278.10158756095348</v>
      </c>
      <c r="AX10" s="322">
        <v>982.80760406777677</v>
      </c>
      <c r="AY10" s="322">
        <v>19.98459069814697</v>
      </c>
    </row>
    <row r="11" spans="1:51" x14ac:dyDescent="0.25">
      <c r="A11" s="132">
        <v>44</v>
      </c>
      <c r="B11" s="132" t="s">
        <v>117</v>
      </c>
      <c r="C11" s="143" t="s">
        <v>116</v>
      </c>
      <c r="D11" s="324">
        <v>104.41616503666758</v>
      </c>
      <c r="E11" s="324">
        <v>192.78752457005638</v>
      </c>
      <c r="F11" s="324">
        <v>100.58115989674459</v>
      </c>
      <c r="G11" s="324">
        <v>95.27335569910575</v>
      </c>
      <c r="H11" s="324">
        <v>150.8437980697546</v>
      </c>
      <c r="I11" s="324">
        <v>130.18385170433157</v>
      </c>
      <c r="J11" s="324">
        <v>126.19260876836753</v>
      </c>
      <c r="K11" s="324">
        <v>185.55289210356298</v>
      </c>
      <c r="L11" s="324">
        <v>176.60249345704193</v>
      </c>
      <c r="M11" s="324">
        <v>164.90813468144509</v>
      </c>
      <c r="N11" s="324">
        <v>160.70881992060322</v>
      </c>
      <c r="O11" s="324">
        <v>82.818648629631483</v>
      </c>
      <c r="P11" s="324">
        <v>111.16964401553122</v>
      </c>
      <c r="Q11" s="324">
        <v>100.3382007821603</v>
      </c>
      <c r="R11" s="324">
        <v>113.47703008627806</v>
      </c>
      <c r="S11" s="324">
        <v>184.4725886933735</v>
      </c>
      <c r="T11" s="324">
        <v>124.58772250595219</v>
      </c>
      <c r="U11" s="324">
        <v>130.2166694660055</v>
      </c>
      <c r="V11" s="324">
        <v>163.23162106714247</v>
      </c>
      <c r="W11" s="324">
        <v>151.96589839147424</v>
      </c>
      <c r="X11" s="324">
        <v>188.84251638471244</v>
      </c>
      <c r="Y11" s="324">
        <v>174.83424938687693</v>
      </c>
      <c r="Z11" s="324">
        <v>163.0080215728168</v>
      </c>
      <c r="AA11" s="324">
        <v>110.45155267777631</v>
      </c>
      <c r="AB11" s="322">
        <v>114.40830593236852</v>
      </c>
      <c r="AC11" s="322">
        <v>146.78497843430654</v>
      </c>
      <c r="AD11" s="322">
        <v>104.28627915370701</v>
      </c>
      <c r="AE11" s="322">
        <v>74.654385225937119</v>
      </c>
      <c r="AF11" s="322">
        <v>125.6347495453581</v>
      </c>
      <c r="AG11" s="322">
        <v>89.053429480633213</v>
      </c>
      <c r="AH11" s="322">
        <v>122.70758425850097</v>
      </c>
      <c r="AI11" s="322">
        <v>145.63217677918917</v>
      </c>
      <c r="AJ11" s="322">
        <v>139.42710477175851</v>
      </c>
      <c r="AK11" s="322">
        <v>123.77591783899651</v>
      </c>
      <c r="AL11" s="322">
        <v>88.746455043086797</v>
      </c>
      <c r="AM11" s="322">
        <v>89.910675622251233</v>
      </c>
      <c r="AN11" s="322">
        <v>63.185958873754075</v>
      </c>
      <c r="AO11" s="322">
        <v>71.257950003059221</v>
      </c>
      <c r="AP11" s="322">
        <v>79.97347477245151</v>
      </c>
      <c r="AQ11" s="322">
        <v>91.828937395632536</v>
      </c>
      <c r="AR11" s="322">
        <v>114.99122751042968</v>
      </c>
      <c r="AS11" s="322">
        <v>123.99469680943926</v>
      </c>
      <c r="AT11" s="322">
        <v>126.9628902219015</v>
      </c>
      <c r="AU11" s="322">
        <v>127.76465808370672</v>
      </c>
      <c r="AV11" s="322">
        <v>136.90649018982543</v>
      </c>
      <c r="AW11" s="322">
        <v>74.539835713307795</v>
      </c>
      <c r="AX11" s="322">
        <v>143.01878205342103</v>
      </c>
      <c r="AY11" s="322">
        <v>38.592396409979045</v>
      </c>
    </row>
    <row r="12" spans="1:51" x14ac:dyDescent="0.25">
      <c r="A12" s="132">
        <v>37</v>
      </c>
      <c r="B12" s="132" t="s">
        <v>99</v>
      </c>
      <c r="C12" s="143" t="s">
        <v>98</v>
      </c>
      <c r="D12" s="324">
        <v>419.43413701937129</v>
      </c>
      <c r="E12" s="324">
        <v>924.72335262730587</v>
      </c>
      <c r="F12" s="324">
        <v>409.50444234324863</v>
      </c>
      <c r="G12" s="324">
        <v>440.24107026095089</v>
      </c>
      <c r="H12" s="324">
        <v>689.03651660241496</v>
      </c>
      <c r="I12" s="324">
        <v>594.33595435977679</v>
      </c>
      <c r="J12" s="324">
        <v>563.80186546837649</v>
      </c>
      <c r="K12" s="324">
        <v>879.24112329364186</v>
      </c>
      <c r="L12" s="324">
        <v>843.43718620742879</v>
      </c>
      <c r="M12" s="324">
        <v>758.95289905375046</v>
      </c>
      <c r="N12" s="324">
        <v>729.93516904328089</v>
      </c>
      <c r="O12" s="324">
        <v>300.7899842283453</v>
      </c>
      <c r="P12" s="324">
        <v>462.25911858512654</v>
      </c>
      <c r="Q12" s="324">
        <v>412.77464281219699</v>
      </c>
      <c r="R12" s="324">
        <v>483.04102354781179</v>
      </c>
      <c r="S12" s="324">
        <v>884.24653275783271</v>
      </c>
      <c r="T12" s="324">
        <v>547.741945398741</v>
      </c>
      <c r="U12" s="324">
        <v>597.64237719811251</v>
      </c>
      <c r="V12" s="324">
        <v>772.72325570010355</v>
      </c>
      <c r="W12" s="324">
        <v>698.14740173457437</v>
      </c>
      <c r="X12" s="324">
        <v>914.44028164566635</v>
      </c>
      <c r="Y12" s="324">
        <v>816.78837775250065</v>
      </c>
      <c r="Z12" s="324">
        <v>743.6448286248725</v>
      </c>
      <c r="AA12" s="324">
        <v>461.61602347939129</v>
      </c>
      <c r="AB12" s="322">
        <v>482.9652725369657</v>
      </c>
      <c r="AC12" s="322">
        <v>670.72793413869692</v>
      </c>
      <c r="AD12" s="322">
        <v>438.22988249335583</v>
      </c>
      <c r="AE12" s="322">
        <v>284.39653221606085</v>
      </c>
      <c r="AF12" s="322">
        <v>555.48643395693489</v>
      </c>
      <c r="AG12" s="322">
        <v>375.20069911002912</v>
      </c>
      <c r="AH12" s="322">
        <v>549.55964116160021</v>
      </c>
      <c r="AI12" s="322">
        <v>665.01001509876664</v>
      </c>
      <c r="AJ12" s="322">
        <v>644.66735596129752</v>
      </c>
      <c r="AK12" s="322">
        <v>538.39446369480208</v>
      </c>
      <c r="AL12" s="322">
        <v>336.30858070441997</v>
      </c>
      <c r="AM12" s="322">
        <v>345.35506314670653</v>
      </c>
      <c r="AN12" s="322">
        <v>198.04825991250988</v>
      </c>
      <c r="AO12" s="322">
        <v>253.57876766170062</v>
      </c>
      <c r="AP12" s="322">
        <v>298.37884963172723</v>
      </c>
      <c r="AQ12" s="322">
        <v>371.65706990963093</v>
      </c>
      <c r="AR12" s="322">
        <v>485.53949536262525</v>
      </c>
      <c r="AS12" s="322">
        <v>555.70711187214636</v>
      </c>
      <c r="AT12" s="322">
        <v>533.66269786029818</v>
      </c>
      <c r="AU12" s="322">
        <v>506.54230121725908</v>
      </c>
      <c r="AV12" s="322">
        <v>582.00056223317006</v>
      </c>
      <c r="AW12" s="322">
        <v>238.05267983685567</v>
      </c>
      <c r="AX12" s="322">
        <v>636.50215376162134</v>
      </c>
      <c r="AY12" s="322">
        <v>66.254545687079613</v>
      </c>
    </row>
    <row r="13" spans="1:51" x14ac:dyDescent="0.25">
      <c r="A13" s="132">
        <v>14</v>
      </c>
      <c r="B13" s="132" t="s">
        <v>51</v>
      </c>
      <c r="C13" s="1" t="s">
        <v>50</v>
      </c>
      <c r="D13" s="324">
        <v>15.684672806363917</v>
      </c>
      <c r="E13" s="324">
        <v>35.51464208344278</v>
      </c>
      <c r="F13" s="324">
        <v>15.244240525037</v>
      </c>
      <c r="G13" s="324">
        <v>16.662410610605804</v>
      </c>
      <c r="H13" s="324">
        <v>25.874671274803966</v>
      </c>
      <c r="I13" s="324">
        <v>22.087309064027838</v>
      </c>
      <c r="J13" s="324">
        <v>20.696358725634546</v>
      </c>
      <c r="K13" s="324">
        <v>33.001141653091643</v>
      </c>
      <c r="L13" s="324">
        <v>31.646231902892019</v>
      </c>
      <c r="M13" s="324">
        <v>28.523170050426781</v>
      </c>
      <c r="N13" s="324">
        <v>27.670119521091703</v>
      </c>
      <c r="O13" s="324">
        <v>11.085395522483578</v>
      </c>
      <c r="P13" s="324">
        <v>17.378625477598082</v>
      </c>
      <c r="Q13" s="324">
        <v>15.542026467618713</v>
      </c>
      <c r="R13" s="324">
        <v>18.123779234670174</v>
      </c>
      <c r="S13" s="324">
        <v>33.69176205620272</v>
      </c>
      <c r="T13" s="324">
        <v>20.390044630285228</v>
      </c>
      <c r="U13" s="324">
        <v>22.243572791884588</v>
      </c>
      <c r="V13" s="324">
        <v>28.885603580564805</v>
      </c>
      <c r="W13" s="324">
        <v>25.978008085183248</v>
      </c>
      <c r="X13" s="324">
        <v>34.447165400311192</v>
      </c>
      <c r="Y13" s="324">
        <v>30.800027986774758</v>
      </c>
      <c r="Z13" s="324">
        <v>28.209932615972978</v>
      </c>
      <c r="AA13" s="324">
        <v>17.391849768611753</v>
      </c>
      <c r="AB13" s="322">
        <v>18.19829438570439</v>
      </c>
      <c r="AC13" s="322">
        <v>25.608482145965667</v>
      </c>
      <c r="AD13" s="322">
        <v>16.405708091820809</v>
      </c>
      <c r="AE13" s="322">
        <v>10.336847530793484</v>
      </c>
      <c r="AF13" s="322">
        <v>20.705649451396507</v>
      </c>
      <c r="AG13" s="322">
        <v>13.611890825510908</v>
      </c>
      <c r="AH13" s="322">
        <v>20.189447087414663</v>
      </c>
      <c r="AI13" s="322">
        <v>24.702049230623352</v>
      </c>
      <c r="AJ13" s="322">
        <v>23.956757642410395</v>
      </c>
      <c r="AK13" s="322">
        <v>19.968477307195094</v>
      </c>
      <c r="AL13" s="322">
        <v>12.337550716605181</v>
      </c>
      <c r="AM13" s="322">
        <v>12.845796326566727</v>
      </c>
      <c r="AN13" s="322">
        <v>7.0772841107880486</v>
      </c>
      <c r="AO13" s="322">
        <v>9.3385596910187001</v>
      </c>
      <c r="AP13" s="322">
        <v>10.923592865143817</v>
      </c>
      <c r="AQ13" s="322">
        <v>13.695224985880738</v>
      </c>
      <c r="AR13" s="322">
        <v>17.90052851108139</v>
      </c>
      <c r="AS13" s="322">
        <v>20.542029345721676</v>
      </c>
      <c r="AT13" s="322">
        <v>19.187974241009002</v>
      </c>
      <c r="AU13" s="322">
        <v>17.993940708225427</v>
      </c>
      <c r="AV13" s="322">
        <v>21.053178103989701</v>
      </c>
      <c r="AW13" s="322">
        <v>8.0543057364382573</v>
      </c>
      <c r="AX13" s="322">
        <v>24.047732440238857</v>
      </c>
      <c r="AY13" s="322">
        <v>1.9780961871158436</v>
      </c>
    </row>
    <row r="14" spans="1:51" x14ac:dyDescent="0.25">
      <c r="A14" s="132">
        <v>46</v>
      </c>
      <c r="B14" s="132" t="s">
        <v>123</v>
      </c>
      <c r="C14" s="143" t="s">
        <v>3546</v>
      </c>
      <c r="D14" s="324">
        <v>18.71711587410006</v>
      </c>
      <c r="E14" s="324">
        <v>40.53690010590207</v>
      </c>
      <c r="F14" s="324">
        <v>18.413733108365332</v>
      </c>
      <c r="G14" s="324">
        <v>19.321692513147962</v>
      </c>
      <c r="H14" s="324">
        <v>29.967465945819505</v>
      </c>
      <c r="I14" s="324">
        <v>25.93062311175094</v>
      </c>
      <c r="J14" s="324">
        <v>24.119425016655129</v>
      </c>
      <c r="K14" s="324">
        <v>37.881406495861583</v>
      </c>
      <c r="L14" s="324">
        <v>36.412627172361226</v>
      </c>
      <c r="M14" s="324">
        <v>33.03533502749525</v>
      </c>
      <c r="N14" s="324">
        <v>32.0133404583515</v>
      </c>
      <c r="O14" s="324">
        <v>13.665972898964906</v>
      </c>
      <c r="P14" s="324">
        <v>20.509294213148323</v>
      </c>
      <c r="Q14" s="324">
        <v>18.758219856671786</v>
      </c>
      <c r="R14" s="324">
        <v>21.527925335201591</v>
      </c>
      <c r="S14" s="324">
        <v>38.549849796716835</v>
      </c>
      <c r="T14" s="324">
        <v>23.937602278695142</v>
      </c>
      <c r="U14" s="324">
        <v>26.055393121452688</v>
      </c>
      <c r="V14" s="324">
        <v>33.005767372630842</v>
      </c>
      <c r="W14" s="324">
        <v>30.160584444567505</v>
      </c>
      <c r="X14" s="324">
        <v>39.42100830651821</v>
      </c>
      <c r="Y14" s="324">
        <v>35.48215193474978</v>
      </c>
      <c r="Z14" s="324">
        <v>32.590750856205609</v>
      </c>
      <c r="AA14" s="324">
        <v>20.46534984766275</v>
      </c>
      <c r="AB14" s="322">
        <v>21.375012071123411</v>
      </c>
      <c r="AC14" s="322">
        <v>29.725462361914918</v>
      </c>
      <c r="AD14" s="322">
        <v>19.580589098901815</v>
      </c>
      <c r="AE14" s="322">
        <v>12.974185327949137</v>
      </c>
      <c r="AF14" s="322">
        <v>24.258437094336191</v>
      </c>
      <c r="AG14" s="322">
        <v>16.563452978867417</v>
      </c>
      <c r="AH14" s="322">
        <v>23.508574421479057</v>
      </c>
      <c r="AI14" s="322">
        <v>28.744487992843688</v>
      </c>
      <c r="AJ14" s="322">
        <v>27.927724435014319</v>
      </c>
      <c r="AK14" s="322">
        <v>23.616601491223296</v>
      </c>
      <c r="AL14" s="322">
        <v>15.237571635711104</v>
      </c>
      <c r="AM14" s="322">
        <v>15.532861447533321</v>
      </c>
      <c r="AN14" s="322">
        <v>9.2601682838123747</v>
      </c>
      <c r="AO14" s="322">
        <v>11.970477891126343</v>
      </c>
      <c r="AP14" s="322">
        <v>13.665966815497287</v>
      </c>
      <c r="AQ14" s="322">
        <v>16.739737004076165</v>
      </c>
      <c r="AR14" s="322">
        <v>21.331444048692042</v>
      </c>
      <c r="AS14" s="322">
        <v>24.309303578130866</v>
      </c>
      <c r="AT14" s="322">
        <v>22.869736083585487</v>
      </c>
      <c r="AU14" s="322">
        <v>22.191016704340178</v>
      </c>
      <c r="AV14" s="322">
        <v>25.452087924264326</v>
      </c>
      <c r="AW14" s="322">
        <v>10.971983358428664</v>
      </c>
      <c r="AX14" s="322">
        <v>28.011168975444384</v>
      </c>
      <c r="AY14" s="322">
        <v>3.6305553439239553</v>
      </c>
    </row>
    <row r="15" spans="1:51" x14ac:dyDescent="0.25">
      <c r="A15" s="132">
        <v>327</v>
      </c>
      <c r="B15" s="132" t="s">
        <v>558</v>
      </c>
      <c r="C15" s="215" t="s">
        <v>557</v>
      </c>
      <c r="D15" s="324">
        <v>71.203320718204282</v>
      </c>
      <c r="E15" s="324">
        <v>63.810352352040375</v>
      </c>
      <c r="F15" s="324">
        <v>81.764705882352942</v>
      </c>
      <c r="G15" s="324">
        <v>37.393318328877001</v>
      </c>
      <c r="H15" s="324">
        <v>24.598930481283421</v>
      </c>
      <c r="I15" s="324">
        <v>33.315508021390372</v>
      </c>
      <c r="J15" s="324">
        <v>56.417112299465238</v>
      </c>
      <c r="K15" s="324">
        <v>78.810160427807489</v>
      </c>
      <c r="L15" s="324">
        <v>93.328877005347593</v>
      </c>
      <c r="M15" s="324">
        <v>69.959893048128336</v>
      </c>
      <c r="N15" s="324">
        <v>23.609625668449198</v>
      </c>
      <c r="O15" s="324">
        <v>70.61497326203208</v>
      </c>
      <c r="P15" s="324">
        <v>73.422459893048128</v>
      </c>
      <c r="Q15" s="324">
        <v>64.826203208556151</v>
      </c>
      <c r="R15" s="324">
        <v>90.857834224598932</v>
      </c>
      <c r="S15" s="324">
        <v>35.508245368386362</v>
      </c>
      <c r="T15" s="324">
        <v>35.508021390374331</v>
      </c>
      <c r="U15" s="324">
        <v>29.438502673796791</v>
      </c>
      <c r="V15" s="324">
        <v>35.534759358288767</v>
      </c>
      <c r="W15" s="324">
        <v>41.63101604278075</v>
      </c>
      <c r="X15" s="324">
        <v>94.759358288770059</v>
      </c>
      <c r="Y15" s="324">
        <v>101.27005347593582</v>
      </c>
      <c r="Z15" s="324">
        <v>77.433155080213908</v>
      </c>
      <c r="AA15" s="324">
        <v>44.786096256684495</v>
      </c>
      <c r="AB15" s="322">
        <v>40.387700534759361</v>
      </c>
      <c r="AC15" s="322">
        <v>87.820855614973269</v>
      </c>
      <c r="AD15" s="322">
        <v>40.387700534759361</v>
      </c>
      <c r="AE15" s="322">
        <v>4.121293175029245</v>
      </c>
      <c r="AF15" s="322">
        <v>4.0508021390374331</v>
      </c>
      <c r="AG15" s="322">
        <v>4.7192513368983962</v>
      </c>
      <c r="AH15" s="322">
        <v>4.6657754010695189</v>
      </c>
      <c r="AI15" s="322">
        <v>4.4518716577540109</v>
      </c>
      <c r="AJ15" s="322">
        <v>4.4117647058823533</v>
      </c>
      <c r="AK15" s="322">
        <v>4.5855614973262036</v>
      </c>
      <c r="AL15" s="322">
        <v>4.2914438502673793</v>
      </c>
      <c r="AM15" s="322">
        <v>3.0882352941176472</v>
      </c>
      <c r="AN15" s="322">
        <v>3.7032085561497325</v>
      </c>
      <c r="AO15" s="322">
        <v>2.7406417112299466</v>
      </c>
      <c r="AP15" s="322">
        <v>3.7967914438502675</v>
      </c>
      <c r="AQ15" s="322">
        <v>3.6096256684491981</v>
      </c>
      <c r="AR15" s="322">
        <v>3.3155080213903743</v>
      </c>
      <c r="AS15" s="322">
        <v>4.6925133689839571</v>
      </c>
      <c r="AT15" s="322">
        <v>7.3128342245989302</v>
      </c>
      <c r="AU15" s="322">
        <v>36.778074866310163</v>
      </c>
      <c r="AV15" s="322">
        <v>77.058823529411768</v>
      </c>
      <c r="AW15" s="322">
        <v>65.521390374331546</v>
      </c>
      <c r="AX15" s="322">
        <v>65.588235294117652</v>
      </c>
      <c r="AY15" s="322">
        <v>28.689839572192515</v>
      </c>
    </row>
    <row r="16" spans="1:51" x14ac:dyDescent="0.25">
      <c r="A16" s="132">
        <v>32</v>
      </c>
      <c r="B16" s="132" t="s">
        <v>93</v>
      </c>
      <c r="C16" s="143" t="s">
        <v>92</v>
      </c>
      <c r="D16" s="324">
        <v>105.91363223257183</v>
      </c>
      <c r="E16" s="324">
        <v>156.60458371952103</v>
      </c>
      <c r="F16" s="324">
        <v>100.90340649512717</v>
      </c>
      <c r="G16" s="324">
        <v>82.662019456612057</v>
      </c>
      <c r="H16" s="324">
        <v>133.9060873302283</v>
      </c>
      <c r="I16" s="324">
        <v>116.80030231409845</v>
      </c>
      <c r="J16" s="324">
        <v>117.31046393759664</v>
      </c>
      <c r="K16" s="324">
        <v>157.85002259384385</v>
      </c>
      <c r="L16" s="324">
        <v>148.48057258176502</v>
      </c>
      <c r="M16" s="324">
        <v>144.63752432494414</v>
      </c>
      <c r="N16" s="324">
        <v>141.760025824542</v>
      </c>
      <c r="O16" s="324">
        <v>91.994528118660128</v>
      </c>
      <c r="P16" s="324">
        <v>108.74875232473821</v>
      </c>
      <c r="Q16" s="324">
        <v>98.788466928503695</v>
      </c>
      <c r="R16" s="324">
        <v>108.42023172996579</v>
      </c>
      <c r="S16" s="324">
        <v>151.63945500029428</v>
      </c>
      <c r="T16" s="324">
        <v>116.37982074087492</v>
      </c>
      <c r="U16" s="324">
        <v>115.94652381396892</v>
      </c>
      <c r="V16" s="324">
        <v>139.37870672144422</v>
      </c>
      <c r="W16" s="324">
        <v>135.47102530691933</v>
      </c>
      <c r="X16" s="324">
        <v>155.21988339581003</v>
      </c>
      <c r="Y16" s="324">
        <v>150.071421748174</v>
      </c>
      <c r="Z16" s="324">
        <v>142.94570280464725</v>
      </c>
      <c r="AA16" s="324">
        <v>107.2867715104931</v>
      </c>
      <c r="AB16" s="322">
        <v>110.06505619168237</v>
      </c>
      <c r="AC16" s="322">
        <v>127.6464982400387</v>
      </c>
      <c r="AD16" s="322">
        <v>101.10506789624451</v>
      </c>
      <c r="AE16" s="322">
        <v>80.783053014701437</v>
      </c>
      <c r="AF16" s="322">
        <v>116.50759658729885</v>
      </c>
      <c r="AG16" s="322">
        <v>88.672920457717353</v>
      </c>
      <c r="AH16" s="322">
        <v>113.69271819128899</v>
      </c>
      <c r="AI16" s="322">
        <v>130.96503106383082</v>
      </c>
      <c r="AJ16" s="322">
        <v>123.23315766225912</v>
      </c>
      <c r="AK16" s="322">
        <v>116.97705054268796</v>
      </c>
      <c r="AL16" s="322">
        <v>95.502676717156191</v>
      </c>
      <c r="AM16" s="322">
        <v>95.081553071365207</v>
      </c>
      <c r="AN16" s="322">
        <v>78.357225139066855</v>
      </c>
      <c r="AO16" s="322">
        <v>80.138204393919949</v>
      </c>
      <c r="AP16" s="322">
        <v>87.24562627084029</v>
      </c>
      <c r="AQ16" s="322">
        <v>93.595902026005547</v>
      </c>
      <c r="AR16" s="322">
        <v>112.83232105996704</v>
      </c>
      <c r="AS16" s="322">
        <v>114.14984637813868</v>
      </c>
      <c r="AT16" s="322">
        <v>127.58437628856704</v>
      </c>
      <c r="AU16" s="322">
        <v>136.59713247547015</v>
      </c>
      <c r="AV16" s="322">
        <v>135.44643096000553</v>
      </c>
      <c r="AW16" s="322">
        <v>93.648377685168626</v>
      </c>
      <c r="AX16" s="322">
        <v>129.53023474006389</v>
      </c>
      <c r="AY16" s="322">
        <v>61.694980556437173</v>
      </c>
    </row>
    <row r="17" spans="1:51" x14ac:dyDescent="0.25">
      <c r="A17" s="132">
        <v>110</v>
      </c>
      <c r="B17" s="342" t="s">
        <v>259</v>
      </c>
      <c r="C17" s="143" t="s">
        <v>258</v>
      </c>
      <c r="D17" s="324">
        <v>0</v>
      </c>
      <c r="E17" s="324">
        <v>0</v>
      </c>
      <c r="F17" s="324">
        <v>0</v>
      </c>
      <c r="G17" s="324">
        <v>0</v>
      </c>
      <c r="H17" s="324"/>
      <c r="I17" s="324"/>
      <c r="J17" s="324"/>
      <c r="K17" s="324"/>
      <c r="L17" s="324"/>
      <c r="M17" s="324"/>
      <c r="N17" s="324"/>
      <c r="O17" s="324"/>
      <c r="P17" s="324"/>
      <c r="Q17" s="324"/>
      <c r="R17" s="324"/>
      <c r="S17" s="324"/>
      <c r="T17" s="324">
        <v>0</v>
      </c>
      <c r="U17" s="324">
        <v>0</v>
      </c>
      <c r="V17" s="324">
        <v>0</v>
      </c>
      <c r="W17" s="324">
        <v>0</v>
      </c>
      <c r="X17" s="324">
        <v>0</v>
      </c>
      <c r="Y17" s="324">
        <v>0</v>
      </c>
      <c r="Z17" s="324">
        <v>0</v>
      </c>
      <c r="AA17" s="324">
        <v>0</v>
      </c>
      <c r="AB17" s="301">
        <v>0</v>
      </c>
      <c r="AC17" s="322">
        <v>0</v>
      </c>
      <c r="AD17" s="322">
        <v>0</v>
      </c>
      <c r="AE17" s="322">
        <v>0</v>
      </c>
      <c r="AF17" s="322">
        <v>0</v>
      </c>
      <c r="AG17" s="322">
        <v>0</v>
      </c>
      <c r="AH17" s="322">
        <v>0</v>
      </c>
      <c r="AI17" s="322">
        <v>0</v>
      </c>
      <c r="AJ17" s="322">
        <v>0</v>
      </c>
      <c r="AK17" s="322">
        <v>0</v>
      </c>
      <c r="AL17" s="322">
        <v>0</v>
      </c>
      <c r="AM17" s="322">
        <v>0</v>
      </c>
      <c r="AN17" s="322">
        <v>0</v>
      </c>
      <c r="AO17" s="322">
        <v>0</v>
      </c>
      <c r="AP17" s="322">
        <v>0</v>
      </c>
      <c r="AQ17" s="322">
        <v>0</v>
      </c>
      <c r="AR17" s="322">
        <v>0</v>
      </c>
      <c r="AS17" s="322">
        <v>0</v>
      </c>
      <c r="AT17" s="322">
        <v>0</v>
      </c>
      <c r="AU17" s="322">
        <v>0</v>
      </c>
      <c r="AV17" s="322">
        <v>0</v>
      </c>
      <c r="AW17" s="322">
        <v>0</v>
      </c>
      <c r="AX17" s="322">
        <v>0</v>
      </c>
      <c r="AY17" s="322">
        <v>0</v>
      </c>
    </row>
    <row r="18" spans="1:51" s="301" customFormat="1" x14ac:dyDescent="0.25">
      <c r="A18" s="132">
        <v>73</v>
      </c>
      <c r="B18" s="132" t="s">
        <v>174</v>
      </c>
      <c r="C18" s="143" t="s">
        <v>3660</v>
      </c>
      <c r="D18" s="324">
        <v>86.417830896471088</v>
      </c>
      <c r="E18" s="324">
        <v>154.77478454985496</v>
      </c>
      <c r="F18" s="324">
        <v>83.491576775108683</v>
      </c>
      <c r="G18" s="324">
        <v>76.535579518342786</v>
      </c>
      <c r="H18" s="324">
        <v>121.08309175623766</v>
      </c>
      <c r="I18" s="324">
        <v>106.86327345956407</v>
      </c>
      <c r="J18" s="324">
        <v>102.04823405643032</v>
      </c>
      <c r="K18" s="324">
        <v>145.88538205736762</v>
      </c>
      <c r="L18" s="324">
        <v>140.86370020741879</v>
      </c>
      <c r="M18" s="324">
        <v>131.6451371520628</v>
      </c>
      <c r="N18" s="324">
        <v>126.99521559090465</v>
      </c>
      <c r="O18" s="324">
        <v>69.13984741196343</v>
      </c>
      <c r="P18" s="324">
        <v>91.354179847154384</v>
      </c>
      <c r="Q18" s="324">
        <v>84.117689801279909</v>
      </c>
      <c r="R18" s="324">
        <v>93.253119335479965</v>
      </c>
      <c r="S18" s="324">
        <v>146.83862436422507</v>
      </c>
      <c r="T18" s="324">
        <v>100.85134014929523</v>
      </c>
      <c r="U18" s="324">
        <v>106.70633304574852</v>
      </c>
      <c r="V18" s="324">
        <v>130.20167080981355</v>
      </c>
      <c r="W18" s="324">
        <v>120.07546954451442</v>
      </c>
      <c r="X18" s="324">
        <v>150.07851539152637</v>
      </c>
      <c r="Y18" s="324">
        <v>139.12882747570197</v>
      </c>
      <c r="Z18" s="324">
        <v>128.72768293029503</v>
      </c>
      <c r="AA18" s="324">
        <v>89.974030205837678</v>
      </c>
      <c r="AB18" s="322">
        <v>93.714387945428939</v>
      </c>
      <c r="AC18" s="322">
        <v>119.57703691109936</v>
      </c>
      <c r="AD18" s="322">
        <v>85.955453796029474</v>
      </c>
      <c r="AE18" s="322">
        <v>62.546303541370897</v>
      </c>
      <c r="AF18" s="322">
        <v>101.57474540595591</v>
      </c>
      <c r="AG18" s="322">
        <v>74.927581423858285</v>
      </c>
      <c r="AH18" s="322">
        <v>99.174996513771035</v>
      </c>
      <c r="AI18" s="322">
        <v>115.18077801975056</v>
      </c>
      <c r="AJ18" s="322">
        <v>112.13884065455143</v>
      </c>
      <c r="AK18" s="322">
        <v>99.941896253246867</v>
      </c>
      <c r="AL18" s="322">
        <v>71.854508732491226</v>
      </c>
      <c r="AM18" s="322">
        <v>74.365422614351132</v>
      </c>
      <c r="AN18" s="322">
        <v>54.614565433351757</v>
      </c>
      <c r="AO18" s="322">
        <v>61.796580056143561</v>
      </c>
      <c r="AP18" s="322">
        <v>67.606170156809597</v>
      </c>
      <c r="AQ18" s="322">
        <v>76.007275210788052</v>
      </c>
      <c r="AR18" s="322">
        <v>93.874031945600464</v>
      </c>
      <c r="AS18" s="322">
        <v>102.38707688381098</v>
      </c>
      <c r="AT18" s="322">
        <v>104.06179826936338</v>
      </c>
      <c r="AU18" s="322">
        <v>103.14050870282381</v>
      </c>
      <c r="AV18" s="322">
        <v>112.3406143910815</v>
      </c>
      <c r="AW18" s="322">
        <v>63.308597351448761</v>
      </c>
      <c r="AX18" s="322">
        <v>113.35430479976436</v>
      </c>
      <c r="AY18" s="322">
        <v>34.949829859504028</v>
      </c>
    </row>
    <row r="19" spans="1:51" s="301" customFormat="1" x14ac:dyDescent="0.25">
      <c r="A19" s="132">
        <v>502</v>
      </c>
      <c r="B19" s="132" t="s">
        <v>174</v>
      </c>
      <c r="C19" s="134" t="s">
        <v>3660</v>
      </c>
      <c r="D19" s="324">
        <v>183.98796791443851</v>
      </c>
      <c r="E19" s="324">
        <v>249.96791443850267</v>
      </c>
      <c r="F19" s="324">
        <v>195.8783422459893</v>
      </c>
      <c r="G19" s="324">
        <v>420.81283422459893</v>
      </c>
      <c r="H19" s="324">
        <v>390.53208556149735</v>
      </c>
      <c r="I19" s="324">
        <v>407.17245989304814</v>
      </c>
      <c r="J19" s="324">
        <v>487.52005347593581</v>
      </c>
      <c r="K19" s="324">
        <v>476.26470588235293</v>
      </c>
      <c r="L19" s="324">
        <v>464.35695187165777</v>
      </c>
      <c r="M19" s="324">
        <v>303.61898395721926</v>
      </c>
      <c r="N19" s="324">
        <v>376.99064171122996</v>
      </c>
      <c r="O19" s="324">
        <v>154.77005347593584</v>
      </c>
      <c r="P19" s="324">
        <v>105.11096256684492</v>
      </c>
      <c r="Q19" s="324">
        <v>49.675133689839569</v>
      </c>
      <c r="R19" s="324">
        <v>282.3368983957219</v>
      </c>
      <c r="S19" s="324">
        <v>408.94786096256684</v>
      </c>
      <c r="T19" s="324">
        <v>155.8716577540107</v>
      </c>
      <c r="U19" s="324">
        <v>400.5735294117647</v>
      </c>
      <c r="V19" s="324">
        <v>512.50133689839572</v>
      </c>
      <c r="W19" s="324">
        <v>516.10695187165777</v>
      </c>
      <c r="X19" s="324">
        <v>466.23796791443851</v>
      </c>
      <c r="Y19" s="324">
        <v>379.05080213903744</v>
      </c>
      <c r="Z19" s="324">
        <v>195.34224598930481</v>
      </c>
      <c r="AA19" s="324">
        <v>89.943850267379673</v>
      </c>
      <c r="AB19" s="322">
        <v>142.65106951871658</v>
      </c>
      <c r="AC19" s="322">
        <v>241.16042780748663</v>
      </c>
      <c r="AD19" s="322">
        <v>142.65106951871658</v>
      </c>
      <c r="AE19" s="322">
        <v>167.56951871657753</v>
      </c>
      <c r="AF19" s="322">
        <v>365.17379679144386</v>
      </c>
      <c r="AG19" s="322">
        <v>512.07887700534764</v>
      </c>
      <c r="AH19" s="322">
        <v>577.0066844919786</v>
      </c>
      <c r="AI19" s="322">
        <v>588.92647058823525</v>
      </c>
      <c r="AJ19" s="322">
        <v>468.33288770053474</v>
      </c>
      <c r="AK19" s="322">
        <v>310.81016042780749</v>
      </c>
      <c r="AL19" s="322">
        <v>195.13368983957218</v>
      </c>
      <c r="AM19" s="322">
        <v>127.54545454545455</v>
      </c>
      <c r="AN19" s="322">
        <v>170.50935828877004</v>
      </c>
      <c r="AO19" s="322">
        <v>212.38636363636363</v>
      </c>
      <c r="AP19" s="322">
        <v>235.798128342246</v>
      </c>
      <c r="AQ19" s="322">
        <v>337.59491978609628</v>
      </c>
      <c r="AR19" s="322">
        <v>465.3716577540107</v>
      </c>
      <c r="AS19" s="322">
        <v>448.60427807486633</v>
      </c>
      <c r="AT19" s="322">
        <v>516.19786096256689</v>
      </c>
      <c r="AU19" s="322">
        <v>457.85160427807489</v>
      </c>
      <c r="AV19" s="322">
        <v>424.46657754010693</v>
      </c>
      <c r="AW19" s="322">
        <v>226.298128342246</v>
      </c>
      <c r="AX19" s="322">
        <v>291.29010695187168</v>
      </c>
      <c r="AY19" s="322">
        <v>59.467914438502675</v>
      </c>
    </row>
    <row r="20" spans="1:51" s="301" customFormat="1" x14ac:dyDescent="0.25">
      <c r="A20" s="132">
        <v>23</v>
      </c>
      <c r="B20" s="132" t="s">
        <v>72</v>
      </c>
      <c r="C20" s="143" t="s">
        <v>71</v>
      </c>
      <c r="D20" s="324">
        <v>137.78868195400875</v>
      </c>
      <c r="E20" s="324">
        <v>308.18409176654882</v>
      </c>
      <c r="F20" s="324">
        <v>133.69478031483715</v>
      </c>
      <c r="G20" s="324">
        <v>144.84769410460629</v>
      </c>
      <c r="H20" s="324">
        <v>225.8119139107695</v>
      </c>
      <c r="I20" s="324">
        <v>191.86150526736742</v>
      </c>
      <c r="J20" s="324">
        <v>181.26767202842868</v>
      </c>
      <c r="K20" s="324">
        <v>288.07603067389601</v>
      </c>
      <c r="L20" s="324">
        <v>275.51098746408422</v>
      </c>
      <c r="M20" s="324">
        <v>249.9307254514631</v>
      </c>
      <c r="N20" s="324">
        <v>242.59054531898363</v>
      </c>
      <c r="O20" s="324">
        <v>98.319874300165594</v>
      </c>
      <c r="P20" s="324">
        <v>152.33738490806385</v>
      </c>
      <c r="Q20" s="324">
        <v>135.70119341289754</v>
      </c>
      <c r="R20" s="324">
        <v>158.53250326272692</v>
      </c>
      <c r="S20" s="324">
        <v>292.45665114717121</v>
      </c>
      <c r="T20" s="324">
        <v>178.38175123321633</v>
      </c>
      <c r="U20" s="324">
        <v>193.18348040851617</v>
      </c>
      <c r="V20" s="324">
        <v>251.91532169395225</v>
      </c>
      <c r="W20" s="324">
        <v>227.32511627555795</v>
      </c>
      <c r="X20" s="324">
        <v>299.64586503044927</v>
      </c>
      <c r="Y20" s="324">
        <v>269.52515086543411</v>
      </c>
      <c r="Z20" s="324">
        <v>247.22982888997308</v>
      </c>
      <c r="AA20" s="324">
        <v>152.65271375959313</v>
      </c>
      <c r="AB20" s="322">
        <v>159.3750562679364</v>
      </c>
      <c r="AC20" s="322">
        <v>222.62703440082049</v>
      </c>
      <c r="AD20" s="322">
        <v>143.61103766790177</v>
      </c>
      <c r="AE20" s="322">
        <v>90.674545713584195</v>
      </c>
      <c r="AF20" s="322">
        <v>181.07576855431967</v>
      </c>
      <c r="AG20" s="322">
        <v>118.59154311188334</v>
      </c>
      <c r="AH20" s="322">
        <v>176.79498228352168</v>
      </c>
      <c r="AI20" s="322">
        <v>216.2661018739737</v>
      </c>
      <c r="AJ20" s="322">
        <v>208.9895315105241</v>
      </c>
      <c r="AK20" s="322">
        <v>175.88758453886473</v>
      </c>
      <c r="AL20" s="322">
        <v>110.07516788383906</v>
      </c>
      <c r="AM20" s="322">
        <v>113.4354154189698</v>
      </c>
      <c r="AN20" s="322">
        <v>63.354866988096411</v>
      </c>
      <c r="AO20" s="322">
        <v>82.1091792151351</v>
      </c>
      <c r="AP20" s="322">
        <v>96.340829681438237</v>
      </c>
      <c r="AQ20" s="322">
        <v>119.7628289621275</v>
      </c>
      <c r="AR20" s="322">
        <v>157.02939263861819</v>
      </c>
      <c r="AS20" s="322">
        <v>178.55479110438074</v>
      </c>
      <c r="AT20" s="322">
        <v>168.88940066205819</v>
      </c>
      <c r="AU20" s="322">
        <v>159.57912908847715</v>
      </c>
      <c r="AV20" s="322">
        <v>184.71974240671184</v>
      </c>
      <c r="AW20" s="322">
        <v>73.652941499381129</v>
      </c>
      <c r="AX20" s="322">
        <v>211.20628421686678</v>
      </c>
      <c r="AY20" s="322">
        <v>19.501439101250909</v>
      </c>
    </row>
    <row r="21" spans="1:51" s="301" customFormat="1" x14ac:dyDescent="0.25">
      <c r="A21" s="132">
        <v>84</v>
      </c>
      <c r="B21" s="132" t="s">
        <v>198</v>
      </c>
      <c r="C21" s="143" t="s">
        <v>197</v>
      </c>
      <c r="D21" s="324">
        <v>63.937158430531049</v>
      </c>
      <c r="E21" s="324">
        <v>127.45772053795241</v>
      </c>
      <c r="F21" s="324">
        <v>63.110515728247542</v>
      </c>
      <c r="G21" s="324">
        <v>62.248888394583858</v>
      </c>
      <c r="H21" s="324">
        <v>96.779048389583224</v>
      </c>
      <c r="I21" s="324">
        <v>85.040264902380613</v>
      </c>
      <c r="J21" s="324">
        <v>79.219843636283727</v>
      </c>
      <c r="K21" s="324">
        <v>120.14095467680544</v>
      </c>
      <c r="L21" s="324">
        <v>115.70997203492577</v>
      </c>
      <c r="M21" s="324">
        <v>105.93035243101588</v>
      </c>
      <c r="N21" s="324">
        <v>102.70676295685858</v>
      </c>
      <c r="O21" s="324">
        <v>48.961534200758756</v>
      </c>
      <c r="P21" s="324">
        <v>68.839924419572412</v>
      </c>
      <c r="Q21" s="324">
        <v>63.986086828407551</v>
      </c>
      <c r="R21" s="324">
        <v>72.050579614002402</v>
      </c>
      <c r="S21" s="324">
        <v>121.68185365283139</v>
      </c>
      <c r="T21" s="324">
        <v>78.940790094868888</v>
      </c>
      <c r="U21" s="324">
        <v>85.169893372948124</v>
      </c>
      <c r="V21" s="324">
        <v>104.86568249393302</v>
      </c>
      <c r="W21" s="324">
        <v>97.317821339969981</v>
      </c>
      <c r="X21" s="324">
        <v>124.24702652648715</v>
      </c>
      <c r="Y21" s="324">
        <v>112.88211725659708</v>
      </c>
      <c r="Z21" s="324">
        <v>104.33226446275076</v>
      </c>
      <c r="AA21" s="324">
        <v>68.327796542285569</v>
      </c>
      <c r="AB21" s="322">
        <v>71.199342404287748</v>
      </c>
      <c r="AC21" s="322">
        <v>95.90009587075788</v>
      </c>
      <c r="AD21" s="322">
        <v>65.985572507851586</v>
      </c>
      <c r="AE21" s="322">
        <v>46.583676373692846</v>
      </c>
      <c r="AF21" s="322">
        <v>79.75020452909753</v>
      </c>
      <c r="AG21" s="322">
        <v>57.097701449443697</v>
      </c>
      <c r="AH21" s="322">
        <v>77.105244352126476</v>
      </c>
      <c r="AI21" s="322">
        <v>93.063588479804707</v>
      </c>
      <c r="AJ21" s="322">
        <v>90.47739484849663</v>
      </c>
      <c r="AK21" s="322">
        <v>78.028169329341324</v>
      </c>
      <c r="AL21" s="322">
        <v>53.525503611239159</v>
      </c>
      <c r="AM21" s="322">
        <v>54.096720074479762</v>
      </c>
      <c r="AN21" s="322">
        <v>35.964246272698126</v>
      </c>
      <c r="AO21" s="322">
        <v>44.083977734244762</v>
      </c>
      <c r="AP21" s="322">
        <v>49.081855919419056</v>
      </c>
      <c r="AQ21" s="322">
        <v>58.091123616687575</v>
      </c>
      <c r="AR21" s="322">
        <v>71.930176075490948</v>
      </c>
      <c r="AS21" s="322">
        <v>80.641776509887322</v>
      </c>
      <c r="AT21" s="322">
        <v>77.852801198848596</v>
      </c>
      <c r="AU21" s="322">
        <v>77.874375950154217</v>
      </c>
      <c r="AV21" s="322">
        <v>86.737972798083177</v>
      </c>
      <c r="AW21" s="322">
        <v>42.907941447972753</v>
      </c>
      <c r="AX21" s="322">
        <v>90.775974623012232</v>
      </c>
      <c r="AY21" s="322">
        <v>19.111777203998919</v>
      </c>
    </row>
    <row r="22" spans="1:51" s="301" customFormat="1" x14ac:dyDescent="0.25">
      <c r="A22" s="62">
        <v>501</v>
      </c>
      <c r="B22" s="327" t="s">
        <v>591</v>
      </c>
      <c r="C22" s="100" t="s">
        <v>590</v>
      </c>
      <c r="D22" s="324">
        <v>130.34358288770053</v>
      </c>
      <c r="E22" s="324">
        <v>157.83823529411765</v>
      </c>
      <c r="F22" s="324">
        <v>98.442513368983953</v>
      </c>
      <c r="G22" s="324">
        <v>231.32887700534761</v>
      </c>
      <c r="H22" s="324">
        <v>332.07887700534758</v>
      </c>
      <c r="I22" s="324">
        <v>329.31951871657753</v>
      </c>
      <c r="J22" s="324">
        <v>464.51336898395721</v>
      </c>
      <c r="K22" s="324">
        <v>436.2566844919786</v>
      </c>
      <c r="L22" s="324">
        <v>395.31951871657753</v>
      </c>
      <c r="M22" s="324">
        <v>242.79010695187165</v>
      </c>
      <c r="N22" s="324">
        <v>148.26203208556149</v>
      </c>
      <c r="O22" s="324">
        <v>86.042780748663105</v>
      </c>
      <c r="P22" s="324">
        <v>61.824866310160431</v>
      </c>
      <c r="Q22" s="324">
        <v>15.017379679144385</v>
      </c>
      <c r="R22" s="324">
        <v>87.040106951871664</v>
      </c>
      <c r="S22" s="324">
        <v>373.99465240641712</v>
      </c>
      <c r="T22" s="324">
        <v>111.56149732620321</v>
      </c>
      <c r="U22" s="324">
        <v>408.30080213903744</v>
      </c>
      <c r="V22" s="324">
        <v>467.31684491978609</v>
      </c>
      <c r="W22" s="324">
        <v>451.57620320855614</v>
      </c>
      <c r="X22" s="324">
        <v>460.02807486631013</v>
      </c>
      <c r="Y22" s="324">
        <v>311.36096256684493</v>
      </c>
      <c r="Z22" s="324">
        <v>118.86229946524064</v>
      </c>
      <c r="AA22" s="324">
        <v>27.791443850267381</v>
      </c>
      <c r="AB22" s="322">
        <v>88.074866310160431</v>
      </c>
      <c r="AC22" s="322">
        <v>150.54010695187165</v>
      </c>
      <c r="AD22" s="322">
        <v>88.074866310160431</v>
      </c>
      <c r="AE22" s="322">
        <v>112.28342245989305</v>
      </c>
      <c r="AF22" s="322">
        <v>352.59759358288773</v>
      </c>
      <c r="AG22" s="322">
        <v>447.16443850267382</v>
      </c>
      <c r="AH22" s="322">
        <v>398.19117647058823</v>
      </c>
      <c r="AI22" s="322">
        <v>512.89839572192511</v>
      </c>
      <c r="AJ22" s="322">
        <v>478.04679144385028</v>
      </c>
      <c r="AK22" s="322">
        <v>267.43315508021391</v>
      </c>
      <c r="AL22" s="322">
        <v>141.20320855614975</v>
      </c>
      <c r="AM22" s="322">
        <v>120.7566844919786</v>
      </c>
      <c r="AN22" s="322">
        <v>87.977272727272734</v>
      </c>
      <c r="AO22" s="322">
        <v>125.93449197860963</v>
      </c>
      <c r="AP22" s="322">
        <v>138.2673796791444</v>
      </c>
      <c r="AQ22" s="322">
        <v>291.91176470588238</v>
      </c>
      <c r="AR22" s="322">
        <v>304.22593582887703</v>
      </c>
      <c r="AS22" s="322">
        <v>361.46122994652404</v>
      </c>
      <c r="AT22" s="322">
        <v>409.00267379679144</v>
      </c>
      <c r="AU22" s="322">
        <v>353.76737967914437</v>
      </c>
      <c r="AV22" s="322">
        <v>237.45989304812835</v>
      </c>
      <c r="AW22" s="322">
        <v>85.851604278074873</v>
      </c>
      <c r="AX22" s="322">
        <v>95.008021390374338</v>
      </c>
      <c r="AY22" s="322">
        <v>37.808823529411768</v>
      </c>
    </row>
    <row r="23" spans="1:51" s="301" customFormat="1" x14ac:dyDescent="0.25">
      <c r="A23" s="132">
        <v>254.1</v>
      </c>
      <c r="B23" s="132" t="s">
        <v>462</v>
      </c>
      <c r="C23" s="143" t="s">
        <v>3607</v>
      </c>
      <c r="D23" s="324">
        <v>55.45289127943775</v>
      </c>
      <c r="E23" s="324">
        <v>86.430659556021581</v>
      </c>
      <c r="F23" s="324">
        <v>54.243904065676212</v>
      </c>
      <c r="G23" s="324">
        <v>46.960741167949628</v>
      </c>
      <c r="H23" s="324">
        <v>76.757395613512287</v>
      </c>
      <c r="I23" s="324">
        <v>70.608716225608148</v>
      </c>
      <c r="J23" s="324">
        <v>70.838069546271839</v>
      </c>
      <c r="K23" s="324">
        <v>93.335613959403943</v>
      </c>
      <c r="L23" s="324">
        <v>89.30600854066563</v>
      </c>
      <c r="M23" s="324">
        <v>81.866799696605852</v>
      </c>
      <c r="N23" s="324">
        <v>76.500585110355061</v>
      </c>
      <c r="O23" s="324">
        <v>46.621677482575137</v>
      </c>
      <c r="P23" s="324">
        <v>57.394283343510821</v>
      </c>
      <c r="Q23" s="324">
        <v>52.067164372246495</v>
      </c>
      <c r="R23" s="324">
        <v>58.793200571927144</v>
      </c>
      <c r="S23" s="324">
        <v>86.710922420702872</v>
      </c>
      <c r="T23" s="324">
        <v>66.424837985379455</v>
      </c>
      <c r="U23" s="324">
        <v>70.070448617608662</v>
      </c>
      <c r="V23" s="324">
        <v>83.904669159395297</v>
      </c>
      <c r="W23" s="324">
        <v>80.060300508241596</v>
      </c>
      <c r="X23" s="324">
        <v>93.278865332283431</v>
      </c>
      <c r="Y23" s="324">
        <v>85.170578708190334</v>
      </c>
      <c r="Z23" s="324">
        <v>77.252737747860238</v>
      </c>
      <c r="AA23" s="324">
        <v>56.110355115360242</v>
      </c>
      <c r="AB23" s="322">
        <v>58.307548525869848</v>
      </c>
      <c r="AC23" s="322">
        <v>69.254033346068567</v>
      </c>
      <c r="AD23" s="322">
        <v>54.682021046057628</v>
      </c>
      <c r="AE23" s="322">
        <v>44.82066022961456</v>
      </c>
      <c r="AF23" s="322">
        <v>66.537764016773892</v>
      </c>
      <c r="AG23" s="322">
        <v>53.824934484724395</v>
      </c>
      <c r="AH23" s="322">
        <v>68.645560177187789</v>
      </c>
      <c r="AI23" s="322">
        <v>77.389846267296008</v>
      </c>
      <c r="AJ23" s="322">
        <v>74.256913106037246</v>
      </c>
      <c r="AK23" s="322">
        <v>65.623878871700427</v>
      </c>
      <c r="AL23" s="322">
        <v>49.242277825220718</v>
      </c>
      <c r="AM23" s="322">
        <v>48.726972419818814</v>
      </c>
      <c r="AN23" s="322">
        <v>39.401592769337313</v>
      </c>
      <c r="AO23" s="322">
        <v>41.067825723638279</v>
      </c>
      <c r="AP23" s="322">
        <v>46.24368731837184</v>
      </c>
      <c r="AQ23" s="322">
        <v>52.239614683563438</v>
      </c>
      <c r="AR23" s="322">
        <v>64.145265425252163</v>
      </c>
      <c r="AS23" s="322">
        <v>69.079195291259666</v>
      </c>
      <c r="AT23" s="322">
        <v>77.242465146253593</v>
      </c>
      <c r="AU23" s="322">
        <v>80.576213666589723</v>
      </c>
      <c r="AV23" s="322">
        <v>81.92807745846514</v>
      </c>
      <c r="AW23" s="322">
        <v>51.035290000044156</v>
      </c>
      <c r="AX23" s="322">
        <v>69.450950628137562</v>
      </c>
      <c r="AY23" s="322">
        <v>29.140893532836959</v>
      </c>
    </row>
    <row r="24" spans="1:51" s="301" customFormat="1" x14ac:dyDescent="0.25">
      <c r="A24" s="132">
        <v>144</v>
      </c>
      <c r="B24" s="132" t="s">
        <v>329</v>
      </c>
      <c r="C24" s="143" t="s">
        <v>328</v>
      </c>
      <c r="D24" s="324">
        <v>32.086361576331306</v>
      </c>
      <c r="E24" s="324">
        <v>64.737912272250384</v>
      </c>
      <c r="F24" s="324">
        <v>31.63120248841248</v>
      </c>
      <c r="G24" s="324">
        <v>31.486212564557587</v>
      </c>
      <c r="H24" s="324">
        <v>48.941716784797521</v>
      </c>
      <c r="I24" s="324">
        <v>42.905267207608951</v>
      </c>
      <c r="J24" s="324">
        <v>40.006916758962184</v>
      </c>
      <c r="K24" s="324">
        <v>60.895618077628889</v>
      </c>
      <c r="L24" s="324">
        <v>58.656528962764902</v>
      </c>
      <c r="M24" s="324">
        <v>53.601305522911396</v>
      </c>
      <c r="N24" s="324">
        <v>51.977869613226403</v>
      </c>
      <c r="O24" s="324">
        <v>24.401085181825255</v>
      </c>
      <c r="P24" s="324">
        <v>34.635402627688322</v>
      </c>
      <c r="Q24" s="324">
        <v>32.091000487711547</v>
      </c>
      <c r="R24" s="324">
        <v>36.241504458333125</v>
      </c>
      <c r="S24" s="324">
        <v>61.751841497361411</v>
      </c>
      <c r="T24" s="324">
        <v>39.79000334980865</v>
      </c>
      <c r="U24" s="324">
        <v>42.992592839493611</v>
      </c>
      <c r="V24" s="324">
        <v>53.218786305824217</v>
      </c>
      <c r="W24" s="324">
        <v>49.186076589928845</v>
      </c>
      <c r="X24" s="324">
        <v>63.068276236256416</v>
      </c>
      <c r="Y24" s="324">
        <v>57.193422834480167</v>
      </c>
      <c r="Z24" s="324">
        <v>52.819133515430458</v>
      </c>
      <c r="AA24" s="324">
        <v>34.400701072733497</v>
      </c>
      <c r="AB24" s="322">
        <v>35.862914780009483</v>
      </c>
      <c r="AC24" s="322">
        <v>48.510411918036155</v>
      </c>
      <c r="AD24" s="322">
        <v>33.156184439388682</v>
      </c>
      <c r="AE24" s="322">
        <v>23.174893925036038</v>
      </c>
      <c r="AF24" s="322">
        <v>40.217466340345432</v>
      </c>
      <c r="AG24" s="322">
        <v>28.589624193139226</v>
      </c>
      <c r="AH24" s="322">
        <v>38.946982782376161</v>
      </c>
      <c r="AI24" s="322">
        <v>47.009627914331126</v>
      </c>
      <c r="AJ24" s="322">
        <v>45.723209473996384</v>
      </c>
      <c r="AK24" s="322">
        <v>39.291074354113817</v>
      </c>
      <c r="AL24" s="322">
        <v>26.707395921057234</v>
      </c>
      <c r="AM24" s="322">
        <v>27.068564586651771</v>
      </c>
      <c r="AN24" s="322">
        <v>17.733506514031234</v>
      </c>
      <c r="AO24" s="322">
        <v>21.864828186530044</v>
      </c>
      <c r="AP24" s="322">
        <v>24.432355306342256</v>
      </c>
      <c r="AQ24" s="322">
        <v>29.046059650529685</v>
      </c>
      <c r="AR24" s="322">
        <v>36.132220837410252</v>
      </c>
      <c r="AS24" s="322">
        <v>40.61405574199803</v>
      </c>
      <c r="AT24" s="322">
        <v>39.1152177494508</v>
      </c>
      <c r="AU24" s="322">
        <v>38.835691695462828</v>
      </c>
      <c r="AV24" s="322">
        <v>43.488282509120793</v>
      </c>
      <c r="AW24" s="322">
        <v>21.068057043684096</v>
      </c>
      <c r="AX24" s="322">
        <v>45.86530958208855</v>
      </c>
      <c r="AY24" s="322">
        <v>9.099409174813939</v>
      </c>
    </row>
    <row r="25" spans="1:51" s="301" customFormat="1" x14ac:dyDescent="0.25">
      <c r="A25" s="132">
        <v>8</v>
      </c>
      <c r="B25" s="132" t="s">
        <v>39</v>
      </c>
      <c r="C25" s="143" t="s">
        <v>38</v>
      </c>
      <c r="D25" s="324">
        <v>81.129323460551319</v>
      </c>
      <c r="E25" s="324">
        <v>144.52485328877017</v>
      </c>
      <c r="F25" s="324">
        <v>77.933461523301318</v>
      </c>
      <c r="G25" s="324">
        <v>72.113368116021505</v>
      </c>
      <c r="H25" s="324">
        <v>114.65415697954829</v>
      </c>
      <c r="I25" s="324">
        <v>98.97761734399198</v>
      </c>
      <c r="J25" s="324">
        <v>96.596656640115299</v>
      </c>
      <c r="K25" s="324">
        <v>140.19545353377364</v>
      </c>
      <c r="L25" s="324">
        <v>133.07912498485808</v>
      </c>
      <c r="M25" s="324">
        <v>125.17757252624634</v>
      </c>
      <c r="N25" s="324">
        <v>122.11951330884084</v>
      </c>
      <c r="O25" s="324">
        <v>65.438784733451882</v>
      </c>
      <c r="P25" s="324">
        <v>85.842269973420258</v>
      </c>
      <c r="Q25" s="324">
        <v>77.478785211470537</v>
      </c>
      <c r="R25" s="324">
        <v>87.213822918648859</v>
      </c>
      <c r="S25" s="324">
        <v>138.52839712266038</v>
      </c>
      <c r="T25" s="324">
        <v>95.465813376838781</v>
      </c>
      <c r="U25" s="324">
        <v>98.888620015384248</v>
      </c>
      <c r="V25" s="324">
        <v>123.31303776128749</v>
      </c>
      <c r="W25" s="324">
        <v>115.65270114777906</v>
      </c>
      <c r="X25" s="324">
        <v>141.83538942595433</v>
      </c>
      <c r="Y25" s="324">
        <v>132.27201461998612</v>
      </c>
      <c r="Z25" s="324">
        <v>123.75285812109325</v>
      </c>
      <c r="AA25" s="324">
        <v>85.212492370722231</v>
      </c>
      <c r="AB25" s="322">
        <v>88.096623661389131</v>
      </c>
      <c r="AC25" s="322">
        <v>111.13820156250456</v>
      </c>
      <c r="AD25" s="322">
        <v>80.342695079055858</v>
      </c>
      <c r="AE25" s="322">
        <v>58.601157605216535</v>
      </c>
      <c r="AF25" s="322">
        <v>96.155080238590102</v>
      </c>
      <c r="AG25" s="322">
        <v>68.838578442172917</v>
      </c>
      <c r="AH25" s="322">
        <v>93.878958798883787</v>
      </c>
      <c r="AI25" s="322">
        <v>110.98601814752588</v>
      </c>
      <c r="AJ25" s="322">
        <v>105.85594245489342</v>
      </c>
      <c r="AK25" s="322">
        <v>95.087385785623965</v>
      </c>
      <c r="AL25" s="322">
        <v>69.762356699256287</v>
      </c>
      <c r="AM25" s="322">
        <v>70.40167353773731</v>
      </c>
      <c r="AN25" s="322">
        <v>50.992764403093211</v>
      </c>
      <c r="AO25" s="322">
        <v>56.328553377481136</v>
      </c>
      <c r="AP25" s="322">
        <v>62.887261663709189</v>
      </c>
      <c r="AQ25" s="322">
        <v>71.327560221762496</v>
      </c>
      <c r="AR25" s="322">
        <v>88.832481614273973</v>
      </c>
      <c r="AS25" s="322">
        <v>94.646512516673795</v>
      </c>
      <c r="AT25" s="322">
        <v>98.450900759777042</v>
      </c>
      <c r="AU25" s="322">
        <v>100.29156303329189</v>
      </c>
      <c r="AV25" s="322">
        <v>105.84201056486651</v>
      </c>
      <c r="AW25" s="322">
        <v>60.384807246523287</v>
      </c>
      <c r="AX25" s="322">
        <v>109.13293145824353</v>
      </c>
      <c r="AY25" s="322">
        <v>33.012001645193095</v>
      </c>
    </row>
    <row r="26" spans="1:51" s="301" customFormat="1" x14ac:dyDescent="0.25">
      <c r="A26" s="132">
        <v>88</v>
      </c>
      <c r="B26" s="132" t="s">
        <v>210</v>
      </c>
      <c r="C26" s="143" t="s">
        <v>209</v>
      </c>
      <c r="D26" s="324">
        <v>269.04809038127121</v>
      </c>
      <c r="E26" s="324">
        <v>604.58518800987713</v>
      </c>
      <c r="F26" s="324">
        <v>262.60552645154792</v>
      </c>
      <c r="G26" s="324">
        <v>286.32915481935385</v>
      </c>
      <c r="H26" s="324">
        <v>447.7276404086827</v>
      </c>
      <c r="I26" s="324">
        <v>384.85767938093335</v>
      </c>
      <c r="J26" s="324">
        <v>364.54645320679259</v>
      </c>
      <c r="K26" s="324">
        <v>573.54748625751449</v>
      </c>
      <c r="L26" s="324">
        <v>549.88781845764788</v>
      </c>
      <c r="M26" s="324">
        <v>494.07354496816328</v>
      </c>
      <c r="N26" s="324">
        <v>475.20739913046731</v>
      </c>
      <c r="O26" s="324">
        <v>190.6434537185726</v>
      </c>
      <c r="P26" s="324">
        <v>297.7616721583891</v>
      </c>
      <c r="Q26" s="324">
        <v>265.0552113535478</v>
      </c>
      <c r="R26" s="324">
        <v>311.5051705594243</v>
      </c>
      <c r="S26" s="324">
        <v>577.5724532961209</v>
      </c>
      <c r="T26" s="324">
        <v>354.27844195074493</v>
      </c>
      <c r="U26" s="324">
        <v>387.28077147275741</v>
      </c>
      <c r="V26" s="324">
        <v>503.37303377515451</v>
      </c>
      <c r="W26" s="324">
        <v>453.75960298264977</v>
      </c>
      <c r="X26" s="324">
        <v>597.20648082205969</v>
      </c>
      <c r="Y26" s="324">
        <v>532.60301743199193</v>
      </c>
      <c r="Z26" s="324">
        <v>484.35398568931856</v>
      </c>
      <c r="AA26" s="324">
        <v>297.74114991766021</v>
      </c>
      <c r="AB26" s="322">
        <v>311.65336512501813</v>
      </c>
      <c r="AC26" s="322">
        <v>436.17826944195866</v>
      </c>
      <c r="AD26" s="322">
        <v>282.15647270480565</v>
      </c>
      <c r="AE26" s="322">
        <v>180.27732895653818</v>
      </c>
      <c r="AF26" s="322">
        <v>359.53780079136021</v>
      </c>
      <c r="AG26" s="322">
        <v>240.15628765734428</v>
      </c>
      <c r="AH26" s="322">
        <v>355.45200572184808</v>
      </c>
      <c r="AI26" s="322">
        <v>431.90744146720436</v>
      </c>
      <c r="AJ26" s="322">
        <v>418.55961772210628</v>
      </c>
      <c r="AK26" s="322">
        <v>348.23078088006497</v>
      </c>
      <c r="AL26" s="322">
        <v>214.42376531245108</v>
      </c>
      <c r="AM26" s="322">
        <v>220.49564683176052</v>
      </c>
      <c r="AN26" s="322">
        <v>122.62192883677898</v>
      </c>
      <c r="AO26" s="322">
        <v>159.58680045473724</v>
      </c>
      <c r="AP26" s="322">
        <v>189.08804303884236</v>
      </c>
      <c r="AQ26" s="322">
        <v>237.64282699673416</v>
      </c>
      <c r="AR26" s="322">
        <v>79.082065706517795</v>
      </c>
      <c r="AS26" s="322">
        <v>74.556772161231862</v>
      </c>
      <c r="AT26" s="322">
        <v>88.358658079690116</v>
      </c>
      <c r="AU26" s="322">
        <v>222.06407749059827</v>
      </c>
      <c r="AV26" s="322">
        <v>372.47724187684378</v>
      </c>
      <c r="AW26" s="322">
        <v>337.64608438287803</v>
      </c>
      <c r="AX26" s="322">
        <v>297.13700605874658</v>
      </c>
      <c r="AY26" s="322">
        <v>181.07921940072606</v>
      </c>
    </row>
    <row r="27" spans="1:51" s="301" customFormat="1" x14ac:dyDescent="0.25">
      <c r="A27" s="132">
        <v>281</v>
      </c>
      <c r="B27" s="132" t="s">
        <v>518</v>
      </c>
      <c r="C27" s="143" t="s">
        <v>517</v>
      </c>
      <c r="D27" s="324">
        <v>893.2</v>
      </c>
      <c r="E27" s="324">
        <v>4222.9359999999997</v>
      </c>
      <c r="F27" s="324">
        <v>1808.4099999999999</v>
      </c>
      <c r="G27" s="324">
        <v>1912.63</v>
      </c>
      <c r="H27" s="324">
        <v>1866.37</v>
      </c>
      <c r="I27" s="324">
        <v>1950.08</v>
      </c>
      <c r="J27" s="324">
        <v>2736.8990000000003</v>
      </c>
      <c r="K27" s="324">
        <v>2383.09</v>
      </c>
      <c r="L27" s="324">
        <v>2070.96</v>
      </c>
      <c r="M27" s="324">
        <v>2206.8399999999997</v>
      </c>
      <c r="N27" s="324">
        <v>1880.8200000000002</v>
      </c>
      <c r="O27" s="324">
        <v>1787.1799999999998</v>
      </c>
      <c r="P27" s="324">
        <v>1787.1799999999998</v>
      </c>
      <c r="Q27" s="324">
        <v>1957.02</v>
      </c>
      <c r="R27" s="324">
        <v>1219.76</v>
      </c>
      <c r="S27" s="324">
        <v>1765.95</v>
      </c>
      <c r="T27" s="324">
        <v>854.96</v>
      </c>
      <c r="U27" s="324">
        <v>936.57000000000016</v>
      </c>
      <c r="V27" s="324">
        <v>1043.6800000000003</v>
      </c>
      <c r="W27" s="324">
        <v>2055.56</v>
      </c>
      <c r="X27" s="324">
        <v>1164.2</v>
      </c>
      <c r="Y27" s="324">
        <v>1036.3599999999997</v>
      </c>
      <c r="Z27" s="324">
        <v>977.52</v>
      </c>
      <c r="AA27" s="324">
        <v>819.99999999999989</v>
      </c>
      <c r="AB27" s="322">
        <v>249.23000000000002</v>
      </c>
      <c r="AC27" s="322">
        <v>1590.3200000000002</v>
      </c>
      <c r="AD27" s="322">
        <v>3116.95</v>
      </c>
      <c r="AE27" s="322">
        <v>2009.13</v>
      </c>
      <c r="AF27" s="322">
        <v>1671.2256</v>
      </c>
      <c r="AG27" s="322">
        <v>1634.1695999999999</v>
      </c>
      <c r="AH27" s="322">
        <v>1845.3887999999999</v>
      </c>
      <c r="AI27" s="322">
        <v>1915.7951999999998</v>
      </c>
      <c r="AJ27" s="322">
        <v>2186.3040000000001</v>
      </c>
      <c r="AK27" s="322">
        <v>1834.2719999999997</v>
      </c>
      <c r="AL27" s="322">
        <v>1817.5967999999998</v>
      </c>
      <c r="AM27" s="322">
        <v>1587.8496</v>
      </c>
      <c r="AN27" s="322">
        <v>1839.8304000000001</v>
      </c>
      <c r="AO27" s="322">
        <v>1895.4143999999999</v>
      </c>
      <c r="AP27" s="322">
        <v>1426.6559999999999</v>
      </c>
      <c r="AQ27" s="322">
        <v>1617.4943999999998</v>
      </c>
      <c r="AR27" s="322">
        <v>2243.7408</v>
      </c>
      <c r="AS27" s="322">
        <v>2404.9334400000002</v>
      </c>
      <c r="AT27" s="322">
        <v>1565.6159999999998</v>
      </c>
      <c r="AU27" s="322">
        <v>3375.8015999999998</v>
      </c>
      <c r="AV27" s="322">
        <v>1584.144</v>
      </c>
      <c r="AW27" s="322">
        <v>1450.7424000000001</v>
      </c>
      <c r="AX27" s="322">
        <v>1617.6</v>
      </c>
      <c r="AY27" s="322">
        <v>1352.6399999999999</v>
      </c>
    </row>
    <row r="28" spans="1:51" s="301" customFormat="1" x14ac:dyDescent="0.25">
      <c r="A28" s="132">
        <v>281.10000000000002</v>
      </c>
      <c r="B28" s="132" t="s">
        <v>521</v>
      </c>
      <c r="C28" s="143" t="s">
        <v>3683</v>
      </c>
      <c r="D28" s="324">
        <v>40.92</v>
      </c>
      <c r="E28" s="324">
        <v>0</v>
      </c>
      <c r="F28" s="324">
        <v>0</v>
      </c>
      <c r="G28" s="324">
        <v>0</v>
      </c>
      <c r="H28" s="324">
        <v>34.68</v>
      </c>
      <c r="I28" s="324">
        <v>41.68</v>
      </c>
      <c r="J28" s="324">
        <v>46.160000000000004</v>
      </c>
      <c r="K28" s="324">
        <v>66.08</v>
      </c>
      <c r="L28" s="324">
        <v>59.76</v>
      </c>
      <c r="M28" s="324">
        <v>47.4</v>
      </c>
      <c r="N28" s="324">
        <v>53.04</v>
      </c>
      <c r="O28" s="324"/>
      <c r="P28" s="324"/>
      <c r="Q28" s="324"/>
      <c r="R28" s="324"/>
      <c r="S28" s="324"/>
      <c r="T28" s="324">
        <v>70.040000000000006</v>
      </c>
      <c r="U28" s="324">
        <v>76.52</v>
      </c>
      <c r="V28" s="324">
        <v>85.320000000000007</v>
      </c>
      <c r="W28" s="324">
        <v>82.88</v>
      </c>
      <c r="X28" s="324">
        <v>94.8</v>
      </c>
      <c r="Y28" s="324">
        <v>84.64</v>
      </c>
      <c r="Z28" s="324">
        <v>79.48</v>
      </c>
      <c r="AA28" s="324">
        <v>63.32</v>
      </c>
      <c r="AB28" s="322">
        <v>0</v>
      </c>
      <c r="AC28" s="322">
        <v>0</v>
      </c>
      <c r="AD28" s="322">
        <v>0</v>
      </c>
      <c r="AE28" s="322">
        <v>0</v>
      </c>
      <c r="AF28" s="322">
        <v>69.634400000000014</v>
      </c>
      <c r="AG28" s="322">
        <v>68.090400000000002</v>
      </c>
      <c r="AH28" s="322">
        <v>76.891199999999998</v>
      </c>
      <c r="AI28" s="322">
        <v>79.824799999999996</v>
      </c>
      <c r="AJ28" s="322">
        <v>91.096000000000004</v>
      </c>
      <c r="AK28" s="322">
        <v>76.427999999999997</v>
      </c>
      <c r="AL28" s="322">
        <v>75.733199999999997</v>
      </c>
      <c r="AM28" s="322">
        <v>66.160399999999996</v>
      </c>
      <c r="AN28" s="322">
        <v>76.659599999999998</v>
      </c>
      <c r="AO28" s="322">
        <v>78.9756</v>
      </c>
      <c r="AP28" s="322">
        <v>59.443999999999996</v>
      </c>
      <c r="AQ28" s="322">
        <v>67.395600000000002</v>
      </c>
      <c r="AR28" s="322">
        <v>93.489199999999997</v>
      </c>
      <c r="AS28" s="322">
        <v>100.20556000000001</v>
      </c>
      <c r="AT28" s="322">
        <v>65.233999999999995</v>
      </c>
      <c r="AU28" s="322">
        <v>140.6584</v>
      </c>
      <c r="AV28" s="322">
        <v>66.006</v>
      </c>
      <c r="AW28" s="322">
        <v>60.447600000000001</v>
      </c>
      <c r="AX28" s="322">
        <v>67.400000000000006</v>
      </c>
      <c r="AY28" s="322">
        <v>56.36</v>
      </c>
    </row>
    <row r="29" spans="1:51" s="301" customFormat="1" x14ac:dyDescent="0.25">
      <c r="A29" s="132">
        <v>15</v>
      </c>
      <c r="B29" s="132" t="s">
        <v>54</v>
      </c>
      <c r="C29" s="143" t="s">
        <v>3656</v>
      </c>
      <c r="D29" s="324">
        <v>10.217684039835202</v>
      </c>
      <c r="E29" s="324">
        <v>9.4962112608553184</v>
      </c>
      <c r="F29" s="324">
        <v>9.7568888507526221</v>
      </c>
      <c r="G29" s="324">
        <v>6.0765577300522056</v>
      </c>
      <c r="H29" s="324">
        <v>9.901570864299984</v>
      </c>
      <c r="I29" s="324">
        <v>9.6141480068858129</v>
      </c>
      <c r="J29" s="324">
        <v>9.544436900101779</v>
      </c>
      <c r="K29" s="324">
        <v>10.024123621259024</v>
      </c>
      <c r="L29" s="324">
        <v>9.6382396500940146</v>
      </c>
      <c r="M29" s="324">
        <v>9.7085712684728822</v>
      </c>
      <c r="N29" s="324">
        <v>9.5987008811647172</v>
      </c>
      <c r="O29" s="324">
        <v>9.9401447262299101</v>
      </c>
      <c r="P29" s="324">
        <v>9.862988777301311</v>
      </c>
      <c r="Q29" s="324">
        <v>9.5471835322890239</v>
      </c>
      <c r="R29" s="324">
        <v>9.6085228163699998</v>
      </c>
      <c r="S29" s="324">
        <v>9.5312129651578061</v>
      </c>
      <c r="T29" s="324">
        <v>9.6362781031371334</v>
      </c>
      <c r="U29" s="324">
        <v>9.3747629095324374</v>
      </c>
      <c r="V29" s="324">
        <v>9.2510956327686689</v>
      </c>
      <c r="W29" s="324">
        <v>9.7083812032526424</v>
      </c>
      <c r="X29" s="324">
        <v>9.3975588406535504</v>
      </c>
      <c r="Y29" s="324">
        <v>9.5212538747821256</v>
      </c>
      <c r="Z29" s="324">
        <v>9.5384299146866844</v>
      </c>
      <c r="AA29" s="324">
        <v>9.4320736645338901</v>
      </c>
      <c r="AB29" s="322">
        <v>9.6819435237972638</v>
      </c>
      <c r="AC29" s="322">
        <v>9.4712335692995726</v>
      </c>
      <c r="AD29" s="322">
        <v>9.2087799985138101</v>
      </c>
      <c r="AE29" s="322">
        <v>9.0131556480504624</v>
      </c>
      <c r="AF29" s="322">
        <v>9.5028122424602302</v>
      </c>
      <c r="AG29" s="322">
        <v>8.9789623158454965</v>
      </c>
      <c r="AH29" s="322">
        <v>9.1862303703061201</v>
      </c>
      <c r="AI29" s="322">
        <v>9.5796710843600064</v>
      </c>
      <c r="AJ29" s="322">
        <v>9.146573928346184</v>
      </c>
      <c r="AK29" s="322">
        <v>9.2717881311626851</v>
      </c>
      <c r="AL29" s="322">
        <v>9.3396371687935673</v>
      </c>
      <c r="AM29" s="322">
        <v>9.6017183763521405</v>
      </c>
      <c r="AN29" s="322">
        <v>9.7911276714430251</v>
      </c>
      <c r="AO29" s="322">
        <v>9.4395831902637397</v>
      </c>
      <c r="AP29" s="322">
        <v>9.5690842167807695</v>
      </c>
      <c r="AQ29" s="322">
        <v>9.5539965747870088</v>
      </c>
      <c r="AR29" s="322">
        <v>10.260206607603259</v>
      </c>
      <c r="AS29" s="322">
        <v>9.9517011494760865</v>
      </c>
      <c r="AT29" s="322">
        <v>11.995100913381645</v>
      </c>
      <c r="AU29" s="322">
        <v>13.655436008753114</v>
      </c>
      <c r="AV29" s="322">
        <v>12.676008966536392</v>
      </c>
      <c r="AW29" s="322">
        <v>11.055820157686821</v>
      </c>
      <c r="AX29" s="322">
        <v>9.3336169134382843</v>
      </c>
      <c r="AY29" s="322">
        <v>9.3069976056127039</v>
      </c>
    </row>
    <row r="30" spans="1:51" s="301" customFormat="1" x14ac:dyDescent="0.25">
      <c r="A30" s="132">
        <v>316</v>
      </c>
      <c r="B30" s="132" t="s">
        <v>552</v>
      </c>
      <c r="C30" s="143" t="s">
        <v>3690</v>
      </c>
      <c r="D30" s="324">
        <v>65.62</v>
      </c>
      <c r="E30" s="324">
        <v>69.47999999999999</v>
      </c>
      <c r="F30" s="324">
        <v>75.27000000000001</v>
      </c>
      <c r="G30" s="324">
        <v>71.41</v>
      </c>
      <c r="H30" s="324">
        <v>71.41</v>
      </c>
      <c r="I30" s="324">
        <v>75.27000000000001</v>
      </c>
      <c r="J30" s="324">
        <v>77.199000000000012</v>
      </c>
      <c r="K30" s="324">
        <v>77.2</v>
      </c>
      <c r="L30" s="324">
        <v>65.62</v>
      </c>
      <c r="M30" s="324">
        <v>79.13</v>
      </c>
      <c r="N30" s="324">
        <v>69.47999999999999</v>
      </c>
      <c r="O30" s="324">
        <v>67.55</v>
      </c>
      <c r="P30" s="324">
        <v>67.55</v>
      </c>
      <c r="Q30" s="324">
        <v>69.47999999999999</v>
      </c>
      <c r="R30" s="324">
        <v>71.41</v>
      </c>
      <c r="S30" s="324">
        <v>71.41</v>
      </c>
      <c r="T30" s="324">
        <v>35</v>
      </c>
      <c r="U30" s="324">
        <v>36.999999999999993</v>
      </c>
      <c r="V30" s="324">
        <v>32</v>
      </c>
      <c r="W30" s="324">
        <v>63.69</v>
      </c>
      <c r="X30" s="324">
        <v>33</v>
      </c>
      <c r="Y30" s="324">
        <v>35.999999999999993</v>
      </c>
      <c r="Z30" s="324">
        <v>35</v>
      </c>
      <c r="AA30" s="324">
        <v>50.18</v>
      </c>
      <c r="AB30" s="322">
        <v>30</v>
      </c>
      <c r="AC30" s="322">
        <v>69.47999999999999</v>
      </c>
      <c r="AD30" s="322">
        <v>40.53</v>
      </c>
      <c r="AE30" s="322">
        <v>13.51</v>
      </c>
      <c r="AF30" s="322">
        <v>17.369999999999997</v>
      </c>
      <c r="AG30" s="322">
        <v>21.228999999999999</v>
      </c>
      <c r="AH30" s="322">
        <v>23.16</v>
      </c>
      <c r="AI30" s="322">
        <v>21.23</v>
      </c>
      <c r="AJ30" s="322">
        <v>21.23</v>
      </c>
      <c r="AK30" s="322">
        <v>25.09</v>
      </c>
      <c r="AL30" s="322">
        <v>21.23</v>
      </c>
      <c r="AM30" s="322">
        <v>46.32</v>
      </c>
      <c r="AN30" s="322">
        <v>54.04</v>
      </c>
      <c r="AO30" s="322">
        <v>67.55</v>
      </c>
      <c r="AP30" s="322">
        <v>-116.78</v>
      </c>
      <c r="AQ30" s="322">
        <v>19.3</v>
      </c>
      <c r="AR30" s="322">
        <v>17.369999999999997</v>
      </c>
      <c r="AS30" s="322">
        <v>21.228999999999999</v>
      </c>
      <c r="AT30" s="322">
        <v>15.440000000000001</v>
      </c>
      <c r="AU30" s="322">
        <v>21.23</v>
      </c>
      <c r="AV30" s="322">
        <v>27.02</v>
      </c>
      <c r="AW30" s="322">
        <v>19.3</v>
      </c>
      <c r="AX30" s="322">
        <v>23</v>
      </c>
      <c r="AY30" s="322">
        <v>15</v>
      </c>
    </row>
    <row r="31" spans="1:51" s="301" customFormat="1" x14ac:dyDescent="0.25">
      <c r="A31" s="132">
        <v>10</v>
      </c>
      <c r="B31" s="132" t="s">
        <v>42</v>
      </c>
      <c r="C31" s="143" t="s">
        <v>41</v>
      </c>
      <c r="D31" s="324">
        <v>71.908147917816819</v>
      </c>
      <c r="E31" s="324">
        <v>160.12110930494097</v>
      </c>
      <c r="F31" s="324">
        <v>69.873933893589339</v>
      </c>
      <c r="G31" s="324">
        <v>75.446344386687514</v>
      </c>
      <c r="H31" s="324">
        <v>117.24167690174407</v>
      </c>
      <c r="I31" s="324">
        <v>100.33574616721521</v>
      </c>
      <c r="J31" s="324">
        <v>94.118909643955206</v>
      </c>
      <c r="K31" s="324">
        <v>149.00348506445147</v>
      </c>
      <c r="L31" s="324">
        <v>142.91933133298662</v>
      </c>
      <c r="M31" s="324">
        <v>129.01158975948982</v>
      </c>
      <c r="N31" s="324">
        <v>125.18728212457469</v>
      </c>
      <c r="O31" s="324">
        <v>51.363574456805097</v>
      </c>
      <c r="P31" s="324">
        <v>79.383118731911793</v>
      </c>
      <c r="Q31" s="324">
        <v>71.16248850597421</v>
      </c>
      <c r="R31" s="324">
        <v>82.671047468332475</v>
      </c>
      <c r="S31" s="324">
        <v>151.99959773730748</v>
      </c>
      <c r="T31" s="324">
        <v>92.757060451048446</v>
      </c>
      <c r="U31" s="324">
        <v>100.98335558446735</v>
      </c>
      <c r="V31" s="324">
        <v>130.53907769403889</v>
      </c>
      <c r="W31" s="324">
        <v>117.65567125202631</v>
      </c>
      <c r="X31" s="324">
        <v>155.34752875846874</v>
      </c>
      <c r="Y31" s="324">
        <v>139.11625964662736</v>
      </c>
      <c r="Z31" s="324">
        <v>127.57978876122927</v>
      </c>
      <c r="AA31" s="324">
        <v>79.354595378402735</v>
      </c>
      <c r="AB31" s="322">
        <v>82.998223695635261</v>
      </c>
      <c r="AC31" s="322">
        <v>115.98862070414683</v>
      </c>
      <c r="AD31" s="322">
        <v>74.937201246261438</v>
      </c>
      <c r="AE31" s="322">
        <v>47.859812774816596</v>
      </c>
      <c r="AF31" s="322">
        <v>94.136223574489335</v>
      </c>
      <c r="AG31" s="322">
        <v>62.452987983702364</v>
      </c>
      <c r="AH31" s="322">
        <v>91.788563698570144</v>
      </c>
      <c r="AI31" s="322">
        <v>111.94619501235638</v>
      </c>
      <c r="AJ31" s="322">
        <v>108.56675795762165</v>
      </c>
      <c r="AK31" s="322">
        <v>90.81642027527748</v>
      </c>
      <c r="AL31" s="322">
        <v>56.835581916396087</v>
      </c>
      <c r="AM31" s="322">
        <v>59.137839804752105</v>
      </c>
      <c r="AN31" s="322">
        <v>33.480977602197378</v>
      </c>
      <c r="AO31" s="322">
        <v>43.507113920027656</v>
      </c>
      <c r="AP31" s="322">
        <v>50.589536018374886</v>
      </c>
      <c r="AQ31" s="322">
        <v>62.928699519370134</v>
      </c>
      <c r="AR31" s="322">
        <v>81.792275653342543</v>
      </c>
      <c r="AS31" s="322">
        <v>93.520580493949197</v>
      </c>
      <c r="AT31" s="322">
        <v>87.894279097638815</v>
      </c>
      <c r="AU31" s="322">
        <v>82.877161209714203</v>
      </c>
      <c r="AV31" s="322">
        <v>96.346612551979845</v>
      </c>
      <c r="AW31" s="322">
        <v>38.103234651863801</v>
      </c>
      <c r="AX31" s="322">
        <v>108.99790852736267</v>
      </c>
      <c r="AY31" s="322">
        <v>10.668375274138494</v>
      </c>
    </row>
    <row r="32" spans="1:51" s="301" customFormat="1" x14ac:dyDescent="0.25">
      <c r="A32" s="132">
        <v>230</v>
      </c>
      <c r="B32" s="132" t="s">
        <v>437</v>
      </c>
      <c r="C32" s="143" t="s">
        <v>599</v>
      </c>
      <c r="D32" s="324">
        <v>3.3829552873156152</v>
      </c>
      <c r="E32" s="324">
        <v>3.2367018034340309</v>
      </c>
      <c r="F32" s="324">
        <v>3.3347789473397249</v>
      </c>
      <c r="G32" s="324">
        <v>2.0561633662369849</v>
      </c>
      <c r="H32" s="324">
        <v>3.3038837222338189</v>
      </c>
      <c r="I32" s="324">
        <v>3.3166478383026985</v>
      </c>
      <c r="J32" s="324">
        <v>3.2680684182479518</v>
      </c>
      <c r="K32" s="324">
        <v>3.3029089610196896</v>
      </c>
      <c r="L32" s="324">
        <v>3.3146693061494874</v>
      </c>
      <c r="M32" s="324">
        <v>3.2960536615539233</v>
      </c>
      <c r="N32" s="324">
        <v>3.2362730111917486</v>
      </c>
      <c r="O32" s="324">
        <v>3.2832797268332841</v>
      </c>
      <c r="P32" s="324">
        <v>3.2655198480226444</v>
      </c>
      <c r="Q32" s="324">
        <v>3.2540752630530982</v>
      </c>
      <c r="R32" s="324">
        <v>3.2840693476376357</v>
      </c>
      <c r="S32" s="324">
        <v>3.2251369616449113</v>
      </c>
      <c r="T32" s="324">
        <v>3.2153627746746176</v>
      </c>
      <c r="U32" s="324">
        <v>3.23406578682083</v>
      </c>
      <c r="V32" s="324">
        <v>3.1676267325231562</v>
      </c>
      <c r="W32" s="324">
        <v>3.1988730870410809</v>
      </c>
      <c r="X32" s="324">
        <v>3.2318972107675523</v>
      </c>
      <c r="Y32" s="324">
        <v>3.2324595276413373</v>
      </c>
      <c r="Z32" s="324">
        <v>3.2159522089721424</v>
      </c>
      <c r="AA32" s="324">
        <v>3.1154613033997354</v>
      </c>
      <c r="AB32" s="322">
        <v>3.2055778890427895</v>
      </c>
      <c r="AC32" s="322">
        <v>3.2281883724368332</v>
      </c>
      <c r="AD32" s="322">
        <v>3.1474424008999717</v>
      </c>
      <c r="AE32" s="322">
        <v>3.049838622623291</v>
      </c>
      <c r="AF32" s="322">
        <v>3.1708288627723964</v>
      </c>
      <c r="AG32" s="322">
        <v>3.0975241834972156</v>
      </c>
      <c r="AH32" s="322">
        <v>3.1454165049409561</v>
      </c>
      <c r="AI32" s="322">
        <v>3.1564636135422885</v>
      </c>
      <c r="AJ32" s="322">
        <v>3.1455814502828328</v>
      </c>
      <c r="AK32" s="322">
        <v>3.1477660691548883</v>
      </c>
      <c r="AL32" s="322">
        <v>3.1489277640686644</v>
      </c>
      <c r="AM32" s="322">
        <v>3.1714958037433325</v>
      </c>
      <c r="AN32" s="322">
        <v>3.2417274791190982</v>
      </c>
      <c r="AO32" s="322">
        <v>3.2174006133937145</v>
      </c>
      <c r="AP32" s="322">
        <v>3.2705897422393848</v>
      </c>
      <c r="AQ32" s="322">
        <v>3.2328463960897662</v>
      </c>
      <c r="AR32" s="322">
        <v>3.4235506731398639</v>
      </c>
      <c r="AS32" s="322">
        <v>3.4330954839892933</v>
      </c>
      <c r="AT32" s="322">
        <v>4.1071894422919497</v>
      </c>
      <c r="AU32" s="322">
        <v>4.4994119849328769</v>
      </c>
      <c r="AV32" s="322">
        <v>4.3593829756499156</v>
      </c>
      <c r="AW32" s="322">
        <v>3.7534437874047009</v>
      </c>
      <c r="AX32" s="322">
        <v>3.1468979904390872</v>
      </c>
      <c r="AY32" s="322">
        <v>3.0741480529513296</v>
      </c>
    </row>
    <row r="33" spans="1:51" s="301" customFormat="1" x14ac:dyDescent="0.25">
      <c r="A33" s="132">
        <v>507</v>
      </c>
      <c r="B33" s="132" t="s">
        <v>437</v>
      </c>
      <c r="C33" s="142" t="s">
        <v>599</v>
      </c>
      <c r="D33" s="324">
        <v>0</v>
      </c>
      <c r="E33" s="324">
        <v>0</v>
      </c>
      <c r="F33" s="324">
        <v>0</v>
      </c>
      <c r="G33" s="324">
        <v>0</v>
      </c>
      <c r="H33" s="324">
        <v>0</v>
      </c>
      <c r="I33" s="324">
        <v>0</v>
      </c>
      <c r="J33" s="324">
        <v>0</v>
      </c>
      <c r="K33" s="324">
        <v>0</v>
      </c>
      <c r="L33" s="324">
        <v>0</v>
      </c>
      <c r="M33" s="324">
        <v>0</v>
      </c>
      <c r="N33" s="324">
        <v>0</v>
      </c>
      <c r="O33" s="324">
        <v>0</v>
      </c>
      <c r="P33" s="324">
        <v>0</v>
      </c>
      <c r="Q33" s="324">
        <v>0</v>
      </c>
      <c r="R33" s="324">
        <v>0</v>
      </c>
      <c r="S33" s="324">
        <v>0</v>
      </c>
      <c r="T33" s="324">
        <v>0</v>
      </c>
      <c r="U33" s="324">
        <v>0</v>
      </c>
      <c r="V33" s="324">
        <v>0</v>
      </c>
      <c r="W33" s="324">
        <v>0</v>
      </c>
      <c r="X33" s="324">
        <v>0</v>
      </c>
      <c r="Y33" s="324">
        <v>0</v>
      </c>
      <c r="Z33" s="324">
        <v>0</v>
      </c>
      <c r="AA33" s="324">
        <v>0</v>
      </c>
      <c r="AB33" s="322">
        <v>0</v>
      </c>
      <c r="AC33" s="322">
        <v>0</v>
      </c>
      <c r="AD33" s="322">
        <v>0</v>
      </c>
      <c r="AE33" s="322">
        <v>0</v>
      </c>
      <c r="AF33" s="322">
        <v>0</v>
      </c>
      <c r="AG33" s="322">
        <v>0</v>
      </c>
      <c r="AH33" s="322">
        <v>0</v>
      </c>
      <c r="AI33" s="322">
        <v>0</v>
      </c>
      <c r="AJ33" s="322">
        <v>0</v>
      </c>
      <c r="AK33" s="322">
        <v>0</v>
      </c>
      <c r="AL33" s="322">
        <v>0</v>
      </c>
      <c r="AM33" s="322">
        <v>0</v>
      </c>
      <c r="AN33" s="322">
        <v>0</v>
      </c>
      <c r="AO33" s="322">
        <v>0</v>
      </c>
      <c r="AP33" s="322">
        <v>0</v>
      </c>
      <c r="AQ33" s="322">
        <v>0</v>
      </c>
      <c r="AR33" s="322">
        <v>0</v>
      </c>
      <c r="AS33" s="322">
        <v>0</v>
      </c>
      <c r="AT33" s="322">
        <v>0</v>
      </c>
      <c r="AU33" s="322">
        <v>0</v>
      </c>
      <c r="AV33" s="322">
        <v>0</v>
      </c>
      <c r="AW33" s="322">
        <v>0</v>
      </c>
      <c r="AX33" s="322">
        <v>0</v>
      </c>
      <c r="AY33" s="322">
        <v>0</v>
      </c>
    </row>
    <row r="34" spans="1:51" s="301" customFormat="1" x14ac:dyDescent="0.25">
      <c r="A34" s="62">
        <v>346</v>
      </c>
      <c r="B34" s="327" t="s">
        <v>3641</v>
      </c>
      <c r="C34" s="100" t="s">
        <v>3696</v>
      </c>
      <c r="D34" s="324">
        <v>898</v>
      </c>
      <c r="E34" s="324">
        <v>1218.5550000000001</v>
      </c>
      <c r="F34" s="324">
        <v>1015</v>
      </c>
      <c r="G34" s="324">
        <v>1415.8879999999999</v>
      </c>
      <c r="H34" s="324">
        <v>716</v>
      </c>
      <c r="I34" s="324">
        <v>624.55499999999995</v>
      </c>
      <c r="J34" s="324">
        <v>566</v>
      </c>
      <c r="K34" s="324">
        <v>785.79499999999996</v>
      </c>
      <c r="L34" s="324">
        <v>1084</v>
      </c>
      <c r="M34" s="324">
        <v>149.03</v>
      </c>
      <c r="N34" s="324">
        <v>0</v>
      </c>
      <c r="O34" s="324">
        <v>131.733</v>
      </c>
      <c r="P34" s="324">
        <v>3049</v>
      </c>
      <c r="Q34" s="324">
        <v>4403.619999999999</v>
      </c>
      <c r="R34" s="324">
        <v>4261</v>
      </c>
      <c r="S34" s="324">
        <v>4523</v>
      </c>
      <c r="T34" s="325">
        <v>689</v>
      </c>
      <c r="U34" s="325">
        <v>451</v>
      </c>
      <c r="V34" s="325">
        <v>890</v>
      </c>
      <c r="W34" s="325">
        <v>862</v>
      </c>
      <c r="X34" s="325">
        <v>1520</v>
      </c>
      <c r="Y34" s="325">
        <v>1256</v>
      </c>
      <c r="Z34" s="325">
        <v>26</v>
      </c>
      <c r="AA34" s="325">
        <v>1962</v>
      </c>
      <c r="AB34" s="322">
        <v>912</v>
      </c>
      <c r="AC34" s="322">
        <v>1268</v>
      </c>
      <c r="AD34" s="322">
        <v>960</v>
      </c>
      <c r="AE34" s="322">
        <v>559.99900000000002</v>
      </c>
      <c r="AF34" s="322">
        <v>1496</v>
      </c>
      <c r="AG34" s="322">
        <v>1036</v>
      </c>
      <c r="AH34" s="322">
        <v>1633.999</v>
      </c>
      <c r="AI34" s="322">
        <v>-674</v>
      </c>
      <c r="AJ34" s="322">
        <v>698</v>
      </c>
      <c r="AK34" s="322">
        <v>784</v>
      </c>
      <c r="AL34" s="322">
        <v>1240</v>
      </c>
      <c r="AM34" s="322">
        <v>678</v>
      </c>
      <c r="AN34" s="322">
        <v>834</v>
      </c>
      <c r="AO34" s="322">
        <v>1038</v>
      </c>
      <c r="AP34" s="322">
        <v>1045</v>
      </c>
      <c r="AQ34" s="322">
        <v>1213</v>
      </c>
      <c r="AR34" s="321">
        <f t="shared" ref="AR34:AY34" si="0">AVERAGE(AM34:AQ34)</f>
        <v>961.6</v>
      </c>
      <c r="AS34" s="321">
        <f t="shared" si="0"/>
        <v>1018.32</v>
      </c>
      <c r="AT34" s="321">
        <f t="shared" si="0"/>
        <v>1055.184</v>
      </c>
      <c r="AU34" s="321">
        <f t="shared" si="0"/>
        <v>1058.6208000000001</v>
      </c>
      <c r="AV34" s="321">
        <f t="shared" si="0"/>
        <v>1061.3449599999999</v>
      </c>
      <c r="AW34" s="321">
        <f t="shared" si="0"/>
        <v>1031.013952</v>
      </c>
      <c r="AX34" s="321">
        <f t="shared" si="0"/>
        <v>1044.8967424</v>
      </c>
      <c r="AY34" s="321">
        <f t="shared" si="0"/>
        <v>1050.21209088</v>
      </c>
    </row>
    <row r="35" spans="1:51" s="301" customFormat="1" x14ac:dyDescent="0.25">
      <c r="A35" s="132">
        <v>225</v>
      </c>
      <c r="B35" s="342" t="s">
        <v>3672</v>
      </c>
      <c r="C35" s="143" t="s">
        <v>3673</v>
      </c>
      <c r="D35" s="324">
        <v>0</v>
      </c>
      <c r="E35" s="324">
        <v>0</v>
      </c>
      <c r="F35" s="324">
        <v>0</v>
      </c>
      <c r="G35" s="324">
        <v>0</v>
      </c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>
        <v>0</v>
      </c>
      <c r="U35" s="324">
        <v>0</v>
      </c>
      <c r="V35" s="324">
        <v>0</v>
      </c>
      <c r="W35" s="324">
        <v>0</v>
      </c>
      <c r="X35" s="324">
        <v>0</v>
      </c>
      <c r="Y35" s="324">
        <v>0</v>
      </c>
      <c r="Z35" s="324">
        <v>0</v>
      </c>
      <c r="AA35" s="324">
        <v>0</v>
      </c>
      <c r="AB35" s="301">
        <v>0</v>
      </c>
      <c r="AC35" s="322">
        <v>0</v>
      </c>
      <c r="AD35" s="322">
        <v>0</v>
      </c>
      <c r="AE35" s="322">
        <v>0</v>
      </c>
      <c r="AF35" s="322">
        <v>0</v>
      </c>
      <c r="AG35" s="322">
        <v>0</v>
      </c>
      <c r="AH35" s="322">
        <v>0</v>
      </c>
      <c r="AI35" s="322">
        <v>0</v>
      </c>
      <c r="AJ35" s="322">
        <v>0</v>
      </c>
      <c r="AK35" s="322">
        <v>0</v>
      </c>
      <c r="AL35" s="322">
        <v>0</v>
      </c>
      <c r="AM35" s="322">
        <v>0</v>
      </c>
      <c r="AN35" s="322">
        <v>0</v>
      </c>
      <c r="AO35" s="322">
        <v>0</v>
      </c>
      <c r="AP35" s="322">
        <v>0</v>
      </c>
      <c r="AQ35" s="322">
        <v>0</v>
      </c>
      <c r="AR35" s="322">
        <v>0</v>
      </c>
      <c r="AS35" s="322">
        <v>0</v>
      </c>
      <c r="AT35" s="322">
        <v>0</v>
      </c>
      <c r="AU35" s="322">
        <v>0</v>
      </c>
      <c r="AV35" s="322">
        <v>0</v>
      </c>
      <c r="AW35" s="322">
        <v>0</v>
      </c>
      <c r="AX35" s="322">
        <v>0</v>
      </c>
      <c r="AY35" s="322">
        <v>0</v>
      </c>
    </row>
    <row r="36" spans="1:51" s="301" customFormat="1" x14ac:dyDescent="0.25">
      <c r="A36" s="132">
        <v>265</v>
      </c>
      <c r="B36" s="132" t="s">
        <v>500</v>
      </c>
      <c r="C36" s="326" t="s">
        <v>3613</v>
      </c>
      <c r="D36" s="324">
        <v>0</v>
      </c>
      <c r="E36" s="324">
        <v>90.599000000000004</v>
      </c>
      <c r="F36" s="324">
        <v>0</v>
      </c>
      <c r="G36" s="324">
        <v>67.635000000000005</v>
      </c>
      <c r="H36" s="324">
        <v>0</v>
      </c>
      <c r="I36" s="324">
        <v>72.599000000000004</v>
      </c>
      <c r="J36" s="324">
        <v>0</v>
      </c>
      <c r="K36" s="324">
        <v>107.29400000000001</v>
      </c>
      <c r="L36" s="324">
        <v>0</v>
      </c>
      <c r="M36" s="324">
        <v>87.17</v>
      </c>
      <c r="N36" s="324">
        <v>0</v>
      </c>
      <c r="O36" s="324">
        <v>89.686999999999998</v>
      </c>
      <c r="P36" s="324">
        <v>89.686999999999998</v>
      </c>
      <c r="Q36" s="324">
        <v>87.25</v>
      </c>
      <c r="R36" s="324">
        <v>0</v>
      </c>
      <c r="S36" s="324">
        <v>100.17</v>
      </c>
      <c r="T36" s="324">
        <v>0</v>
      </c>
      <c r="U36" s="324">
        <v>112.25</v>
      </c>
      <c r="V36" s="324">
        <v>0</v>
      </c>
      <c r="W36" s="324">
        <v>98.968000000000004</v>
      </c>
      <c r="X36" s="324">
        <v>0</v>
      </c>
      <c r="Y36" s="324">
        <v>85.88</v>
      </c>
      <c r="Z36" s="324">
        <v>0</v>
      </c>
      <c r="AA36" s="324">
        <v>48.713999999999999</v>
      </c>
      <c r="AB36" s="322">
        <v>0</v>
      </c>
      <c r="AC36" s="322">
        <v>0</v>
      </c>
      <c r="AD36" s="322">
        <v>0</v>
      </c>
      <c r="AE36" s="322">
        <v>0</v>
      </c>
      <c r="AF36" s="322">
        <v>0</v>
      </c>
      <c r="AG36" s="322">
        <v>85.045000000000002</v>
      </c>
      <c r="AH36" s="322">
        <v>0</v>
      </c>
      <c r="AI36" s="322">
        <v>102.569</v>
      </c>
      <c r="AJ36" s="322">
        <v>0</v>
      </c>
      <c r="AK36" s="322">
        <v>97.990000000000009</v>
      </c>
      <c r="AL36" s="322">
        <v>0</v>
      </c>
      <c r="AM36" s="322">
        <v>109.247</v>
      </c>
      <c r="AN36" s="322">
        <v>0</v>
      </c>
      <c r="AO36" s="322">
        <v>69.86099999999999</v>
      </c>
      <c r="AP36" s="322">
        <v>0</v>
      </c>
      <c r="AQ36" s="322">
        <v>73.570999999999998</v>
      </c>
      <c r="AR36" s="322">
        <v>0</v>
      </c>
      <c r="AS36" s="322">
        <v>78.442000000000007</v>
      </c>
      <c r="AT36" s="322">
        <v>0</v>
      </c>
      <c r="AU36" s="322">
        <v>68.628</v>
      </c>
      <c r="AV36" s="322">
        <v>0</v>
      </c>
      <c r="AW36" s="322">
        <v>62.361999999999995</v>
      </c>
      <c r="AX36" s="322">
        <v>0</v>
      </c>
      <c r="AY36" s="321">
        <f>AVERAGE(AU36:AX36)</f>
        <v>32.747500000000002</v>
      </c>
    </row>
    <row r="37" spans="1:51" s="301" customFormat="1" x14ac:dyDescent="0.25">
      <c r="A37" s="132">
        <v>100</v>
      </c>
      <c r="B37" s="132" t="s">
        <v>243</v>
      </c>
      <c r="C37" s="143" t="s">
        <v>242</v>
      </c>
      <c r="D37" s="324">
        <v>153.52951392675928</v>
      </c>
      <c r="E37" s="324">
        <v>340.17710453998427</v>
      </c>
      <c r="F37" s="324">
        <v>149.90366911978376</v>
      </c>
      <c r="G37" s="324">
        <v>161.55779861960386</v>
      </c>
      <c r="H37" s="324">
        <v>252.49691399028617</v>
      </c>
      <c r="I37" s="324">
        <v>217.55278284028404</v>
      </c>
      <c r="J37" s="324">
        <v>205.96099433553462</v>
      </c>
      <c r="K37" s="324">
        <v>322.15678072403051</v>
      </c>
      <c r="L37" s="324">
        <v>309.17142882540077</v>
      </c>
      <c r="M37" s="324">
        <v>278.22474876195253</v>
      </c>
      <c r="N37" s="324">
        <v>267.92385224463152</v>
      </c>
      <c r="O37" s="324">
        <v>109.81294546525075</v>
      </c>
      <c r="P37" s="324">
        <v>169.36323310121611</v>
      </c>
      <c r="Q37" s="324">
        <v>151.36873236432302</v>
      </c>
      <c r="R37" s="324">
        <v>177.04056260982554</v>
      </c>
      <c r="S37" s="324">
        <v>324.84932965615292</v>
      </c>
      <c r="T37" s="324">
        <v>200.43157110305418</v>
      </c>
      <c r="U37" s="324">
        <v>218.81288173156653</v>
      </c>
      <c r="V37" s="324">
        <v>283.07043924666294</v>
      </c>
      <c r="W37" s="324">
        <v>255.43666427365747</v>
      </c>
      <c r="X37" s="324">
        <v>335.40399929468936</v>
      </c>
      <c r="Y37" s="324">
        <v>299.58641970655026</v>
      </c>
      <c r="Z37" s="324">
        <v>272.98788450361531</v>
      </c>
      <c r="AA37" s="324">
        <v>169.18175388874326</v>
      </c>
      <c r="AB37" s="322">
        <v>177.02001779998315</v>
      </c>
      <c r="AC37" s="322">
        <v>246.50728583333816</v>
      </c>
      <c r="AD37" s="322">
        <v>160.56032388994765</v>
      </c>
      <c r="AE37" s="322">
        <v>103.69630894035484</v>
      </c>
      <c r="AF37" s="322">
        <v>203.30947492513334</v>
      </c>
      <c r="AG37" s="322">
        <v>136.84496125879517</v>
      </c>
      <c r="AH37" s="322">
        <v>200.78232513556353</v>
      </c>
      <c r="AI37" s="322">
        <v>243.24277843701546</v>
      </c>
      <c r="AJ37" s="322">
        <v>235.96232019205132</v>
      </c>
      <c r="AK37" s="322">
        <v>196.95930636751106</v>
      </c>
      <c r="AL37" s="322">
        <v>122.79093300306243</v>
      </c>
      <c r="AM37" s="322">
        <v>126.28631315631569</v>
      </c>
      <c r="AN37" s="322">
        <v>71.931893547604261</v>
      </c>
      <c r="AO37" s="322">
        <v>92.6678917816065</v>
      </c>
      <c r="AP37" s="322">
        <v>108.9427247336393</v>
      </c>
      <c r="AQ37" s="322">
        <v>135.80624223697754</v>
      </c>
      <c r="AR37" s="322">
        <v>177.38984114566088</v>
      </c>
      <c r="AS37" s="322">
        <v>203.24928191327311</v>
      </c>
      <c r="AT37" s="322">
        <v>194.34105982709343</v>
      </c>
      <c r="AU37" s="322">
        <v>183.94597550504085</v>
      </c>
      <c r="AV37" s="322">
        <v>212.16147108058183</v>
      </c>
      <c r="AW37" s="322">
        <v>85.887574133026661</v>
      </c>
      <c r="AX37" s="322">
        <v>233.50141737300865</v>
      </c>
      <c r="AY37" s="322">
        <v>23.388735338723031</v>
      </c>
    </row>
    <row r="38" spans="1:51" s="301" customFormat="1" x14ac:dyDescent="0.25">
      <c r="A38" s="132">
        <v>13.1</v>
      </c>
      <c r="B38" s="342" t="s">
        <v>48</v>
      </c>
      <c r="C38" s="326" t="s">
        <v>3655</v>
      </c>
      <c r="D38" s="324">
        <v>0</v>
      </c>
      <c r="E38" s="324">
        <v>0</v>
      </c>
      <c r="F38" s="324">
        <v>0</v>
      </c>
      <c r="G38" s="324">
        <v>0</v>
      </c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>
        <v>0</v>
      </c>
      <c r="U38" s="324">
        <v>0</v>
      </c>
      <c r="V38" s="324">
        <v>0</v>
      </c>
      <c r="W38" s="324">
        <v>0</v>
      </c>
      <c r="X38" s="324">
        <v>0</v>
      </c>
      <c r="Y38" s="324">
        <v>0</v>
      </c>
      <c r="Z38" s="324">
        <v>0</v>
      </c>
      <c r="AA38" s="324">
        <v>0</v>
      </c>
      <c r="AB38" s="301">
        <v>0</v>
      </c>
      <c r="AC38" s="322">
        <v>0</v>
      </c>
      <c r="AD38" s="322">
        <v>0</v>
      </c>
      <c r="AE38" s="322">
        <v>0</v>
      </c>
      <c r="AF38" s="322">
        <v>0</v>
      </c>
      <c r="AG38" s="322">
        <v>0</v>
      </c>
      <c r="AH38" s="322">
        <v>0</v>
      </c>
      <c r="AI38" s="322">
        <v>0</v>
      </c>
      <c r="AJ38" s="322">
        <v>0</v>
      </c>
      <c r="AK38" s="322">
        <v>0</v>
      </c>
      <c r="AL38" s="322">
        <v>0</v>
      </c>
      <c r="AM38" s="322">
        <v>0</v>
      </c>
      <c r="AN38" s="322">
        <v>0</v>
      </c>
      <c r="AO38" s="322">
        <v>0</v>
      </c>
      <c r="AP38" s="322">
        <v>0</v>
      </c>
      <c r="AQ38" s="322">
        <v>0</v>
      </c>
      <c r="AR38" s="322">
        <v>0</v>
      </c>
      <c r="AS38" s="322">
        <v>0</v>
      </c>
      <c r="AT38" s="322">
        <v>0</v>
      </c>
      <c r="AU38" s="322">
        <v>0</v>
      </c>
      <c r="AV38" s="322">
        <v>0</v>
      </c>
      <c r="AW38" s="322">
        <v>0</v>
      </c>
      <c r="AX38" s="322">
        <v>0</v>
      </c>
      <c r="AY38" s="322">
        <v>0</v>
      </c>
    </row>
    <row r="39" spans="1:51" s="301" customFormat="1" x14ac:dyDescent="0.25">
      <c r="A39" s="62">
        <v>349</v>
      </c>
      <c r="B39" s="327" t="s">
        <v>3647</v>
      </c>
      <c r="C39" s="100" t="s">
        <v>3699</v>
      </c>
      <c r="D39" s="324">
        <v>961</v>
      </c>
      <c r="E39" s="324">
        <v>1093.5550000000001</v>
      </c>
      <c r="F39" s="324">
        <v>877</v>
      </c>
      <c r="G39" s="324">
        <v>1133.8879999999999</v>
      </c>
      <c r="H39" s="324">
        <v>819</v>
      </c>
      <c r="I39" s="324">
        <v>67.555000000000007</v>
      </c>
      <c r="J39" s="324">
        <v>0</v>
      </c>
      <c r="K39" s="324">
        <v>139.209</v>
      </c>
      <c r="L39" s="324">
        <v>0</v>
      </c>
      <c r="M39" s="324">
        <v>94.527000000000001</v>
      </c>
      <c r="N39" s="324">
        <v>0</v>
      </c>
      <c r="O39" s="324">
        <v>77.47999999999999</v>
      </c>
      <c r="P39" s="324">
        <v>0</v>
      </c>
      <c r="Q39" s="324">
        <v>36.034999999999997</v>
      </c>
      <c r="R39" s="324">
        <v>8650.7479999999996</v>
      </c>
      <c r="S39" s="324">
        <v>1237</v>
      </c>
      <c r="T39" s="325">
        <v>620</v>
      </c>
      <c r="U39" s="325">
        <v>538</v>
      </c>
      <c r="V39" s="325">
        <v>694</v>
      </c>
      <c r="W39" s="325">
        <v>1094</v>
      </c>
      <c r="X39" s="325">
        <v>2600</v>
      </c>
      <c r="Y39" s="325">
        <v>2690</v>
      </c>
      <c r="Z39" s="325">
        <v>2392</v>
      </c>
      <c r="AA39" s="325">
        <v>1763</v>
      </c>
      <c r="AB39" s="322">
        <v>1688</v>
      </c>
      <c r="AC39" s="322">
        <v>2684</v>
      </c>
      <c r="AD39" s="322">
        <v>1374</v>
      </c>
      <c r="AE39" s="322">
        <v>310</v>
      </c>
      <c r="AF39" s="322">
        <v>1114</v>
      </c>
      <c r="AG39" s="322">
        <v>1236</v>
      </c>
      <c r="AH39" s="322">
        <v>1299.999</v>
      </c>
      <c r="AI39" s="322">
        <v>-1402</v>
      </c>
      <c r="AJ39" s="322">
        <v>444</v>
      </c>
      <c r="AK39" s="322">
        <v>973</v>
      </c>
      <c r="AL39" s="322">
        <v>830</v>
      </c>
      <c r="AM39" s="322">
        <v>643</v>
      </c>
      <c r="AN39" s="322">
        <v>1340</v>
      </c>
      <c r="AO39" s="322">
        <v>1238</v>
      </c>
      <c r="AP39" s="322">
        <v>796</v>
      </c>
      <c r="AQ39" s="322">
        <v>1119</v>
      </c>
      <c r="AR39" s="321">
        <f t="shared" ref="AR39:AY39" si="1">AVERAGE(AM39:AQ39)</f>
        <v>1027.2</v>
      </c>
      <c r="AS39" s="321">
        <f t="shared" si="1"/>
        <v>1104.04</v>
      </c>
      <c r="AT39" s="321">
        <f t="shared" si="1"/>
        <v>1056.848</v>
      </c>
      <c r="AU39" s="321">
        <f t="shared" si="1"/>
        <v>1020.6175999999999</v>
      </c>
      <c r="AV39" s="321">
        <f t="shared" si="1"/>
        <v>1065.5411199999999</v>
      </c>
      <c r="AW39" s="321">
        <f t="shared" si="1"/>
        <v>1054.8493439999997</v>
      </c>
      <c r="AX39" s="321">
        <f t="shared" si="1"/>
        <v>1060.3792128</v>
      </c>
      <c r="AY39" s="321">
        <f t="shared" si="1"/>
        <v>1051.64705536</v>
      </c>
    </row>
    <row r="40" spans="1:51" s="301" customFormat="1" x14ac:dyDescent="0.25">
      <c r="A40" s="132">
        <v>102</v>
      </c>
      <c r="B40" s="342" t="s">
        <v>247</v>
      </c>
      <c r="C40" s="143" t="s">
        <v>246</v>
      </c>
      <c r="D40" s="324">
        <v>13.924372093904262</v>
      </c>
      <c r="E40" s="324">
        <v>30.147242391457098</v>
      </c>
      <c r="F40" s="324">
        <v>13.610512995564321</v>
      </c>
      <c r="G40" s="324">
        <v>14.320582173807558</v>
      </c>
      <c r="H40" s="324">
        <v>22.251340475423007</v>
      </c>
      <c r="I40" s="324">
        <v>19.217609887172731</v>
      </c>
      <c r="J40" s="324">
        <v>18.051971077678036</v>
      </c>
      <c r="K40" s="324">
        <v>28.057080821833683</v>
      </c>
      <c r="L40" s="324">
        <v>27.031994052820256</v>
      </c>
      <c r="M40" s="324">
        <v>24.449090303181507</v>
      </c>
      <c r="N40" s="324">
        <v>23.714783103360379</v>
      </c>
      <c r="O40" s="324">
        <v>10.124541288093578</v>
      </c>
      <c r="P40" s="324">
        <v>15.272444649880457</v>
      </c>
      <c r="Q40" s="324">
        <v>13.811861133067392</v>
      </c>
      <c r="R40" s="324">
        <v>15.949195181291522</v>
      </c>
      <c r="S40" s="324">
        <v>28.644660744541142</v>
      </c>
      <c r="T40" s="324">
        <v>0</v>
      </c>
      <c r="U40" s="324">
        <v>0</v>
      </c>
      <c r="V40" s="324">
        <v>0</v>
      </c>
      <c r="W40" s="324">
        <v>0</v>
      </c>
      <c r="X40" s="324">
        <v>0</v>
      </c>
      <c r="Y40" s="324">
        <v>0</v>
      </c>
      <c r="Z40" s="324">
        <v>0</v>
      </c>
      <c r="AA40" s="324">
        <v>0</v>
      </c>
      <c r="AB40" s="322">
        <v>0</v>
      </c>
      <c r="AC40" s="322">
        <v>0</v>
      </c>
      <c r="AD40" s="322">
        <v>0</v>
      </c>
      <c r="AE40" s="322">
        <v>0</v>
      </c>
      <c r="AF40" s="322">
        <v>0</v>
      </c>
      <c r="AG40" s="322">
        <v>0</v>
      </c>
      <c r="AH40" s="322">
        <v>0</v>
      </c>
      <c r="AI40" s="322">
        <v>0</v>
      </c>
      <c r="AJ40" s="322">
        <v>0</v>
      </c>
      <c r="AK40" s="322">
        <v>0</v>
      </c>
      <c r="AL40" s="322">
        <v>0</v>
      </c>
      <c r="AM40" s="322">
        <v>0</v>
      </c>
      <c r="AN40" s="322">
        <v>0</v>
      </c>
      <c r="AO40" s="322">
        <v>0</v>
      </c>
      <c r="AP40" s="322">
        <v>0</v>
      </c>
      <c r="AQ40" s="322">
        <v>0</v>
      </c>
      <c r="AR40" s="322">
        <v>0</v>
      </c>
      <c r="AS40" s="322">
        <v>0</v>
      </c>
      <c r="AT40" s="322">
        <v>0</v>
      </c>
      <c r="AU40" s="322">
        <v>0</v>
      </c>
      <c r="AV40" s="322">
        <v>0</v>
      </c>
      <c r="AW40" s="322">
        <v>0</v>
      </c>
      <c r="AX40" s="322">
        <v>0</v>
      </c>
      <c r="AY40" s="322">
        <v>0</v>
      </c>
    </row>
    <row r="41" spans="1:51" s="301" customFormat="1" x14ac:dyDescent="0.25">
      <c r="A41" s="132">
        <v>59</v>
      </c>
      <c r="B41" s="342" t="s">
        <v>147</v>
      </c>
      <c r="C41" s="143" t="s">
        <v>146</v>
      </c>
      <c r="D41" s="324">
        <v>20.172542521503779</v>
      </c>
      <c r="E41" s="324">
        <v>45.476966197280909</v>
      </c>
      <c r="F41" s="324">
        <v>19.70550190943807</v>
      </c>
      <c r="G41" s="324">
        <v>21.373259419875581</v>
      </c>
      <c r="H41" s="324">
        <v>33.160374702582111</v>
      </c>
      <c r="I41" s="324">
        <v>28.437170675672824</v>
      </c>
      <c r="J41" s="324">
        <v>26.643771421781622</v>
      </c>
      <c r="K41" s="324">
        <v>42.191954985720116</v>
      </c>
      <c r="L41" s="324">
        <v>40.593748478812799</v>
      </c>
      <c r="M41" s="324">
        <v>36.582539780839589</v>
      </c>
      <c r="N41" s="324">
        <v>35.468079349336278</v>
      </c>
      <c r="O41" s="324">
        <v>14.30552508047777</v>
      </c>
      <c r="P41" s="324">
        <v>22.321184331698021</v>
      </c>
      <c r="Q41" s="324">
        <v>20.058757816427313</v>
      </c>
      <c r="R41" s="324">
        <v>23.365750582125841</v>
      </c>
      <c r="S41" s="324">
        <v>43.141669585253339</v>
      </c>
      <c r="T41" s="324">
        <v>0</v>
      </c>
      <c r="U41" s="324">
        <v>0</v>
      </c>
      <c r="V41" s="324">
        <v>0</v>
      </c>
      <c r="W41" s="324">
        <v>0</v>
      </c>
      <c r="X41" s="324">
        <v>0</v>
      </c>
      <c r="Y41" s="324">
        <v>0</v>
      </c>
      <c r="Z41" s="324">
        <v>0</v>
      </c>
      <c r="AA41" s="324">
        <v>0</v>
      </c>
      <c r="AB41" s="322">
        <v>0</v>
      </c>
      <c r="AC41" s="322">
        <v>0</v>
      </c>
      <c r="AD41" s="322">
        <v>0</v>
      </c>
      <c r="AE41" s="322">
        <v>0</v>
      </c>
      <c r="AF41" s="322">
        <v>0</v>
      </c>
      <c r="AG41" s="322">
        <v>0</v>
      </c>
      <c r="AH41" s="322">
        <v>0</v>
      </c>
      <c r="AI41" s="322">
        <v>0</v>
      </c>
      <c r="AJ41" s="322">
        <v>0</v>
      </c>
      <c r="AK41" s="322">
        <v>0</v>
      </c>
      <c r="AL41" s="322">
        <v>0</v>
      </c>
      <c r="AM41" s="322">
        <v>0</v>
      </c>
      <c r="AN41" s="322">
        <v>0</v>
      </c>
      <c r="AO41" s="322">
        <v>0</v>
      </c>
      <c r="AP41" s="322">
        <v>0</v>
      </c>
      <c r="AQ41" s="322">
        <v>0</v>
      </c>
      <c r="AR41" s="322">
        <v>0</v>
      </c>
      <c r="AS41" s="322">
        <v>0</v>
      </c>
      <c r="AT41" s="322">
        <v>0</v>
      </c>
      <c r="AU41" s="322">
        <v>0</v>
      </c>
      <c r="AV41" s="322">
        <v>0</v>
      </c>
      <c r="AW41" s="322">
        <v>0</v>
      </c>
      <c r="AX41" s="322">
        <v>0</v>
      </c>
      <c r="AY41" s="322">
        <v>0</v>
      </c>
    </row>
    <row r="42" spans="1:51" s="301" customFormat="1" x14ac:dyDescent="0.25">
      <c r="A42" s="132">
        <v>87</v>
      </c>
      <c r="B42" s="132" t="s">
        <v>204</v>
      </c>
      <c r="C42" s="143" t="s">
        <v>3661</v>
      </c>
      <c r="D42" s="324">
        <v>0</v>
      </c>
      <c r="E42" s="324">
        <v>0</v>
      </c>
      <c r="F42" s="324">
        <v>0</v>
      </c>
      <c r="G42" s="324">
        <v>0</v>
      </c>
      <c r="H42" s="324">
        <v>0</v>
      </c>
      <c r="I42" s="324">
        <v>0</v>
      </c>
      <c r="J42" s="324">
        <v>0</v>
      </c>
      <c r="K42" s="324">
        <v>0</v>
      </c>
      <c r="L42" s="324">
        <v>0</v>
      </c>
      <c r="M42" s="324">
        <v>0</v>
      </c>
      <c r="N42" s="324">
        <v>0</v>
      </c>
      <c r="O42" s="324">
        <v>0</v>
      </c>
      <c r="P42" s="324">
        <v>0</v>
      </c>
      <c r="Q42" s="324">
        <v>0</v>
      </c>
      <c r="R42" s="324">
        <v>0</v>
      </c>
      <c r="S42" s="324">
        <v>0</v>
      </c>
      <c r="T42" s="324">
        <v>0</v>
      </c>
      <c r="U42" s="324">
        <v>0</v>
      </c>
      <c r="V42" s="324">
        <v>0</v>
      </c>
      <c r="W42" s="324">
        <v>0</v>
      </c>
      <c r="X42" s="324">
        <v>0</v>
      </c>
      <c r="Y42" s="324">
        <v>0</v>
      </c>
      <c r="Z42" s="324">
        <v>0</v>
      </c>
      <c r="AA42" s="324">
        <v>0</v>
      </c>
      <c r="AB42" s="322">
        <v>0</v>
      </c>
      <c r="AC42" s="322">
        <v>0</v>
      </c>
      <c r="AD42" s="322">
        <v>0</v>
      </c>
      <c r="AE42" s="322">
        <v>0</v>
      </c>
      <c r="AF42" s="322">
        <v>0</v>
      </c>
      <c r="AG42" s="322">
        <v>0</v>
      </c>
      <c r="AH42" s="322">
        <v>0</v>
      </c>
      <c r="AI42" s="322">
        <v>0</v>
      </c>
      <c r="AJ42" s="322">
        <v>0</v>
      </c>
      <c r="AK42" s="322">
        <v>0</v>
      </c>
      <c r="AL42" s="322">
        <v>0</v>
      </c>
      <c r="AM42" s="322">
        <v>0</v>
      </c>
      <c r="AN42" s="322">
        <v>0</v>
      </c>
      <c r="AO42" s="322">
        <v>0</v>
      </c>
      <c r="AP42" s="322">
        <v>0</v>
      </c>
      <c r="AQ42" s="322">
        <v>0</v>
      </c>
      <c r="AR42" s="322">
        <v>0</v>
      </c>
      <c r="AS42" s="322">
        <v>0</v>
      </c>
      <c r="AT42" s="322">
        <v>0</v>
      </c>
      <c r="AU42" s="322">
        <v>0</v>
      </c>
      <c r="AV42" s="322">
        <v>0</v>
      </c>
      <c r="AW42" s="322">
        <v>0</v>
      </c>
      <c r="AX42" s="322">
        <v>0</v>
      </c>
      <c r="AY42" s="322">
        <v>0</v>
      </c>
    </row>
    <row r="43" spans="1:51" s="301" customFormat="1" x14ac:dyDescent="0.25">
      <c r="A43" s="132">
        <v>87.1</v>
      </c>
      <c r="B43" s="132" t="s">
        <v>204</v>
      </c>
      <c r="C43" s="143" t="s">
        <v>3661</v>
      </c>
      <c r="D43" s="324">
        <v>51.330192619824878</v>
      </c>
      <c r="E43" s="324">
        <v>73.366678751303127</v>
      </c>
      <c r="F43" s="324">
        <v>49.121349010421866</v>
      </c>
      <c r="G43" s="324">
        <v>39.242893566947046</v>
      </c>
      <c r="H43" s="324">
        <v>63.465384736382433</v>
      </c>
      <c r="I43" s="324">
        <v>56.113412567164602</v>
      </c>
      <c r="J43" s="324">
        <v>56.170666908043266</v>
      </c>
      <c r="K43" s="324">
        <v>73.881208447388289</v>
      </c>
      <c r="L43" s="324">
        <v>69.901677852052202</v>
      </c>
      <c r="M43" s="324">
        <v>68.095356217240607</v>
      </c>
      <c r="N43" s="324">
        <v>66.73380882228949</v>
      </c>
      <c r="O43" s="324">
        <v>45.071480691598573</v>
      </c>
      <c r="P43" s="324">
        <v>52.397232098367724</v>
      </c>
      <c r="Q43" s="324">
        <v>48.098172389440158</v>
      </c>
      <c r="R43" s="324">
        <v>52.334291923134536</v>
      </c>
      <c r="S43" s="324">
        <v>71.170579410772433</v>
      </c>
      <c r="T43" s="329">
        <v>55.666853850166042</v>
      </c>
      <c r="U43" s="324">
        <v>55.61505754194895</v>
      </c>
      <c r="V43" s="324">
        <v>65.676543719294983</v>
      </c>
      <c r="W43" s="324">
        <v>63.938518098507643</v>
      </c>
      <c r="X43" s="324">
        <v>72.726731732422124</v>
      </c>
      <c r="Y43" s="324">
        <v>70.379757850603411</v>
      </c>
      <c r="Z43" s="324">
        <v>67.222944211059257</v>
      </c>
      <c r="AA43" s="324">
        <v>51.515274255449917</v>
      </c>
      <c r="AB43" s="322">
        <v>52.884645377361274</v>
      </c>
      <c r="AC43" s="322">
        <v>60.684753780980017</v>
      </c>
      <c r="AD43" s="322">
        <v>48.930035002053629</v>
      </c>
      <c r="AE43" s="322">
        <v>39.908466284646231</v>
      </c>
      <c r="AF43" s="322">
        <v>55.656957152842864</v>
      </c>
      <c r="AG43" s="322">
        <v>43.476466561016728</v>
      </c>
      <c r="AH43" s="322">
        <v>54.405980577312668</v>
      </c>
      <c r="AI43" s="322">
        <v>61.905233223867185</v>
      </c>
      <c r="AJ43" s="322">
        <v>58.603861814578821</v>
      </c>
      <c r="AK43" s="322">
        <v>55.777210052919322</v>
      </c>
      <c r="AL43" s="322">
        <v>46.368995758274771</v>
      </c>
      <c r="AM43" s="322">
        <v>46.257818442675877</v>
      </c>
      <c r="AN43" s="322">
        <v>39.065823271235388</v>
      </c>
      <c r="AO43" s="322">
        <v>39.883703181399547</v>
      </c>
      <c r="AP43" s="322">
        <v>43.050287963539766</v>
      </c>
      <c r="AQ43" s="322">
        <v>45.788066695887736</v>
      </c>
      <c r="AR43" s="322">
        <v>54.42241930931101</v>
      </c>
      <c r="AS43" s="322">
        <v>55.129854578425565</v>
      </c>
      <c r="AT43" s="322">
        <v>61.910123774744754</v>
      </c>
      <c r="AU43" s="322">
        <v>66.329810012099443</v>
      </c>
      <c r="AV43" s="322">
        <v>65.756674295385139</v>
      </c>
      <c r="AW43" s="322">
        <v>46.455977111835253</v>
      </c>
      <c r="AX43" s="322">
        <v>61.253095923964295</v>
      </c>
      <c r="AY43" s="322">
        <v>31.508167278039792</v>
      </c>
    </row>
    <row r="44" spans="1:51" s="301" customFormat="1" x14ac:dyDescent="0.25">
      <c r="A44" s="132">
        <v>64</v>
      </c>
      <c r="B44" s="132" t="s">
        <v>159</v>
      </c>
      <c r="C44" s="143" t="s">
        <v>158</v>
      </c>
      <c r="D44" s="324">
        <v>465.84970707472996</v>
      </c>
      <c r="E44" s="324">
        <v>983.2561407945326</v>
      </c>
      <c r="F44" s="324">
        <v>454.92797268829884</v>
      </c>
      <c r="G44" s="324">
        <v>475.39091071475866</v>
      </c>
      <c r="H44" s="324">
        <v>748.34677605894228</v>
      </c>
      <c r="I44" s="324">
        <v>650.90625482193093</v>
      </c>
      <c r="J44" s="324">
        <v>622.52859370365559</v>
      </c>
      <c r="K44" s="324">
        <v>949.6684889878793</v>
      </c>
      <c r="L44" s="324">
        <v>910.52582461675206</v>
      </c>
      <c r="M44" s="324">
        <v>821.03712345377551</v>
      </c>
      <c r="N44" s="324">
        <v>786.56490083621577</v>
      </c>
      <c r="O44" s="324">
        <v>342.39726788499399</v>
      </c>
      <c r="P44" s="324">
        <v>508.89486626977839</v>
      </c>
      <c r="Q44" s="324">
        <v>455.12441319572196</v>
      </c>
      <c r="R44" s="324">
        <v>530.31947826417843</v>
      </c>
      <c r="S44" s="324">
        <v>945.56233815243104</v>
      </c>
      <c r="T44" s="324">
        <v>601.54289616007952</v>
      </c>
      <c r="U44" s="324">
        <v>653.38193682716076</v>
      </c>
      <c r="V44" s="324">
        <v>836.86578741309927</v>
      </c>
      <c r="W44" s="324">
        <v>761.46071035069951</v>
      </c>
      <c r="X44" s="324">
        <v>982.79186244166385</v>
      </c>
      <c r="Y44" s="324">
        <v>879.98789877889567</v>
      </c>
      <c r="Z44" s="324">
        <v>800.50279649462539</v>
      </c>
      <c r="AA44" s="324">
        <v>506.72004701097967</v>
      </c>
      <c r="AB44" s="322">
        <v>529.67661355043094</v>
      </c>
      <c r="AC44" s="322">
        <v>721.07815393296562</v>
      </c>
      <c r="AD44" s="322">
        <v>482.75263099354413</v>
      </c>
      <c r="AE44" s="322">
        <v>324.76934146408229</v>
      </c>
      <c r="AF44" s="322">
        <v>609.03150682406033</v>
      </c>
      <c r="AG44" s="322">
        <v>422.29303077002749</v>
      </c>
      <c r="AH44" s="322">
        <v>606.30310262122669</v>
      </c>
      <c r="AI44" s="322">
        <v>726.72176038758937</v>
      </c>
      <c r="AJ44" s="322">
        <v>703.36310305545715</v>
      </c>
      <c r="AK44" s="322">
        <v>591.73618455295923</v>
      </c>
      <c r="AL44" s="322">
        <v>379.47609721787978</v>
      </c>
      <c r="AM44" s="322">
        <v>387.294892225929</v>
      </c>
      <c r="AN44" s="322">
        <v>236.01945012827963</v>
      </c>
      <c r="AO44" s="322">
        <v>290.51899289662964</v>
      </c>
      <c r="AP44" s="322">
        <v>339.63305071473332</v>
      </c>
      <c r="AQ44" s="322">
        <v>416.69274851392663</v>
      </c>
      <c r="AR44" s="322">
        <v>128.07493430899973</v>
      </c>
      <c r="AS44" s="322">
        <v>128.87349972759472</v>
      </c>
      <c r="AT44" s="322">
        <v>166.5625486219831</v>
      </c>
      <c r="AU44" s="322">
        <v>186.8649658916639</v>
      </c>
      <c r="AV44" s="322">
        <v>172.81456974387157</v>
      </c>
      <c r="AW44" s="322">
        <v>142.35011814872263</v>
      </c>
      <c r="AX44" s="322">
        <v>109.34538264544007</v>
      </c>
      <c r="AY44" s="322">
        <v>102.20496412713274</v>
      </c>
    </row>
    <row r="45" spans="1:51" s="301" customFormat="1" x14ac:dyDescent="0.25">
      <c r="A45" s="132">
        <v>18</v>
      </c>
      <c r="B45" s="132" t="s">
        <v>63</v>
      </c>
      <c r="C45" s="143" t="s">
        <v>62</v>
      </c>
      <c r="D45" s="324">
        <v>216.9708890790138</v>
      </c>
      <c r="E45" s="324">
        <v>373.25528617475936</v>
      </c>
      <c r="F45" s="324">
        <v>212.17487084944969</v>
      </c>
      <c r="G45" s="324">
        <v>194.43737793495953</v>
      </c>
      <c r="H45" s="324">
        <v>313.32205257991563</v>
      </c>
      <c r="I45" s="324">
        <v>283.09634964280644</v>
      </c>
      <c r="J45" s="324">
        <v>279.25005927943107</v>
      </c>
      <c r="K45" s="324">
        <v>385.60793698923567</v>
      </c>
      <c r="L45" s="324">
        <v>369.56538817729455</v>
      </c>
      <c r="M45" s="324">
        <v>337.20187136573247</v>
      </c>
      <c r="N45" s="324">
        <v>318.36330215434475</v>
      </c>
      <c r="O45" s="324">
        <v>175.80464115648331</v>
      </c>
      <c r="P45" s="324">
        <v>228.16039148473814</v>
      </c>
      <c r="Q45" s="324">
        <v>206.62073372290669</v>
      </c>
      <c r="R45" s="324">
        <v>234.97065398337716</v>
      </c>
      <c r="S45" s="324">
        <v>368.17831010388863</v>
      </c>
      <c r="T45" s="324">
        <v>264.85396735410637</v>
      </c>
      <c r="U45" s="324">
        <v>281.95403958620295</v>
      </c>
      <c r="V45" s="324">
        <v>344.4793833442331</v>
      </c>
      <c r="W45" s="324">
        <v>323.41684352643512</v>
      </c>
      <c r="X45" s="324">
        <v>390.37217677850686</v>
      </c>
      <c r="Y45" s="324">
        <v>354.34143496394165</v>
      </c>
      <c r="Z45" s="324">
        <v>322.33219672864476</v>
      </c>
      <c r="AA45" s="324">
        <v>224.30252665609163</v>
      </c>
      <c r="AB45" s="322">
        <v>233.49570722015375</v>
      </c>
      <c r="AC45" s="322">
        <v>290.20327695815132</v>
      </c>
      <c r="AD45" s="322">
        <v>217.13206423574766</v>
      </c>
      <c r="AE45" s="322">
        <v>168.15053109541213</v>
      </c>
      <c r="AF45" s="322">
        <v>266.18721912250288</v>
      </c>
      <c r="AG45" s="322">
        <v>205.71219891673658</v>
      </c>
      <c r="AH45" s="322">
        <v>271.02646113241576</v>
      </c>
      <c r="AI45" s="322">
        <v>311.33794027925239</v>
      </c>
      <c r="AJ45" s="322">
        <v>299.90288628935451</v>
      </c>
      <c r="AK45" s="322">
        <v>261.21557401359797</v>
      </c>
      <c r="AL45" s="322">
        <v>187.78079580104927</v>
      </c>
      <c r="AM45" s="322">
        <v>187.69906179648976</v>
      </c>
      <c r="AN45" s="322">
        <v>141.40035611555567</v>
      </c>
      <c r="AO45" s="322">
        <v>153.87351213227481</v>
      </c>
      <c r="AP45" s="322">
        <v>174.40863574321668</v>
      </c>
      <c r="AQ45" s="322">
        <v>201.14106033546014</v>
      </c>
      <c r="AR45" s="322">
        <v>120.00157872331494</v>
      </c>
      <c r="AS45" s="322">
        <v>120.76947818226866</v>
      </c>
      <c r="AT45" s="322">
        <v>156.26264011086772</v>
      </c>
      <c r="AU45" s="322">
        <v>175.3722697473342</v>
      </c>
      <c r="AV45" s="322">
        <v>162.08768960466358</v>
      </c>
      <c r="AW45" s="322">
        <v>133.40679674367516</v>
      </c>
      <c r="AX45" s="322">
        <v>102.3349363694294</v>
      </c>
      <c r="AY45" s="322">
        <v>95.564553231626462</v>
      </c>
    </row>
    <row r="46" spans="1:51" s="301" customFormat="1" x14ac:dyDescent="0.25">
      <c r="A46" s="132">
        <v>149</v>
      </c>
      <c r="B46" s="132" t="s">
        <v>340</v>
      </c>
      <c r="C46" s="143" t="s">
        <v>339</v>
      </c>
      <c r="D46" s="324">
        <v>177.55978654235074</v>
      </c>
      <c r="E46" s="324">
        <v>405.68938659263</v>
      </c>
      <c r="F46" s="324">
        <v>173.2581749480762</v>
      </c>
      <c r="G46" s="324">
        <v>191.32462371403028</v>
      </c>
      <c r="H46" s="324">
        <v>299.02230750696106</v>
      </c>
      <c r="I46" s="324">
        <v>256.31316954123048</v>
      </c>
      <c r="J46" s="324">
        <v>242.57945579023988</v>
      </c>
      <c r="K46" s="324">
        <v>384.4662828747035</v>
      </c>
      <c r="L46" s="324">
        <v>368.39171276393949</v>
      </c>
      <c r="M46" s="324">
        <v>330.50891742160525</v>
      </c>
      <c r="N46" s="324">
        <v>317.80119817751</v>
      </c>
      <c r="O46" s="324">
        <v>124.46390290586035</v>
      </c>
      <c r="P46" s="324">
        <v>197.23967209314381</v>
      </c>
      <c r="Q46" s="324">
        <v>175.07314756653477</v>
      </c>
      <c r="R46" s="324">
        <v>206.54547684442608</v>
      </c>
      <c r="S46" s="324">
        <v>387.33900569382496</v>
      </c>
      <c r="T46" s="324">
        <v>235.6920977967365</v>
      </c>
      <c r="U46" s="324">
        <v>258.08480813099061</v>
      </c>
      <c r="V46" s="324">
        <v>337.01642660009259</v>
      </c>
      <c r="W46" s="324">
        <v>303.27224680782018</v>
      </c>
      <c r="X46" s="324">
        <v>400.65430989266753</v>
      </c>
      <c r="Y46" s="324">
        <v>356.7732024664727</v>
      </c>
      <c r="Z46" s="324">
        <v>324.04402725860956</v>
      </c>
      <c r="AA46" s="324">
        <v>197.45480528211024</v>
      </c>
      <c r="AB46" s="322">
        <v>206.76561453269318</v>
      </c>
      <c r="AC46" s="322">
        <v>291.32969140634293</v>
      </c>
      <c r="AD46" s="322">
        <v>186.82196707564816</v>
      </c>
      <c r="AE46" s="322">
        <v>117.78546041905329</v>
      </c>
      <c r="AF46" s="322">
        <v>239.33202407815199</v>
      </c>
      <c r="AG46" s="322">
        <v>158.37438533152263</v>
      </c>
      <c r="AH46" s="322">
        <v>236.59067313709798</v>
      </c>
      <c r="AI46" s="322">
        <v>288.49638389331631</v>
      </c>
      <c r="AJ46" s="322">
        <v>279.45910038156825</v>
      </c>
      <c r="AK46" s="322">
        <v>231.68729590434492</v>
      </c>
      <c r="AL46" s="322">
        <v>140.82460298962778</v>
      </c>
      <c r="AM46" s="322">
        <v>144.90844279179447</v>
      </c>
      <c r="AN46" s="322">
        <v>78.330808251893899</v>
      </c>
      <c r="AO46" s="322">
        <v>103.50051723565375</v>
      </c>
      <c r="AP46" s="322">
        <v>123.42714202102867</v>
      </c>
      <c r="AQ46" s="322">
        <v>156.46595718156789</v>
      </c>
      <c r="AR46" s="322">
        <v>206.96761674793393</v>
      </c>
      <c r="AS46" s="322">
        <v>238.51803654966511</v>
      </c>
      <c r="AT46" s="322">
        <v>226.09667385326307</v>
      </c>
      <c r="AU46" s="322">
        <v>212.45223805580966</v>
      </c>
      <c r="AV46" s="322">
        <v>247.0424299996736</v>
      </c>
      <c r="AW46" s="322">
        <v>94.352536263622468</v>
      </c>
      <c r="AX46" s="322">
        <v>22.948482772444322</v>
      </c>
      <c r="AY46" s="322">
        <v>21.22801885925535</v>
      </c>
    </row>
    <row r="47" spans="1:51" s="301" customFormat="1" x14ac:dyDescent="0.25">
      <c r="A47" s="132">
        <v>258</v>
      </c>
      <c r="B47" s="132" t="s">
        <v>480</v>
      </c>
      <c r="C47" s="143" t="s">
        <v>479</v>
      </c>
      <c r="D47" s="324">
        <v>5.79</v>
      </c>
      <c r="E47" s="324">
        <v>-189.14</v>
      </c>
      <c r="F47" s="324">
        <v>7.7200000000000006</v>
      </c>
      <c r="G47" s="324">
        <v>5.79</v>
      </c>
      <c r="H47" s="324">
        <v>5.79</v>
      </c>
      <c r="I47" s="324">
        <v>7.7200000000000006</v>
      </c>
      <c r="J47" s="324">
        <v>7.7190000000000003</v>
      </c>
      <c r="K47" s="324">
        <v>21.23</v>
      </c>
      <c r="L47" s="324">
        <v>5.79</v>
      </c>
      <c r="M47" s="324">
        <v>17.369999999999997</v>
      </c>
      <c r="N47" s="324">
        <v>5.79</v>
      </c>
      <c r="O47" s="324">
        <v>5.79</v>
      </c>
      <c r="P47" s="324">
        <v>5.79</v>
      </c>
      <c r="Q47" s="324">
        <v>5.79</v>
      </c>
      <c r="R47" s="324">
        <v>5.79</v>
      </c>
      <c r="S47" s="324">
        <v>5.79</v>
      </c>
      <c r="T47" s="324">
        <v>5.79</v>
      </c>
      <c r="U47" s="324">
        <v>7.7200000000000006</v>
      </c>
      <c r="V47" s="328">
        <v>5.7880000000000003</v>
      </c>
      <c r="W47" s="324">
        <v>5.79</v>
      </c>
      <c r="X47" s="324">
        <v>7.7200000000000006</v>
      </c>
      <c r="Y47" s="324">
        <v>7.7200000000000006</v>
      </c>
      <c r="Z47" s="324">
        <v>7.7200000000000006</v>
      </c>
      <c r="AA47" s="324">
        <v>5.79</v>
      </c>
      <c r="AB47" s="322">
        <v>7.72</v>
      </c>
      <c r="AC47" s="322">
        <v>5.79</v>
      </c>
      <c r="AD47" s="322">
        <v>5.79</v>
      </c>
      <c r="AE47" s="322">
        <v>1.9300000000000002</v>
      </c>
      <c r="AF47" s="322">
        <v>1.9300000000000002</v>
      </c>
      <c r="AG47" s="322">
        <v>3.859</v>
      </c>
      <c r="AH47" s="322">
        <v>1.9300000000000002</v>
      </c>
      <c r="AI47" s="322">
        <v>1.9300000000000002</v>
      </c>
      <c r="AJ47" s="322">
        <v>1.9300000000000002</v>
      </c>
      <c r="AK47" s="322">
        <v>1.9300000000000002</v>
      </c>
      <c r="AL47" s="322">
        <v>5.79</v>
      </c>
      <c r="AM47" s="322">
        <v>5.79</v>
      </c>
      <c r="AN47" s="322">
        <v>5.79</v>
      </c>
      <c r="AO47" s="322">
        <v>5.79</v>
      </c>
      <c r="AP47" s="322">
        <v>0</v>
      </c>
      <c r="AQ47" s="322">
        <v>-5.79</v>
      </c>
      <c r="AR47" s="322">
        <v>1.9300000000000002</v>
      </c>
      <c r="AS47" s="322">
        <v>3.859</v>
      </c>
      <c r="AT47" s="322">
        <v>3.8600000000000003</v>
      </c>
      <c r="AU47" s="322">
        <v>3.8600000000000003</v>
      </c>
      <c r="AV47" s="322">
        <v>5.79</v>
      </c>
      <c r="AW47" s="322">
        <v>5.79</v>
      </c>
      <c r="AX47" s="322">
        <v>4</v>
      </c>
      <c r="AY47" s="321">
        <f>AVERAGE(AU47:AX47)</f>
        <v>4.8600000000000003</v>
      </c>
    </row>
    <row r="48" spans="1:51" s="301" customFormat="1" x14ac:dyDescent="0.25">
      <c r="A48" s="205">
        <v>292</v>
      </c>
      <c r="B48" s="132" t="s">
        <v>530</v>
      </c>
      <c r="C48" s="143" t="s">
        <v>529</v>
      </c>
      <c r="D48" s="324">
        <v>5.2946774054276249</v>
      </c>
      <c r="E48" s="324">
        <v>11.680905342351659</v>
      </c>
      <c r="F48" s="324">
        <v>5.1692825661465784</v>
      </c>
      <c r="G48" s="324">
        <v>5.560006696047517</v>
      </c>
      <c r="H48" s="324">
        <v>8.7018790653810214</v>
      </c>
      <c r="I48" s="324">
        <v>7.504935331529329</v>
      </c>
      <c r="J48" s="324">
        <v>7.118999395839138</v>
      </c>
      <c r="K48" s="324">
        <v>11.1054839087593</v>
      </c>
      <c r="L48" s="324">
        <v>10.653021823813981</v>
      </c>
      <c r="M48" s="324">
        <v>9.5854858504905724</v>
      </c>
      <c r="N48" s="324">
        <v>9.2190073804916288</v>
      </c>
      <c r="O48" s="324">
        <v>3.7954040865612488</v>
      </c>
      <c r="P48" s="324">
        <v>5.8361294541640918</v>
      </c>
      <c r="Q48" s="324">
        <v>5.2107127185381845</v>
      </c>
      <c r="R48" s="324">
        <v>6.0987534022732506</v>
      </c>
      <c r="S48" s="324">
        <v>11.169267821263766</v>
      </c>
      <c r="T48" s="324">
        <v>6.9163268494857206</v>
      </c>
      <c r="U48" s="324">
        <v>7.5468837248708729</v>
      </c>
      <c r="V48" s="324">
        <v>9.7596098232968433</v>
      </c>
      <c r="W48" s="324">
        <v>8.8169762615657401</v>
      </c>
      <c r="X48" s="324">
        <v>11.550544620012129</v>
      </c>
      <c r="Y48" s="324">
        <v>10.31655108800288</v>
      </c>
      <c r="Z48" s="324">
        <v>9.392312637223645</v>
      </c>
      <c r="AA48" s="324">
        <v>5.828281698238178</v>
      </c>
      <c r="AB48" s="322">
        <v>6.0979308472698248</v>
      </c>
      <c r="AC48" s="322">
        <v>8.4708514296606783</v>
      </c>
      <c r="AD48" s="322">
        <v>5.5326690896809856</v>
      </c>
      <c r="AE48" s="322">
        <v>3.5885165704400563</v>
      </c>
      <c r="AF48" s="322">
        <v>7.01428986128498</v>
      </c>
      <c r="AG48" s="322">
        <v>4.7358654660916359</v>
      </c>
      <c r="AH48" s="322">
        <v>6.9392457397112821</v>
      </c>
      <c r="AI48" s="322">
        <v>8.3982611934451956</v>
      </c>
      <c r="AJ48" s="322">
        <v>8.141245597259104</v>
      </c>
      <c r="AK48" s="322">
        <v>6.7982899918366835</v>
      </c>
      <c r="AL48" s="322">
        <v>4.2444027712091161</v>
      </c>
      <c r="AM48" s="322">
        <v>4.3588374676374162</v>
      </c>
      <c r="AN48" s="322">
        <v>2.4969979207802822</v>
      </c>
      <c r="AO48" s="322">
        <v>3.1988160836640112</v>
      </c>
      <c r="AP48" s="322">
        <v>3.7649627281599476</v>
      </c>
      <c r="AQ48" s="322">
        <v>4.6909949142239951</v>
      </c>
      <c r="AR48" s="321"/>
      <c r="AS48" s="321"/>
      <c r="AT48" s="321"/>
      <c r="AU48" s="321"/>
      <c r="AV48" s="321"/>
      <c r="AW48" s="321"/>
      <c r="AX48" s="321"/>
      <c r="AY48" s="321"/>
    </row>
    <row r="49" spans="1:51" s="301" customFormat="1" x14ac:dyDescent="0.25">
      <c r="A49" s="132">
        <v>111</v>
      </c>
      <c r="B49" s="132" t="s">
        <v>262</v>
      </c>
      <c r="C49" s="143" t="s">
        <v>261</v>
      </c>
      <c r="D49" s="324">
        <v>166.83600494165285</v>
      </c>
      <c r="E49" s="324">
        <v>334.95689033122426</v>
      </c>
      <c r="F49" s="324">
        <v>160.7064225226685</v>
      </c>
      <c r="G49" s="324">
        <v>162.1525865913537</v>
      </c>
      <c r="H49" s="324">
        <v>253.64651170166721</v>
      </c>
      <c r="I49" s="324">
        <v>219.07422443261058</v>
      </c>
      <c r="J49" s="324">
        <v>207.10880897779174</v>
      </c>
      <c r="K49" s="324">
        <v>315.93218189175064</v>
      </c>
      <c r="L49" s="324">
        <v>301.78942276920293</v>
      </c>
      <c r="M49" s="324">
        <v>275.43801193452902</v>
      </c>
      <c r="N49" s="324">
        <v>267.89956928982207</v>
      </c>
      <c r="O49" s="324">
        <v>126.33060876261774</v>
      </c>
      <c r="P49" s="324">
        <v>180.37636316584141</v>
      </c>
      <c r="Q49" s="324">
        <v>162.61769880106203</v>
      </c>
      <c r="R49" s="324">
        <v>185.13339873583158</v>
      </c>
      <c r="S49" s="324">
        <v>319.59975139529996</v>
      </c>
      <c r="T49" s="324">
        <v>205.4705767214152</v>
      </c>
      <c r="U49" s="324">
        <v>219.71862321213518</v>
      </c>
      <c r="V49" s="324">
        <v>276.96225025350725</v>
      </c>
      <c r="W49" s="324">
        <v>254.30384729448127</v>
      </c>
      <c r="X49" s="324">
        <v>325.26808972972327</v>
      </c>
      <c r="Y49" s="324">
        <v>294.54029918604488</v>
      </c>
      <c r="Z49" s="324">
        <v>272.37993559125357</v>
      </c>
      <c r="AA49" s="324">
        <v>179.23173429944319</v>
      </c>
      <c r="AB49" s="322">
        <v>186.89935038267245</v>
      </c>
      <c r="AC49" s="322">
        <v>249.32941301734357</v>
      </c>
      <c r="AD49" s="322">
        <v>169.10525762832501</v>
      </c>
      <c r="AE49" s="322">
        <v>116.3423162482835</v>
      </c>
      <c r="AF49" s="322">
        <v>207.78940422651141</v>
      </c>
      <c r="AG49" s="322">
        <v>144.00637755393711</v>
      </c>
      <c r="AH49" s="322">
        <v>201.66629103982424</v>
      </c>
      <c r="AI49" s="322">
        <v>242.88715887862833</v>
      </c>
      <c r="AJ49" s="322">
        <v>233.92745170813888</v>
      </c>
      <c r="AK49" s="322">
        <v>200.24731261129995</v>
      </c>
      <c r="AL49" s="322">
        <v>134.70111507298077</v>
      </c>
      <c r="AM49" s="322">
        <v>140.49248462979756</v>
      </c>
      <c r="AN49" s="322">
        <v>91.189555042342818</v>
      </c>
      <c r="AO49" s="322">
        <v>108.72232548423618</v>
      </c>
      <c r="AP49" s="322">
        <v>122.83254062271334</v>
      </c>
      <c r="AQ49" s="322">
        <v>146.97081264140402</v>
      </c>
      <c r="AR49" s="322">
        <v>185.87216194139975</v>
      </c>
      <c r="AS49" s="322">
        <v>206.72294998888711</v>
      </c>
      <c r="AT49" s="322">
        <v>201.36560105695207</v>
      </c>
      <c r="AU49" s="322">
        <v>197.52637562869759</v>
      </c>
      <c r="AV49" s="322">
        <v>219.28058480607908</v>
      </c>
      <c r="AW49" s="322">
        <v>102.69984904829496</v>
      </c>
      <c r="AX49" s="322">
        <v>235.81635771758084</v>
      </c>
      <c r="AY49" s="322">
        <v>45.72800277346537</v>
      </c>
    </row>
    <row r="50" spans="1:51" x14ac:dyDescent="0.25">
      <c r="A50" s="132">
        <v>79</v>
      </c>
      <c r="B50" s="132" t="s">
        <v>189</v>
      </c>
      <c r="C50" s="143" t="s">
        <v>188</v>
      </c>
      <c r="D50" s="324">
        <v>19.072359422803263</v>
      </c>
      <c r="E50" s="324">
        <v>35.083422243762278</v>
      </c>
      <c r="F50" s="324">
        <v>18.685188333412619</v>
      </c>
      <c r="G50" s="324">
        <v>17.451804836504923</v>
      </c>
      <c r="H50" s="324">
        <v>27.279001231681935</v>
      </c>
      <c r="I50" s="324">
        <v>24.26835782189821</v>
      </c>
      <c r="J50" s="324">
        <v>23.025130158496193</v>
      </c>
      <c r="K50" s="324">
        <v>33.083258242383778</v>
      </c>
      <c r="L50" s="324">
        <v>32.079728985359843</v>
      </c>
      <c r="M50" s="324">
        <v>29.464835722186123</v>
      </c>
      <c r="N50" s="324">
        <v>28.643132456196525</v>
      </c>
      <c r="O50" s="324">
        <v>15.120848065881567</v>
      </c>
      <c r="P50" s="324">
        <v>20.241725462701435</v>
      </c>
      <c r="Q50" s="324">
        <v>18.774536636360718</v>
      </c>
      <c r="R50" s="324">
        <v>20.94670355873135</v>
      </c>
      <c r="S50" s="324">
        <v>33.556051595301753</v>
      </c>
      <c r="T50" s="324">
        <v>22.627905950753163</v>
      </c>
      <c r="U50" s="324">
        <v>24.241911209986313</v>
      </c>
      <c r="V50" s="324">
        <v>29.538196066178671</v>
      </c>
      <c r="W50" s="324">
        <v>27.145475443265088</v>
      </c>
      <c r="X50" s="324">
        <v>34.216894566692446</v>
      </c>
      <c r="Y50" s="324">
        <v>31.209491571654414</v>
      </c>
      <c r="Z50" s="324">
        <v>29.047098500157094</v>
      </c>
      <c r="AA50" s="324">
        <v>19.971390307061888</v>
      </c>
      <c r="AB50" s="322">
        <v>20.801808082951762</v>
      </c>
      <c r="AC50" s="322">
        <v>26.962532261598948</v>
      </c>
      <c r="AD50" s="322">
        <v>19.286475659876583</v>
      </c>
      <c r="AE50" s="322">
        <v>14.121902604842109</v>
      </c>
      <c r="AF50" s="322">
        <v>22.803785755003524</v>
      </c>
      <c r="AG50" s="322">
        <v>16.924507585755922</v>
      </c>
      <c r="AH50" s="322">
        <v>22.381758621200312</v>
      </c>
      <c r="AI50" s="322">
        <v>26.023411839995926</v>
      </c>
      <c r="AJ50" s="322">
        <v>25.472711579169744</v>
      </c>
      <c r="AK50" s="322">
        <v>22.189860051294993</v>
      </c>
      <c r="AL50" s="322">
        <v>15.936260260184843</v>
      </c>
      <c r="AM50" s="322">
        <v>16.355161819313029</v>
      </c>
      <c r="AN50" s="322">
        <v>11.76947315280745</v>
      </c>
      <c r="AO50" s="322">
        <v>13.630693221259458</v>
      </c>
      <c r="AP50" s="322">
        <v>15.030529742657567</v>
      </c>
      <c r="AQ50" s="322">
        <v>17.209567312382521</v>
      </c>
      <c r="AR50" s="322">
        <v>20.975964431727316</v>
      </c>
      <c r="AS50" s="322">
        <v>23.221612285316514</v>
      </c>
      <c r="AT50" s="322">
        <v>23.355135988767838</v>
      </c>
      <c r="AU50" s="322">
        <v>23.008005877016885</v>
      </c>
      <c r="AV50" s="322">
        <v>25.362809184568118</v>
      </c>
      <c r="AW50" s="322">
        <v>13.56791753254118</v>
      </c>
      <c r="AX50" s="322">
        <v>25.513552391715528</v>
      </c>
      <c r="AY50" s="322">
        <v>7.2839983841032385</v>
      </c>
    </row>
    <row r="51" spans="1:51" x14ac:dyDescent="0.25">
      <c r="A51" s="132">
        <v>94</v>
      </c>
      <c r="B51" s="132" t="s">
        <v>231</v>
      </c>
      <c r="C51" s="143" t="s">
        <v>230</v>
      </c>
      <c r="D51" s="324">
        <v>89.632272514425679</v>
      </c>
      <c r="E51" s="324">
        <v>191.29113716642431</v>
      </c>
      <c r="F51" s="324">
        <v>87.534747449366861</v>
      </c>
      <c r="G51" s="324">
        <v>92.042383090558261</v>
      </c>
      <c r="H51" s="324">
        <v>144.54070651500757</v>
      </c>
      <c r="I51" s="324">
        <v>125.43551000496372</v>
      </c>
      <c r="J51" s="324">
        <v>119.56824553747029</v>
      </c>
      <c r="K51" s="324">
        <v>183.51205188267954</v>
      </c>
      <c r="L51" s="324">
        <v>176.05268698495894</v>
      </c>
      <c r="M51" s="324">
        <v>158.72604548707574</v>
      </c>
      <c r="N51" s="324">
        <v>152.36535742267228</v>
      </c>
      <c r="O51" s="324">
        <v>65.502951764575869</v>
      </c>
      <c r="P51" s="324">
        <v>98.119918329972165</v>
      </c>
      <c r="Q51" s="324">
        <v>87.835647377563816</v>
      </c>
      <c r="R51" s="324">
        <v>102.32610345911692</v>
      </c>
      <c r="S51" s="324">
        <v>183.52641530379452</v>
      </c>
      <c r="T51" s="324">
        <v>115.84003694915738</v>
      </c>
      <c r="U51" s="324">
        <v>125.97176949393059</v>
      </c>
      <c r="V51" s="324">
        <v>161.62467037741223</v>
      </c>
      <c r="W51" s="324">
        <v>146.72552918497556</v>
      </c>
      <c r="X51" s="324">
        <v>190.26526797434073</v>
      </c>
      <c r="Y51" s="324">
        <v>170.3135382655974</v>
      </c>
      <c r="Z51" s="324">
        <v>155.10616059296075</v>
      </c>
      <c r="AA51" s="324">
        <v>97.769857016722568</v>
      </c>
      <c r="AB51" s="322">
        <v>102.2192147897787</v>
      </c>
      <c r="AC51" s="322">
        <v>139.94011976847162</v>
      </c>
      <c r="AD51" s="322">
        <v>93.073408277622775</v>
      </c>
      <c r="AE51" s="322">
        <v>62.019472442130855</v>
      </c>
      <c r="AF51" s="322">
        <v>117.33441206582997</v>
      </c>
      <c r="AG51" s="322">
        <v>80.791804968930961</v>
      </c>
      <c r="AH51" s="322">
        <v>116.47901655666455</v>
      </c>
      <c r="AI51" s="322">
        <v>139.95316314275692</v>
      </c>
      <c r="AJ51" s="322">
        <v>135.59163381744818</v>
      </c>
      <c r="AK51" s="322">
        <v>113.9057111084298</v>
      </c>
      <c r="AL51" s="322">
        <v>72.672304962772458</v>
      </c>
      <c r="AM51" s="322">
        <v>74.350599264681733</v>
      </c>
      <c r="AN51" s="322">
        <v>44.681464394238311</v>
      </c>
      <c r="AO51" s="322">
        <v>55.608140174920273</v>
      </c>
      <c r="AP51" s="322">
        <v>64.981519501204701</v>
      </c>
      <c r="AQ51" s="322">
        <v>79.9293706759819</v>
      </c>
      <c r="AR51" s="322">
        <v>103.59911440267354</v>
      </c>
      <c r="AS51" s="322">
        <v>117.81376822930604</v>
      </c>
      <c r="AT51" s="322">
        <v>114.91629190679717</v>
      </c>
      <c r="AU51" s="322">
        <v>110.27790478103908</v>
      </c>
      <c r="AV51" s="322">
        <v>124.96488168975063</v>
      </c>
      <c r="AW51" s="322">
        <v>54.176047764992838</v>
      </c>
      <c r="AX51" s="322">
        <v>133.34670291979151</v>
      </c>
      <c r="AY51" s="322">
        <v>17.797164478993938</v>
      </c>
    </row>
    <row r="52" spans="1:51" x14ac:dyDescent="0.25">
      <c r="A52" s="132">
        <v>52</v>
      </c>
      <c r="B52" s="132" t="s">
        <v>138</v>
      </c>
      <c r="C52" s="143" t="s">
        <v>137</v>
      </c>
      <c r="D52" s="324">
        <v>106.15</v>
      </c>
      <c r="E52" s="324">
        <v>92.64</v>
      </c>
      <c r="F52" s="324">
        <v>81.06</v>
      </c>
      <c r="G52" s="324">
        <v>100.36</v>
      </c>
      <c r="H52" s="324">
        <v>119.66</v>
      </c>
      <c r="I52" s="324">
        <v>102.28999999999999</v>
      </c>
      <c r="J52" s="324">
        <v>77.199999999999989</v>
      </c>
      <c r="K52" s="324">
        <v>266.34000000000003</v>
      </c>
      <c r="L52" s="324">
        <v>108.08</v>
      </c>
      <c r="M52" s="324">
        <v>117.72999999999999</v>
      </c>
      <c r="N52" s="324">
        <v>106.15</v>
      </c>
      <c r="O52" s="324">
        <v>65.62</v>
      </c>
      <c r="P52" s="324">
        <v>65.62</v>
      </c>
      <c r="Q52" s="324">
        <v>117.72999999999999</v>
      </c>
      <c r="R52" s="324">
        <v>123.52000000000001</v>
      </c>
      <c r="S52" s="324">
        <v>142.82</v>
      </c>
      <c r="T52" s="329">
        <v>80</v>
      </c>
      <c r="U52" s="328">
        <v>40.999999999999993</v>
      </c>
      <c r="V52" s="324">
        <v>22.968999999999994</v>
      </c>
      <c r="W52" s="324">
        <v>63.69</v>
      </c>
      <c r="X52" s="324">
        <v>64</v>
      </c>
      <c r="Y52" s="324">
        <v>64</v>
      </c>
      <c r="Z52" s="324">
        <v>50.489999999999988</v>
      </c>
      <c r="AA52" s="324">
        <v>35</v>
      </c>
      <c r="AB52" s="322">
        <v>115.8</v>
      </c>
      <c r="AC52" s="322">
        <v>183.35</v>
      </c>
      <c r="AD52" s="322">
        <v>138.95999999999998</v>
      </c>
      <c r="AE52" s="322">
        <v>380.21000000000004</v>
      </c>
      <c r="AF52" s="322">
        <v>144.75</v>
      </c>
      <c r="AG52" s="322">
        <v>46.319999999999993</v>
      </c>
      <c r="AH52" s="322">
        <v>92.64</v>
      </c>
      <c r="AI52" s="322">
        <v>115.8</v>
      </c>
      <c r="AJ52" s="322">
        <v>36.67</v>
      </c>
      <c r="AK52" s="322">
        <v>44.39</v>
      </c>
      <c r="AL52" s="322">
        <v>30.880000000000003</v>
      </c>
      <c r="AM52" s="322">
        <v>27.02</v>
      </c>
      <c r="AN52" s="322">
        <v>25.09</v>
      </c>
      <c r="AO52" s="322">
        <v>15.440000000000001</v>
      </c>
      <c r="AP52" s="322">
        <v>11.58</v>
      </c>
      <c r="AQ52" s="322">
        <v>32.81</v>
      </c>
      <c r="AR52" s="322">
        <v>38.6</v>
      </c>
      <c r="AS52" s="322">
        <v>25.09</v>
      </c>
      <c r="AT52" s="322">
        <v>54.04</v>
      </c>
      <c r="AU52" s="322">
        <v>25.09</v>
      </c>
      <c r="AV52" s="322">
        <v>88.78</v>
      </c>
      <c r="AW52" s="322">
        <v>127.38</v>
      </c>
      <c r="AX52" s="322">
        <v>125</v>
      </c>
      <c r="AY52" s="322">
        <v>54</v>
      </c>
    </row>
    <row r="53" spans="1:51" x14ac:dyDescent="0.25">
      <c r="A53" s="132">
        <v>154</v>
      </c>
      <c r="B53" s="342" t="s">
        <v>3666</v>
      </c>
      <c r="C53" s="143" t="s">
        <v>3587</v>
      </c>
      <c r="D53" s="324">
        <v>32.255273025299815</v>
      </c>
      <c r="E53" s="324">
        <v>60.352935122717014</v>
      </c>
      <c r="F53" s="324">
        <v>31.552164628068077</v>
      </c>
      <c r="G53" s="324">
        <v>30.223083904204643</v>
      </c>
      <c r="H53" s="324">
        <v>47.830774803717517</v>
      </c>
      <c r="I53" s="324">
        <v>42.517203861483267</v>
      </c>
      <c r="J53" s="324">
        <v>40.989989716590216</v>
      </c>
      <c r="K53" s="324">
        <v>59.096110134981132</v>
      </c>
      <c r="L53" s="324">
        <v>56.889263950929617</v>
      </c>
      <c r="M53" s="324">
        <v>51.836365565158296</v>
      </c>
      <c r="N53" s="324">
        <v>49.681574886425231</v>
      </c>
      <c r="O53" s="324">
        <v>25.269920327856301</v>
      </c>
      <c r="P53" s="324">
        <v>34.391463558770091</v>
      </c>
      <c r="Q53" s="324">
        <v>31.348530989047234</v>
      </c>
      <c r="R53" s="324">
        <v>35.597969019599844</v>
      </c>
      <c r="S53" s="324">
        <v>58.396704246852586</v>
      </c>
      <c r="T53" s="324">
        <v>39.579984406492486</v>
      </c>
      <c r="U53" s="324">
        <v>42.485788124192034</v>
      </c>
      <c r="V53" s="324">
        <v>52.567039371778442</v>
      </c>
      <c r="W53" s="324">
        <v>48.531187308401556</v>
      </c>
      <c r="X53" s="324">
        <v>60.692199526635051</v>
      </c>
      <c r="Y53" s="324">
        <v>54.948502100094714</v>
      </c>
      <c r="Z53" s="324">
        <v>50.407519966990506</v>
      </c>
      <c r="AA53" s="324">
        <v>33.97547967038966</v>
      </c>
      <c r="AB53" s="322">
        <v>35.416422305040534</v>
      </c>
      <c r="AC53" s="322">
        <v>45.921104211344712</v>
      </c>
      <c r="AD53" s="322">
        <v>32.714707169258787</v>
      </c>
      <c r="AE53" s="322">
        <v>23.915510179144963</v>
      </c>
      <c r="AF53" s="322">
        <v>39.901626387788617</v>
      </c>
      <c r="AG53" s="322">
        <v>29.502864456325799</v>
      </c>
      <c r="AH53" s="322">
        <v>39.844100442300729</v>
      </c>
      <c r="AI53" s="322">
        <v>46.53279401283676</v>
      </c>
      <c r="AJ53" s="322">
        <v>45.150666556037152</v>
      </c>
      <c r="AK53" s="322">
        <v>38.927620127098926</v>
      </c>
      <c r="AL53" s="322">
        <v>27.125034637096562</v>
      </c>
      <c r="AM53" s="322">
        <v>27.519124670363894</v>
      </c>
      <c r="AN53" s="322">
        <v>19.341294189996489</v>
      </c>
      <c r="AO53" s="322">
        <v>22.22678156225853</v>
      </c>
      <c r="AP53" s="322">
        <v>25.087060655847456</v>
      </c>
      <c r="AQ53" s="322">
        <v>29.333279402692714</v>
      </c>
      <c r="AR53" s="322">
        <v>13.968596445311588</v>
      </c>
      <c r="AS53" s="322">
        <v>14.050611423359932</v>
      </c>
      <c r="AT53" s="322">
        <v>17.655827936124474</v>
      </c>
      <c r="AU53" s="322">
        <v>19.647592769119573</v>
      </c>
      <c r="AV53" s="322">
        <v>18.479227568280447</v>
      </c>
      <c r="AW53" s="322">
        <v>15.449082392840118</v>
      </c>
      <c r="AX53" s="322">
        <v>12.268451372760778</v>
      </c>
      <c r="AY53" s="322">
        <v>11.653016780299348</v>
      </c>
    </row>
    <row r="54" spans="1:51" x14ac:dyDescent="0.25">
      <c r="A54" s="132">
        <v>256</v>
      </c>
      <c r="B54" s="132" t="s">
        <v>474</v>
      </c>
      <c r="C54" s="143" t="s">
        <v>473</v>
      </c>
      <c r="D54" s="324">
        <v>129.76934592134901</v>
      </c>
      <c r="E54" s="324">
        <v>255.85852685036548</v>
      </c>
      <c r="F54" s="324">
        <v>124.99704185840957</v>
      </c>
      <c r="G54" s="324">
        <v>124.09993315694491</v>
      </c>
      <c r="H54" s="324">
        <v>195.76401244531149</v>
      </c>
      <c r="I54" s="324">
        <v>167.35304649296188</v>
      </c>
      <c r="J54" s="324">
        <v>161.28398122032925</v>
      </c>
      <c r="K54" s="324">
        <v>244.3509583132242</v>
      </c>
      <c r="L54" s="324">
        <v>232.39911928086562</v>
      </c>
      <c r="M54" s="324">
        <v>215.27525877097793</v>
      </c>
      <c r="N54" s="324">
        <v>209.56356038883001</v>
      </c>
      <c r="O54" s="324">
        <v>99.640159604245937</v>
      </c>
      <c r="P54" s="324">
        <v>139.91608107356322</v>
      </c>
      <c r="Q54" s="324">
        <v>125.25427693642987</v>
      </c>
      <c r="R54" s="324">
        <v>143.46148141544484</v>
      </c>
      <c r="S54" s="324">
        <v>244.11357338899876</v>
      </c>
      <c r="T54" s="324">
        <v>159.15723519116128</v>
      </c>
      <c r="U54" s="324">
        <v>167.80861958571657</v>
      </c>
      <c r="V54" s="324">
        <v>214.09284751281689</v>
      </c>
      <c r="W54" s="324">
        <v>197.48858639311774</v>
      </c>
      <c r="X54" s="324">
        <v>250.10171970600771</v>
      </c>
      <c r="Y54" s="324">
        <v>229.62694150987917</v>
      </c>
      <c r="Z54" s="324">
        <v>212.9182424506202</v>
      </c>
      <c r="AA54" s="324">
        <v>139.53456626662467</v>
      </c>
      <c r="AB54" s="322">
        <v>144.80089986893483</v>
      </c>
      <c r="AC54" s="322">
        <v>190.95666121009339</v>
      </c>
      <c r="AD54" s="322">
        <v>131.18279448106333</v>
      </c>
      <c r="AE54" s="322">
        <v>89.963071624917859</v>
      </c>
      <c r="AF54" s="322">
        <v>160.86712563247303</v>
      </c>
      <c r="AG54" s="322">
        <v>110.37245331827287</v>
      </c>
      <c r="AH54" s="322">
        <v>156.99709534075305</v>
      </c>
      <c r="AI54" s="322">
        <v>188.7729243019642</v>
      </c>
      <c r="AJ54" s="322">
        <v>180.77944483802671</v>
      </c>
      <c r="AK54" s="322">
        <v>157.99519163704008</v>
      </c>
      <c r="AL54" s="322">
        <v>108.43707682790316</v>
      </c>
      <c r="AM54" s="322">
        <v>110.24076487745316</v>
      </c>
      <c r="AN54" s="322">
        <v>72.298482314260767</v>
      </c>
      <c r="AO54" s="322">
        <v>84.38463549987803</v>
      </c>
      <c r="AP54" s="322">
        <v>96.231060242611889</v>
      </c>
      <c r="AQ54" s="322">
        <v>113.28352861967686</v>
      </c>
      <c r="AR54" s="322">
        <v>144.52592525850599</v>
      </c>
      <c r="AS54" s="322">
        <v>158.03835018598289</v>
      </c>
      <c r="AT54" s="322">
        <v>50.330790807948119</v>
      </c>
      <c r="AU54" s="322">
        <v>59.014559811912932</v>
      </c>
      <c r="AV54" s="322">
        <v>52.11492509525182</v>
      </c>
      <c r="AW54" s="322">
        <v>49.036253819183102</v>
      </c>
      <c r="AX54" s="322">
        <v>41.591235077568044</v>
      </c>
      <c r="AY54" s="322">
        <v>39.260581359111185</v>
      </c>
    </row>
    <row r="55" spans="1:51" x14ac:dyDescent="0.25">
      <c r="A55" s="132">
        <v>261</v>
      </c>
      <c r="B55" s="132" t="s">
        <v>485</v>
      </c>
      <c r="C55" s="1" t="s">
        <v>484</v>
      </c>
      <c r="D55" s="324">
        <v>23.16</v>
      </c>
      <c r="E55" s="324">
        <v>34.739999999999995</v>
      </c>
      <c r="F55" s="324">
        <v>30.880000000000003</v>
      </c>
      <c r="G55" s="324">
        <v>38.6</v>
      </c>
      <c r="H55" s="324">
        <v>36.67</v>
      </c>
      <c r="I55" s="324">
        <v>34.739999999999995</v>
      </c>
      <c r="J55" s="324">
        <v>63.69</v>
      </c>
      <c r="K55" s="324">
        <v>63.69</v>
      </c>
      <c r="L55" s="324">
        <v>48.25</v>
      </c>
      <c r="M55" s="324">
        <v>57.9</v>
      </c>
      <c r="N55" s="324">
        <v>38.6</v>
      </c>
      <c r="O55" s="324">
        <v>7.7200000000000006</v>
      </c>
      <c r="P55" s="324">
        <v>7.7200000000000006</v>
      </c>
      <c r="Q55" s="324">
        <v>127.38</v>
      </c>
      <c r="R55" s="324">
        <v>164.05</v>
      </c>
      <c r="S55" s="324">
        <v>177.56</v>
      </c>
      <c r="T55" s="324">
        <v>95</v>
      </c>
      <c r="U55" s="324">
        <v>32.06</v>
      </c>
      <c r="V55" s="328">
        <v>10.099</v>
      </c>
      <c r="W55" s="324">
        <v>17.369999999999997</v>
      </c>
      <c r="X55" s="324">
        <v>80</v>
      </c>
      <c r="Y55" s="324">
        <v>24</v>
      </c>
      <c r="Z55" s="324">
        <v>15</v>
      </c>
      <c r="AA55" s="324">
        <v>3</v>
      </c>
      <c r="AB55" s="322">
        <v>6</v>
      </c>
      <c r="AC55" s="322">
        <v>13.51</v>
      </c>
      <c r="AD55" s="322">
        <v>5.79</v>
      </c>
      <c r="AE55" s="322">
        <v>1.9300000000000002</v>
      </c>
      <c r="AF55" s="322">
        <v>171.76999999999998</v>
      </c>
      <c r="AG55" s="322">
        <v>65.62</v>
      </c>
      <c r="AH55" s="322">
        <v>17.369999999999997</v>
      </c>
      <c r="AI55" s="322">
        <v>-200.721</v>
      </c>
      <c r="AJ55" s="322">
        <v>17.369999999999997</v>
      </c>
      <c r="AK55" s="322">
        <v>9.65</v>
      </c>
      <c r="AL55" s="322">
        <v>9.65</v>
      </c>
      <c r="AM55" s="322">
        <v>3.8600000000000003</v>
      </c>
      <c r="AN55" s="322">
        <v>3.8600000000000003</v>
      </c>
      <c r="AO55" s="322">
        <v>1.9300000000000002</v>
      </c>
      <c r="AP55" s="322">
        <v>3.8600000000000003</v>
      </c>
      <c r="AQ55" s="322">
        <v>3.8600000000000003</v>
      </c>
      <c r="AR55" s="322">
        <v>1.9300000000000002</v>
      </c>
      <c r="AS55" s="322">
        <v>7.7200000000000006</v>
      </c>
      <c r="AT55" s="322">
        <v>7.7200000000000006</v>
      </c>
      <c r="AU55" s="322">
        <v>11.58</v>
      </c>
      <c r="AV55" s="322">
        <v>5.79</v>
      </c>
      <c r="AW55" s="322">
        <v>7.7200000000000006</v>
      </c>
      <c r="AX55" s="322">
        <v>14</v>
      </c>
      <c r="AY55" s="321">
        <f>AVERAGE(AU55:AX55)</f>
        <v>9.7725000000000009</v>
      </c>
    </row>
    <row r="56" spans="1:51" x14ac:dyDescent="0.25">
      <c r="A56" s="132">
        <v>163</v>
      </c>
      <c r="B56" s="132" t="s">
        <v>363</v>
      </c>
      <c r="C56" s="143" t="s">
        <v>362</v>
      </c>
      <c r="D56" s="324">
        <v>3.8600000000000003</v>
      </c>
      <c r="E56" s="324">
        <v>1.9300000000000002</v>
      </c>
      <c r="F56" s="324">
        <v>1.9300000000000002</v>
      </c>
      <c r="G56" s="324">
        <v>3.8600000000000003</v>
      </c>
      <c r="H56" s="324">
        <v>5.58</v>
      </c>
      <c r="I56" s="324">
        <v>19.3</v>
      </c>
      <c r="J56" s="324">
        <v>17.369</v>
      </c>
      <c r="K56" s="324">
        <v>27.02</v>
      </c>
      <c r="L56" s="324">
        <v>0</v>
      </c>
      <c r="M56" s="324">
        <v>1.9300000000000002</v>
      </c>
      <c r="N56" s="324">
        <v>3.8600000000000003</v>
      </c>
      <c r="O56" s="324">
        <v>1.9300000000000002</v>
      </c>
      <c r="P56" s="324">
        <v>1.9300000000000002</v>
      </c>
      <c r="Q56" s="324">
        <v>1.9300000000000002</v>
      </c>
      <c r="R56" s="324">
        <v>3.8600000000000003</v>
      </c>
      <c r="S56" s="324">
        <v>1.9300000000000002</v>
      </c>
      <c r="T56" s="329">
        <v>0.93000000000000016</v>
      </c>
      <c r="U56" s="324">
        <v>1</v>
      </c>
      <c r="V56" s="324">
        <v>7.7200000000000006</v>
      </c>
      <c r="W56" s="324">
        <v>7.7200000000000006</v>
      </c>
      <c r="X56" s="324">
        <v>0</v>
      </c>
      <c r="Y56" s="324">
        <v>1.9300000000000002</v>
      </c>
      <c r="Z56" s="324">
        <v>2</v>
      </c>
      <c r="AA56" s="324">
        <v>1.9300000000000002</v>
      </c>
      <c r="AB56" s="322">
        <v>1.9300000000000002</v>
      </c>
      <c r="AC56" s="322">
        <v>3.8600000000000003</v>
      </c>
      <c r="AD56" s="322">
        <v>0</v>
      </c>
      <c r="AE56" s="322">
        <v>0</v>
      </c>
      <c r="AF56" s="322">
        <v>0</v>
      </c>
      <c r="AG56" s="322">
        <v>0</v>
      </c>
      <c r="AH56" s="322">
        <v>0</v>
      </c>
      <c r="AI56" s="322">
        <v>0</v>
      </c>
      <c r="AJ56" s="322">
        <v>0</v>
      </c>
      <c r="AK56" s="322">
        <v>0</v>
      </c>
      <c r="AL56" s="322">
        <v>0</v>
      </c>
      <c r="AM56" s="322">
        <v>0</v>
      </c>
      <c r="AN56" s="322">
        <v>0</v>
      </c>
      <c r="AO56" s="322">
        <v>0</v>
      </c>
      <c r="AP56" s="322">
        <v>0</v>
      </c>
      <c r="AQ56" s="322">
        <v>0</v>
      </c>
      <c r="AR56" s="322">
        <v>0</v>
      </c>
      <c r="AS56" s="322">
        <v>0</v>
      </c>
      <c r="AT56" s="322">
        <v>0</v>
      </c>
      <c r="AU56" s="322">
        <v>0</v>
      </c>
      <c r="AV56" s="322">
        <v>0</v>
      </c>
      <c r="AW56" s="322">
        <v>0</v>
      </c>
      <c r="AX56" s="322">
        <v>0</v>
      </c>
      <c r="AY56" s="322">
        <v>0</v>
      </c>
    </row>
    <row r="57" spans="1:51" x14ac:dyDescent="0.25">
      <c r="A57" s="132">
        <v>233</v>
      </c>
      <c r="B57" s="132" t="s">
        <v>439</v>
      </c>
      <c r="C57" s="143" t="s">
        <v>3676</v>
      </c>
      <c r="D57" s="324">
        <v>0</v>
      </c>
      <c r="E57" s="324">
        <v>0</v>
      </c>
      <c r="F57" s="324">
        <v>0</v>
      </c>
      <c r="G57" s="324">
        <v>0</v>
      </c>
      <c r="H57" s="324">
        <v>0</v>
      </c>
      <c r="I57" s="324">
        <v>0</v>
      </c>
      <c r="J57" s="324">
        <v>0</v>
      </c>
      <c r="K57" s="324">
        <v>0</v>
      </c>
      <c r="L57" s="324">
        <v>0</v>
      </c>
      <c r="M57" s="324">
        <v>0</v>
      </c>
      <c r="N57" s="324">
        <v>0</v>
      </c>
      <c r="O57" s="324">
        <v>0</v>
      </c>
      <c r="P57" s="324">
        <v>0</v>
      </c>
      <c r="Q57" s="324">
        <v>0</v>
      </c>
      <c r="R57" s="324">
        <v>0</v>
      </c>
      <c r="S57" s="324">
        <v>0</v>
      </c>
      <c r="T57" s="324">
        <v>0</v>
      </c>
      <c r="U57" s="324">
        <v>0</v>
      </c>
      <c r="V57" s="324">
        <v>0</v>
      </c>
      <c r="W57" s="324">
        <v>0</v>
      </c>
      <c r="X57" s="324">
        <v>0</v>
      </c>
      <c r="Y57" s="324">
        <v>0</v>
      </c>
      <c r="Z57" s="324">
        <v>0</v>
      </c>
      <c r="AA57" s="324">
        <v>0</v>
      </c>
      <c r="AB57" s="322">
        <v>0</v>
      </c>
      <c r="AC57" s="322">
        <v>0</v>
      </c>
      <c r="AD57" s="322">
        <v>0</v>
      </c>
      <c r="AE57" s="322">
        <v>0</v>
      </c>
      <c r="AF57" s="322">
        <v>0</v>
      </c>
      <c r="AG57" s="322">
        <v>0</v>
      </c>
      <c r="AH57" s="322">
        <v>0</v>
      </c>
      <c r="AI57" s="322">
        <v>0</v>
      </c>
      <c r="AJ57" s="322">
        <v>0</v>
      </c>
      <c r="AK57" s="322">
        <v>0</v>
      </c>
      <c r="AL57" s="322">
        <v>0</v>
      </c>
      <c r="AM57" s="322">
        <v>0</v>
      </c>
      <c r="AN57" s="322">
        <v>0</v>
      </c>
      <c r="AO57" s="322">
        <v>0</v>
      </c>
      <c r="AP57" s="322">
        <v>0</v>
      </c>
      <c r="AQ57" s="322">
        <v>0</v>
      </c>
      <c r="AR57" s="322">
        <v>0</v>
      </c>
      <c r="AS57" s="322">
        <v>0</v>
      </c>
      <c r="AT57" s="322">
        <v>0</v>
      </c>
      <c r="AU57" s="322">
        <v>0</v>
      </c>
      <c r="AV57" s="322">
        <v>0</v>
      </c>
      <c r="AW57" s="322">
        <v>0</v>
      </c>
      <c r="AX57" s="322">
        <v>0</v>
      </c>
      <c r="AY57" s="322">
        <v>0</v>
      </c>
    </row>
    <row r="58" spans="1:51" x14ac:dyDescent="0.25">
      <c r="A58" s="132">
        <v>326</v>
      </c>
      <c r="B58" s="132" t="s">
        <v>556</v>
      </c>
      <c r="C58" s="143" t="s">
        <v>3691</v>
      </c>
      <c r="D58" s="324">
        <v>137.52564148308289</v>
      </c>
      <c r="E58" s="324">
        <v>136.1622013411083</v>
      </c>
      <c r="F58" s="324">
        <v>157.39304812834226</v>
      </c>
      <c r="G58" s="324">
        <v>157.58080989304813</v>
      </c>
      <c r="H58" s="324">
        <v>154.86060745320856</v>
      </c>
      <c r="I58" s="324">
        <v>257.28609625668452</v>
      </c>
      <c r="J58" s="324">
        <v>293.91711229946526</v>
      </c>
      <c r="K58" s="324">
        <v>219.09090909090909</v>
      </c>
      <c r="L58" s="324">
        <v>214.1042780748663</v>
      </c>
      <c r="M58" s="324">
        <v>158.22192513368984</v>
      </c>
      <c r="N58" s="324">
        <v>109.14438502673796</v>
      </c>
      <c r="O58" s="324">
        <v>298.50267379679144</v>
      </c>
      <c r="P58" s="324">
        <v>212.45989304812835</v>
      </c>
      <c r="Q58" s="324">
        <v>143.90374331550802</v>
      </c>
      <c r="R58" s="324">
        <v>189.29144385026737</v>
      </c>
      <c r="S58" s="324">
        <v>130.33357368248932</v>
      </c>
      <c r="T58" s="324">
        <v>130.33422459893049</v>
      </c>
      <c r="U58" s="324">
        <v>143.08823529411765</v>
      </c>
      <c r="V58" s="324">
        <v>223.93048128342247</v>
      </c>
      <c r="W58" s="324">
        <v>266.81818181818181</v>
      </c>
      <c r="X58" s="324">
        <v>245.58823529411765</v>
      </c>
      <c r="Y58" s="324">
        <v>256.2566844919786</v>
      </c>
      <c r="Z58" s="324">
        <v>168.34224598930481</v>
      </c>
      <c r="AA58" s="324">
        <v>132.54010695187165</v>
      </c>
      <c r="AB58" s="322">
        <v>111.12299465240642</v>
      </c>
      <c r="AC58" s="322">
        <v>172.59358288770053</v>
      </c>
      <c r="AD58" s="322">
        <v>111.12299465240642</v>
      </c>
      <c r="AE58" s="322">
        <v>91.122994652406419</v>
      </c>
      <c r="AF58" s="322">
        <v>134.63903743315507</v>
      </c>
      <c r="AG58" s="322">
        <v>227.24598930481284</v>
      </c>
      <c r="AH58" s="322">
        <v>156.61764705882354</v>
      </c>
      <c r="AI58" s="322">
        <v>250.98930481283423</v>
      </c>
      <c r="AJ58" s="322">
        <v>248.22192513368984</v>
      </c>
      <c r="AK58" s="322">
        <v>265.77540106951869</v>
      </c>
      <c r="AL58" s="322">
        <v>128.14171122994654</v>
      </c>
      <c r="AM58" s="322">
        <v>86.497326203208559</v>
      </c>
      <c r="AN58" s="322">
        <v>79.866310160427801</v>
      </c>
      <c r="AO58" s="322">
        <v>77.767379679144383</v>
      </c>
      <c r="AP58" s="322">
        <v>98.836898395721931</v>
      </c>
      <c r="AQ58" s="322">
        <v>106.77807486631016</v>
      </c>
      <c r="AR58" s="322">
        <v>103.71657754010695</v>
      </c>
      <c r="AS58" s="322">
        <v>142.86096256684493</v>
      </c>
      <c r="AT58" s="322">
        <v>201.65775401069519</v>
      </c>
      <c r="AU58" s="322">
        <v>207.1524064171123</v>
      </c>
      <c r="AV58" s="322">
        <v>183.72994652406416</v>
      </c>
      <c r="AW58" s="322">
        <v>160.37433155080214</v>
      </c>
      <c r="AX58" s="322">
        <v>176.91176470588235</v>
      </c>
      <c r="AY58" s="322">
        <v>117.64705882352941</v>
      </c>
    </row>
    <row r="59" spans="1:51" x14ac:dyDescent="0.25">
      <c r="A59" s="132">
        <v>99</v>
      </c>
      <c r="B59" s="132" t="s">
        <v>237</v>
      </c>
      <c r="C59" s="1" t="s">
        <v>236</v>
      </c>
      <c r="D59" s="324">
        <v>264.89829687328324</v>
      </c>
      <c r="E59" s="324">
        <v>558.77750633920391</v>
      </c>
      <c r="F59" s="324">
        <v>258.73424004585888</v>
      </c>
      <c r="G59" s="324">
        <v>269.82251511028591</v>
      </c>
      <c r="H59" s="324">
        <v>424.08391779299308</v>
      </c>
      <c r="I59" s="324">
        <v>368.82015298949557</v>
      </c>
      <c r="J59" s="324">
        <v>352.01062646207447</v>
      </c>
      <c r="K59" s="324">
        <v>537.26092070034156</v>
      </c>
      <c r="L59" s="324">
        <v>515.52808030324991</v>
      </c>
      <c r="M59" s="324">
        <v>465.17906310101995</v>
      </c>
      <c r="N59" s="324">
        <v>446.39290810155347</v>
      </c>
      <c r="O59" s="324">
        <v>194.88655829940259</v>
      </c>
      <c r="P59" s="324">
        <v>289.27907756226239</v>
      </c>
      <c r="Q59" s="324">
        <v>259.32814147136963</v>
      </c>
      <c r="R59" s="324">
        <v>301.47005808188237</v>
      </c>
      <c r="S59" s="324">
        <v>536.56861268217904</v>
      </c>
      <c r="T59" s="324">
        <v>340.85093882585517</v>
      </c>
      <c r="U59" s="324">
        <v>370.23012507806197</v>
      </c>
      <c r="V59" s="324">
        <v>473.5718219510793</v>
      </c>
      <c r="W59" s="324">
        <v>430.58331125860042</v>
      </c>
      <c r="X59" s="324">
        <v>556.52238359108424</v>
      </c>
      <c r="Y59" s="324">
        <v>498.61165710251254</v>
      </c>
      <c r="Z59" s="324">
        <v>454.29331129909315</v>
      </c>
      <c r="AA59" s="324">
        <v>288.02125137846514</v>
      </c>
      <c r="AB59" s="322">
        <v>301.04913450382281</v>
      </c>
      <c r="AC59" s="322">
        <v>410.11656777759248</v>
      </c>
      <c r="AD59" s="322">
        <v>274.46698764153888</v>
      </c>
      <c r="AE59" s="322">
        <v>184.54948225518928</v>
      </c>
      <c r="AF59" s="322">
        <v>345.10024502996481</v>
      </c>
      <c r="AG59" s="322">
        <v>239.21064174956592</v>
      </c>
      <c r="AH59" s="322">
        <v>342.84699161722983</v>
      </c>
      <c r="AI59" s="322">
        <v>410.90151653481172</v>
      </c>
      <c r="AJ59" s="322">
        <v>398.10291236588876</v>
      </c>
      <c r="AK59" s="322">
        <v>335.1791482995261</v>
      </c>
      <c r="AL59" s="322">
        <v>215.55849639115078</v>
      </c>
      <c r="AM59" s="322">
        <v>220.31865119973659</v>
      </c>
      <c r="AN59" s="322">
        <v>134.55058150733208</v>
      </c>
      <c r="AO59" s="322">
        <v>165.9808814087923</v>
      </c>
      <c r="AP59" s="322">
        <v>193.34571317630588</v>
      </c>
      <c r="AQ59" s="322">
        <v>236.69511906731404</v>
      </c>
      <c r="AR59" s="322">
        <v>305.77439001097571</v>
      </c>
      <c r="AS59" s="322">
        <v>346.95795305210913</v>
      </c>
      <c r="AT59" s="322">
        <v>340.05730143378054</v>
      </c>
      <c r="AU59" s="322">
        <v>327.4560317836569</v>
      </c>
      <c r="AV59" s="322">
        <v>369.5024762591143</v>
      </c>
      <c r="AW59" s="322">
        <v>163.32655565397059</v>
      </c>
      <c r="AX59" s="322">
        <v>391.19156526087511</v>
      </c>
      <c r="AY59" s="322">
        <v>56.455005321752473</v>
      </c>
    </row>
    <row r="60" spans="1:51" x14ac:dyDescent="0.25">
      <c r="A60" s="132">
        <v>116</v>
      </c>
      <c r="B60" s="342" t="s">
        <v>277</v>
      </c>
      <c r="C60" s="143" t="s">
        <v>3570</v>
      </c>
      <c r="D60" s="324">
        <v>0</v>
      </c>
      <c r="E60" s="324">
        <v>0</v>
      </c>
      <c r="F60" s="324">
        <v>0</v>
      </c>
      <c r="G60" s="324">
        <v>0</v>
      </c>
      <c r="H60" s="324">
        <v>0</v>
      </c>
      <c r="I60" s="324">
        <v>0</v>
      </c>
      <c r="J60" s="324">
        <v>0</v>
      </c>
      <c r="K60" s="324">
        <v>0</v>
      </c>
      <c r="L60" s="324">
        <v>0</v>
      </c>
      <c r="M60" s="324">
        <v>0</v>
      </c>
      <c r="N60" s="324">
        <v>0</v>
      </c>
      <c r="O60" s="324">
        <v>0</v>
      </c>
      <c r="P60" s="324">
        <v>0</v>
      </c>
      <c r="Q60" s="324">
        <v>0</v>
      </c>
      <c r="R60" s="324">
        <v>0</v>
      </c>
      <c r="S60" s="324">
        <v>0</v>
      </c>
      <c r="T60" s="324">
        <v>0</v>
      </c>
      <c r="U60" s="324">
        <v>0</v>
      </c>
      <c r="V60" s="324">
        <v>0</v>
      </c>
      <c r="W60" s="324">
        <v>0</v>
      </c>
      <c r="X60" s="324">
        <v>0</v>
      </c>
      <c r="Y60" s="324">
        <v>0</v>
      </c>
      <c r="Z60" s="324">
        <v>0</v>
      </c>
      <c r="AA60" s="324">
        <v>0</v>
      </c>
      <c r="AB60" s="322">
        <v>0</v>
      </c>
      <c r="AC60" s="322">
        <v>0</v>
      </c>
      <c r="AD60" s="322">
        <v>0</v>
      </c>
      <c r="AE60" s="322">
        <v>0</v>
      </c>
      <c r="AF60" s="322">
        <v>0</v>
      </c>
      <c r="AG60" s="322">
        <v>0</v>
      </c>
      <c r="AH60" s="322">
        <v>0</v>
      </c>
      <c r="AI60" s="322">
        <v>0</v>
      </c>
      <c r="AJ60" s="322">
        <v>0</v>
      </c>
      <c r="AK60" s="322">
        <v>0</v>
      </c>
      <c r="AL60" s="322">
        <v>0</v>
      </c>
      <c r="AM60" s="322">
        <v>0</v>
      </c>
      <c r="AN60" s="322">
        <v>0</v>
      </c>
      <c r="AO60" s="322">
        <v>0</v>
      </c>
      <c r="AP60" s="322">
        <v>0</v>
      </c>
      <c r="AQ60" s="322">
        <v>0</v>
      </c>
      <c r="AR60" s="322">
        <v>0</v>
      </c>
      <c r="AS60" s="322">
        <v>0</v>
      </c>
      <c r="AT60" s="322">
        <v>0</v>
      </c>
      <c r="AU60" s="322">
        <v>0</v>
      </c>
      <c r="AV60" s="322">
        <v>0</v>
      </c>
      <c r="AW60" s="322">
        <v>0</v>
      </c>
      <c r="AX60" s="322">
        <v>0</v>
      </c>
      <c r="AY60" s="322">
        <v>0</v>
      </c>
    </row>
    <row r="61" spans="1:51" x14ac:dyDescent="0.25">
      <c r="A61" s="132">
        <v>63</v>
      </c>
      <c r="B61" s="342" t="s">
        <v>156</v>
      </c>
      <c r="C61" s="331" t="s">
        <v>3659</v>
      </c>
      <c r="D61" s="324">
        <v>0</v>
      </c>
      <c r="E61" s="324">
        <v>0</v>
      </c>
      <c r="F61" s="324">
        <v>0</v>
      </c>
      <c r="G61" s="324">
        <v>0</v>
      </c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>
        <v>0</v>
      </c>
      <c r="U61" s="324">
        <v>0</v>
      </c>
      <c r="V61" s="324">
        <v>0</v>
      </c>
      <c r="W61" s="324">
        <v>0</v>
      </c>
      <c r="X61" s="324">
        <v>0</v>
      </c>
      <c r="Y61" s="324">
        <v>0</v>
      </c>
      <c r="Z61" s="324">
        <v>0</v>
      </c>
      <c r="AA61" s="324">
        <v>0</v>
      </c>
      <c r="AB61" s="143">
        <v>0</v>
      </c>
      <c r="AC61" s="322">
        <v>0</v>
      </c>
      <c r="AD61" s="322">
        <v>0</v>
      </c>
      <c r="AE61" s="322">
        <v>0</v>
      </c>
      <c r="AF61" s="322">
        <v>0</v>
      </c>
      <c r="AG61" s="322">
        <v>0</v>
      </c>
      <c r="AH61" s="322">
        <v>0</v>
      </c>
      <c r="AI61" s="322">
        <v>0</v>
      </c>
      <c r="AJ61" s="322">
        <v>0</v>
      </c>
      <c r="AK61" s="322">
        <v>0</v>
      </c>
      <c r="AL61" s="322">
        <v>0</v>
      </c>
      <c r="AM61" s="322">
        <v>0</v>
      </c>
      <c r="AN61" s="322">
        <v>0</v>
      </c>
      <c r="AO61" s="322">
        <v>0</v>
      </c>
      <c r="AP61" s="322">
        <v>0</v>
      </c>
      <c r="AQ61" s="322">
        <v>0</v>
      </c>
      <c r="AR61" s="322">
        <v>0</v>
      </c>
      <c r="AS61" s="322">
        <v>0</v>
      </c>
      <c r="AT61" s="322">
        <v>0</v>
      </c>
      <c r="AU61" s="322">
        <v>0</v>
      </c>
      <c r="AV61" s="322">
        <v>0</v>
      </c>
      <c r="AW61" s="322">
        <v>0</v>
      </c>
      <c r="AX61" s="322">
        <v>0</v>
      </c>
      <c r="AY61" s="322">
        <v>0</v>
      </c>
    </row>
    <row r="62" spans="1:51" x14ac:dyDescent="0.25">
      <c r="A62" s="132">
        <v>126</v>
      </c>
      <c r="B62" s="132" t="s">
        <v>295</v>
      </c>
      <c r="C62" s="143" t="s">
        <v>294</v>
      </c>
      <c r="D62" s="324">
        <v>21.154509430548206</v>
      </c>
      <c r="E62" s="324">
        <v>40.585950186093349</v>
      </c>
      <c r="F62" s="324">
        <v>20.455811185821336</v>
      </c>
      <c r="G62" s="324">
        <v>19.910033424707795</v>
      </c>
      <c r="H62" s="324">
        <v>31.172442131673705</v>
      </c>
      <c r="I62" s="324">
        <v>27.218544169985641</v>
      </c>
      <c r="J62" s="324">
        <v>25.793794449523904</v>
      </c>
      <c r="K62" s="324">
        <v>38.369131344894768</v>
      </c>
      <c r="L62" s="324">
        <v>36.791469534636995</v>
      </c>
      <c r="M62" s="324">
        <v>33.711397918674841</v>
      </c>
      <c r="N62" s="324">
        <v>32.801456832249514</v>
      </c>
      <c r="O62" s="324">
        <v>16.407521213927353</v>
      </c>
      <c r="P62" s="324">
        <v>22.658582954035317</v>
      </c>
      <c r="Q62" s="324">
        <v>20.640555541457843</v>
      </c>
      <c r="R62" s="324">
        <v>23.256101265724986</v>
      </c>
      <c r="S62" s="324">
        <v>38.785729076153217</v>
      </c>
      <c r="T62" s="324">
        <v>25.545872327035347</v>
      </c>
      <c r="U62" s="324">
        <v>27.247043980072132</v>
      </c>
      <c r="V62" s="324">
        <v>33.82637335642125</v>
      </c>
      <c r="W62" s="324">
        <v>31.176915460251106</v>
      </c>
      <c r="X62" s="324">
        <v>39.463918993172598</v>
      </c>
      <c r="Y62" s="324">
        <v>35.888154069159654</v>
      </c>
      <c r="Z62" s="324">
        <v>33.309049873302975</v>
      </c>
      <c r="AA62" s="324">
        <v>22.441945411700583</v>
      </c>
      <c r="AB62" s="322">
        <v>23.38133283877093</v>
      </c>
      <c r="AC62" s="322">
        <v>30.666451289941804</v>
      </c>
      <c r="AD62" s="322">
        <v>21.324510426867416</v>
      </c>
      <c r="AE62" s="322">
        <v>15.153938260450621</v>
      </c>
      <c r="AF62" s="322">
        <v>25.790067110611016</v>
      </c>
      <c r="AG62" s="322">
        <v>18.404116472249459</v>
      </c>
      <c r="AH62" s="322">
        <v>25.095574012197041</v>
      </c>
      <c r="AI62" s="322">
        <v>29.832031419056328</v>
      </c>
      <c r="AJ62" s="322">
        <v>28.839526497115642</v>
      </c>
      <c r="AK62" s="322">
        <v>24.923289734313055</v>
      </c>
      <c r="AL62" s="322">
        <v>17.330396026635462</v>
      </c>
      <c r="AM62" s="322">
        <v>17.986722687321368</v>
      </c>
      <c r="AN62" s="322">
        <v>12.318772154509851</v>
      </c>
      <c r="AO62" s="322">
        <v>14.379626428419492</v>
      </c>
      <c r="AP62" s="322">
        <v>16.034849057316411</v>
      </c>
      <c r="AQ62" s="322">
        <v>18.8013687305011</v>
      </c>
      <c r="AR62" s="322">
        <v>23.390185081353856</v>
      </c>
      <c r="AS62" s="322">
        <v>25.853422332975359</v>
      </c>
      <c r="AT62" s="322">
        <v>25.594245930738275</v>
      </c>
      <c r="AU62" s="322">
        <v>25.306524082257809</v>
      </c>
      <c r="AV62" s="322">
        <v>27.820085830165986</v>
      </c>
      <c r="AW62" s="322">
        <v>13.962498884766653</v>
      </c>
      <c r="AX62" s="322">
        <v>29.037359402149978</v>
      </c>
      <c r="AY62" s="322">
        <v>6.9612239414160513</v>
      </c>
    </row>
    <row r="63" spans="1:51" x14ac:dyDescent="0.25">
      <c r="A63" s="132">
        <v>56</v>
      </c>
      <c r="B63" s="132" t="s">
        <v>144</v>
      </c>
      <c r="C63" s="143" t="s">
        <v>143</v>
      </c>
      <c r="D63" s="324">
        <v>248.57283761812749</v>
      </c>
      <c r="E63" s="324">
        <v>598.48852649830644</v>
      </c>
      <c r="F63" s="324">
        <v>242.55474165015337</v>
      </c>
      <c r="G63" s="324">
        <v>276.66105846066625</v>
      </c>
      <c r="H63" s="324">
        <v>428.30936913413797</v>
      </c>
      <c r="I63" s="324">
        <v>363.01707487114948</v>
      </c>
      <c r="J63" s="324">
        <v>338.7858667919453</v>
      </c>
      <c r="K63" s="324">
        <v>552.8246603482022</v>
      </c>
      <c r="L63" s="324">
        <v>530.62148873168974</v>
      </c>
      <c r="M63" s="324">
        <v>475.55468518186785</v>
      </c>
      <c r="N63" s="324">
        <v>460.64618537108248</v>
      </c>
      <c r="O63" s="324">
        <v>168.56159225694867</v>
      </c>
      <c r="P63" s="324">
        <v>279.21815531969338</v>
      </c>
      <c r="Q63" s="324">
        <v>247.92769121212552</v>
      </c>
      <c r="R63" s="324">
        <v>293.4563820618032</v>
      </c>
      <c r="S63" s="324">
        <v>566.529511296539</v>
      </c>
      <c r="T63" s="324">
        <v>332.76697164861616</v>
      </c>
      <c r="U63" s="324">
        <v>366.36919325521501</v>
      </c>
      <c r="V63" s="324">
        <v>483.21799768471925</v>
      </c>
      <c r="W63" s="324">
        <v>430.42569806672248</v>
      </c>
      <c r="X63" s="324">
        <v>580.38008786286593</v>
      </c>
      <c r="Y63" s="324">
        <v>515.98356164968163</v>
      </c>
      <c r="Z63" s="324">
        <v>470.27341517693509</v>
      </c>
      <c r="AA63" s="324">
        <v>280.5369028441005</v>
      </c>
      <c r="AB63" s="322">
        <v>294.07132698865098</v>
      </c>
      <c r="AC63" s="322">
        <v>424.74523667571276</v>
      </c>
      <c r="AD63" s="322">
        <v>264.33271130588457</v>
      </c>
      <c r="AE63" s="322">
        <v>158.09444495889184</v>
      </c>
      <c r="AF63" s="322">
        <v>338.6504615005623</v>
      </c>
      <c r="AG63" s="322">
        <v>215.93164868431521</v>
      </c>
      <c r="AH63" s="322">
        <v>330.8054049369407</v>
      </c>
      <c r="AI63" s="322">
        <v>408.37476951012655</v>
      </c>
      <c r="AJ63" s="322">
        <v>396.96239048883575</v>
      </c>
      <c r="AK63" s="322">
        <v>326.57882789785964</v>
      </c>
      <c r="AL63" s="322">
        <v>192.29967769301206</v>
      </c>
      <c r="AM63" s="322">
        <v>200.33167672294314</v>
      </c>
      <c r="AN63" s="322">
        <v>98.663670615343676</v>
      </c>
      <c r="AO63" s="322">
        <v>139.36414900091697</v>
      </c>
      <c r="AP63" s="322">
        <v>167.22653847103794</v>
      </c>
      <c r="AQ63" s="322">
        <v>215.62235614147986</v>
      </c>
      <c r="AR63" s="322">
        <v>14.462750449025149</v>
      </c>
      <c r="AS63" s="322">
        <v>25.340246580780207</v>
      </c>
      <c r="AT63" s="322">
        <v>20.024571359141476</v>
      </c>
      <c r="AU63" s="322">
        <v>19.542473546948777</v>
      </c>
      <c r="AV63" s="322">
        <v>18.791697611874547</v>
      </c>
      <c r="AW63" s="322">
        <v>30.027503111232111</v>
      </c>
      <c r="AX63" s="322">
        <v>13.981234020069836</v>
      </c>
      <c r="AY63" s="322">
        <v>13.655152295909501</v>
      </c>
    </row>
    <row r="64" spans="1:51" x14ac:dyDescent="0.25">
      <c r="A64" s="132">
        <v>264</v>
      </c>
      <c r="B64" s="132" t="s">
        <v>497</v>
      </c>
      <c r="C64" s="326" t="s">
        <v>3612</v>
      </c>
      <c r="D64" s="324">
        <v>44.39</v>
      </c>
      <c r="E64" s="324">
        <v>44.39</v>
      </c>
      <c r="F64" s="324">
        <v>21.23</v>
      </c>
      <c r="G64" s="324">
        <v>21.23</v>
      </c>
      <c r="H64" s="324">
        <v>19.3</v>
      </c>
      <c r="I64" s="324">
        <v>21.23</v>
      </c>
      <c r="J64" s="324">
        <v>46.32</v>
      </c>
      <c r="K64" s="324">
        <v>21.23</v>
      </c>
      <c r="L64" s="324">
        <v>19.3</v>
      </c>
      <c r="M64" s="324">
        <v>21.23</v>
      </c>
      <c r="N64" s="324">
        <v>21.23</v>
      </c>
      <c r="O64" s="324">
        <v>11.58</v>
      </c>
      <c r="P64" s="324">
        <v>11.58</v>
      </c>
      <c r="Q64" s="324">
        <v>3.8600000000000003</v>
      </c>
      <c r="R64" s="324">
        <v>11.58</v>
      </c>
      <c r="S64" s="324">
        <v>19.3</v>
      </c>
      <c r="T64" s="324">
        <v>10</v>
      </c>
      <c r="U64" s="324">
        <v>10</v>
      </c>
      <c r="V64" s="324">
        <v>34.739000000000004</v>
      </c>
      <c r="W64" s="324">
        <v>52.11</v>
      </c>
      <c r="X64" s="324">
        <v>54.04</v>
      </c>
      <c r="Y64" s="324">
        <v>57.9</v>
      </c>
      <c r="Z64" s="324">
        <v>44.39</v>
      </c>
      <c r="AA64" s="324">
        <v>5.79</v>
      </c>
      <c r="AB64" s="322">
        <v>9.65</v>
      </c>
      <c r="AC64" s="322">
        <v>0</v>
      </c>
      <c r="AD64" s="322">
        <v>0</v>
      </c>
      <c r="AE64" s="322">
        <v>0</v>
      </c>
      <c r="AF64" s="322">
        <v>19.3</v>
      </c>
      <c r="AG64" s="322">
        <v>52.11</v>
      </c>
      <c r="AH64" s="322">
        <v>92.64</v>
      </c>
      <c r="AI64" s="322">
        <v>81.06</v>
      </c>
      <c r="AJ64" s="322">
        <v>94.57</v>
      </c>
      <c r="AK64" s="322">
        <v>75.27000000000001</v>
      </c>
      <c r="AL64" s="322">
        <v>65.62</v>
      </c>
      <c r="AM64" s="322">
        <v>63.69</v>
      </c>
      <c r="AN64" s="322">
        <v>36.67</v>
      </c>
      <c r="AO64" s="322">
        <v>40.53</v>
      </c>
      <c r="AP64" s="322">
        <v>25.09</v>
      </c>
      <c r="AQ64" s="322">
        <v>54.04</v>
      </c>
      <c r="AR64" s="322">
        <v>50.18</v>
      </c>
      <c r="AS64" s="322">
        <v>54.04</v>
      </c>
      <c r="AT64" s="322">
        <v>65.62</v>
      </c>
      <c r="AU64" s="322">
        <v>57.9</v>
      </c>
      <c r="AV64" s="322">
        <v>73.34</v>
      </c>
      <c r="AW64" s="322">
        <v>57.9</v>
      </c>
      <c r="AX64" s="322">
        <v>19</v>
      </c>
      <c r="AY64" s="322">
        <v>13</v>
      </c>
    </row>
    <row r="65" spans="1:51" x14ac:dyDescent="0.25">
      <c r="A65" s="132">
        <v>127</v>
      </c>
      <c r="B65" s="342" t="s">
        <v>3576</v>
      </c>
      <c r="C65" s="143" t="s">
        <v>3575</v>
      </c>
      <c r="D65" s="324">
        <v>4.8611168257329265</v>
      </c>
      <c r="E65" s="324">
        <v>8.3208358502204085</v>
      </c>
      <c r="F65" s="324">
        <v>4.686827874916716</v>
      </c>
      <c r="G65" s="324">
        <v>4.222850506958264</v>
      </c>
      <c r="H65" s="324">
        <v>6.6507978770177649</v>
      </c>
      <c r="I65" s="324">
        <v>5.9017236926645245</v>
      </c>
      <c r="J65" s="324">
        <v>5.6362174384300641</v>
      </c>
      <c r="K65" s="324">
        <v>7.9720504126653449</v>
      </c>
      <c r="L65" s="324">
        <v>7.6447901589942191</v>
      </c>
      <c r="M65" s="324">
        <v>7.0924590308737558</v>
      </c>
      <c r="N65" s="324">
        <v>6.916338079264821</v>
      </c>
      <c r="O65" s="324">
        <v>3.9705730675723312</v>
      </c>
      <c r="P65" s="324">
        <v>5.0993556417415853</v>
      </c>
      <c r="Q65" s="324">
        <v>4.6994544835614498</v>
      </c>
      <c r="R65" s="324">
        <v>5.1812580842715255</v>
      </c>
      <c r="S65" s="324">
        <v>7.9975253410738887</v>
      </c>
      <c r="T65" s="324">
        <v>5.6014454953427961</v>
      </c>
      <c r="U65" s="324">
        <v>5.8831790414999459</v>
      </c>
      <c r="V65" s="324">
        <v>7.0675982949938341</v>
      </c>
      <c r="W65" s="324">
        <v>6.6330074249536741</v>
      </c>
      <c r="X65" s="324">
        <v>8.1068315375850428</v>
      </c>
      <c r="Y65" s="324">
        <v>7.4696505339849715</v>
      </c>
      <c r="Z65" s="324">
        <v>7.0026473003888352</v>
      </c>
      <c r="AA65" s="324">
        <v>5.0172727276136087</v>
      </c>
      <c r="AB65" s="322">
        <v>5.2127829072133469</v>
      </c>
      <c r="AC65" s="322">
        <v>6.5148139981984095</v>
      </c>
      <c r="AD65" s="322">
        <v>4.7904173034348823</v>
      </c>
      <c r="AE65" s="322">
        <v>3.649440561521772</v>
      </c>
      <c r="AF65" s="322">
        <v>5.6325933395563386</v>
      </c>
      <c r="AG65" s="322">
        <v>4.2361446265078833</v>
      </c>
      <c r="AH65" s="322">
        <v>5.4737481232099316</v>
      </c>
      <c r="AI65" s="322">
        <v>6.375696370788706</v>
      </c>
      <c r="AJ65" s="322">
        <v>6.150243849444025</v>
      </c>
      <c r="AK65" s="322">
        <v>5.4512912263793343</v>
      </c>
      <c r="AL65" s="322">
        <v>4.0777121809532471</v>
      </c>
      <c r="AM65" s="322">
        <v>4.224083601566373</v>
      </c>
      <c r="AN65" s="322">
        <v>3.2122526420327162</v>
      </c>
      <c r="AO65" s="322">
        <v>3.550434903100963</v>
      </c>
      <c r="AP65" s="322">
        <v>3.8643920161763479</v>
      </c>
      <c r="AQ65" s="322">
        <v>4.366265599410613</v>
      </c>
      <c r="AR65" s="322">
        <v>5.2714493321183467</v>
      </c>
      <c r="AS65" s="322">
        <v>5.6869759930668167</v>
      </c>
      <c r="AT65" s="322">
        <v>5.8429463691576267</v>
      </c>
      <c r="AU65" s="322">
        <v>5.9577829702109906</v>
      </c>
      <c r="AV65" s="322">
        <v>6.3147614666675356</v>
      </c>
      <c r="AW65" s="322">
        <v>3.635400492160604</v>
      </c>
      <c r="AX65" s="322">
        <v>6.2056536130622959</v>
      </c>
      <c r="AY65" s="322">
        <v>2.1901718787907387</v>
      </c>
    </row>
    <row r="66" spans="1:51" s="301" customFormat="1" x14ac:dyDescent="0.25">
      <c r="A66" s="132">
        <v>289</v>
      </c>
      <c r="B66" s="132" t="s">
        <v>524</v>
      </c>
      <c r="C66" s="134" t="s">
        <v>3685</v>
      </c>
      <c r="D66" s="324">
        <v>988.16000000000008</v>
      </c>
      <c r="E66" s="324">
        <v>891.66</v>
      </c>
      <c r="F66" s="324">
        <v>806.74</v>
      </c>
      <c r="G66" s="324">
        <v>1291.17</v>
      </c>
      <c r="H66" s="324">
        <v>1607.69</v>
      </c>
      <c r="I66" s="324">
        <v>1047.99</v>
      </c>
      <c r="J66" s="324">
        <v>1883.68</v>
      </c>
      <c r="K66" s="324">
        <v>2790.78</v>
      </c>
      <c r="L66" s="324">
        <v>3477.86</v>
      </c>
      <c r="M66" s="324">
        <v>1547.8600000000001</v>
      </c>
      <c r="N66" s="324">
        <v>1816.13</v>
      </c>
      <c r="O66" s="324">
        <v>2165.46</v>
      </c>
      <c r="P66" s="324">
        <v>2165.46</v>
      </c>
      <c r="Q66" s="324">
        <v>521.1</v>
      </c>
      <c r="R66" s="324">
        <v>851.13</v>
      </c>
      <c r="S66" s="324">
        <v>1584.5299999999997</v>
      </c>
      <c r="T66" s="324">
        <v>70</v>
      </c>
      <c r="U66" s="324">
        <v>998.00000000000011</v>
      </c>
      <c r="V66" s="324">
        <v>767.37800000000004</v>
      </c>
      <c r="W66" s="324">
        <v>1615.4099999999999</v>
      </c>
      <c r="X66" s="324">
        <v>889</v>
      </c>
      <c r="Y66" s="324">
        <v>62</v>
      </c>
      <c r="Z66" s="324">
        <v>1426.9299999999998</v>
      </c>
      <c r="AA66" s="324">
        <v>868.5</v>
      </c>
      <c r="AB66" s="322">
        <v>419.78999999999996</v>
      </c>
      <c r="AC66" s="322">
        <v>1215.9000000000001</v>
      </c>
      <c r="AD66" s="322">
        <v>621.45999999999992</v>
      </c>
      <c r="AE66" s="322">
        <v>258.62</v>
      </c>
      <c r="AF66" s="322">
        <v>135.1</v>
      </c>
      <c r="AG66" s="322">
        <v>538.47</v>
      </c>
      <c r="AH66" s="322">
        <v>481.54399999999998</v>
      </c>
      <c r="AI66" s="322">
        <v>465.63800000000003</v>
      </c>
      <c r="AJ66" s="322">
        <v>802.88</v>
      </c>
      <c r="AK66" s="322">
        <v>1372.93</v>
      </c>
      <c r="AL66" s="322">
        <v>1088.52</v>
      </c>
      <c r="AM66" s="322">
        <v>628.57400000000007</v>
      </c>
      <c r="AN66" s="322">
        <v>712.17</v>
      </c>
      <c r="AO66" s="322">
        <v>805.322</v>
      </c>
      <c r="AP66" s="322">
        <v>876.22</v>
      </c>
      <c r="AQ66" s="322">
        <v>739.19</v>
      </c>
      <c r="AR66" s="322">
        <v>516.66</v>
      </c>
      <c r="AS66" s="322">
        <v>947.72700000000009</v>
      </c>
      <c r="AT66" s="322">
        <v>1640.5</v>
      </c>
      <c r="AU66" s="322">
        <v>1720.9460000000001</v>
      </c>
      <c r="AV66" s="322">
        <v>1663.6599999999999</v>
      </c>
      <c r="AW66" s="322">
        <v>1144.2550000000001</v>
      </c>
      <c r="AX66" s="322">
        <v>1322</v>
      </c>
      <c r="AY66" s="322">
        <v>600</v>
      </c>
    </row>
    <row r="67" spans="1:51" s="301" customFormat="1" x14ac:dyDescent="0.25">
      <c r="A67" s="132">
        <v>171</v>
      </c>
      <c r="B67" s="132" t="s">
        <v>375</v>
      </c>
      <c r="C67" s="143" t="s">
        <v>374</v>
      </c>
      <c r="D67" s="324">
        <v>3.028</v>
      </c>
      <c r="E67" s="324">
        <v>2.931</v>
      </c>
      <c r="F67" s="324">
        <v>2.931</v>
      </c>
      <c r="G67" s="324">
        <v>2.931</v>
      </c>
      <c r="H67" s="324">
        <v>3.028</v>
      </c>
      <c r="I67" s="324">
        <v>3.931</v>
      </c>
      <c r="J67" s="324">
        <v>5.4939999999999998</v>
      </c>
      <c r="K67" s="324">
        <v>5.6050000000000004</v>
      </c>
      <c r="L67" s="324">
        <v>4.5540000000000003</v>
      </c>
      <c r="M67" s="324">
        <v>3.5540000000000003</v>
      </c>
      <c r="N67" s="324">
        <v>4.76</v>
      </c>
      <c r="O67" s="324">
        <v>2.657</v>
      </c>
      <c r="P67" s="324">
        <v>2.657</v>
      </c>
      <c r="Q67" s="324">
        <v>2.5</v>
      </c>
      <c r="R67" s="324">
        <v>4.5019999999999998</v>
      </c>
      <c r="S67" s="324">
        <v>4.6050000000000004</v>
      </c>
      <c r="T67" s="329">
        <v>4.0040000000000004</v>
      </c>
      <c r="U67" s="324">
        <v>2.0019999999999998</v>
      </c>
      <c r="V67" s="328">
        <v>3.488</v>
      </c>
      <c r="W67" s="324">
        <v>2.3330000000000002</v>
      </c>
      <c r="X67" s="324">
        <v>4.3789999999999996</v>
      </c>
      <c r="Y67" s="324">
        <v>4.4710000000000001</v>
      </c>
      <c r="Z67" s="324">
        <v>3.6</v>
      </c>
      <c r="AA67" s="324">
        <v>2.3330000000000002</v>
      </c>
      <c r="AB67" s="322">
        <v>2.379</v>
      </c>
      <c r="AC67" s="322">
        <v>4.47</v>
      </c>
      <c r="AD67" s="322">
        <v>2.4249999999999998</v>
      </c>
      <c r="AE67" s="322">
        <v>3.2869999999999999</v>
      </c>
      <c r="AF67" s="322">
        <v>5.3330000000000002</v>
      </c>
      <c r="AG67" s="322">
        <v>3.4249999999999998</v>
      </c>
      <c r="AH67" s="322">
        <v>5.8609999999999998</v>
      </c>
      <c r="AI67" s="322">
        <v>4.8159999999999998</v>
      </c>
      <c r="AJ67" s="322">
        <v>4.9000000000000004</v>
      </c>
      <c r="AK67" s="322">
        <v>5.8440000000000003</v>
      </c>
      <c r="AL67" s="322">
        <v>3.984</v>
      </c>
      <c r="AM67" s="322">
        <v>2.9279999999999999</v>
      </c>
      <c r="AN67" s="322">
        <v>2.8439999999999999</v>
      </c>
      <c r="AO67" s="322">
        <v>2.8439999999999999</v>
      </c>
      <c r="AP67" s="322">
        <v>1.7869999999999999</v>
      </c>
      <c r="AQ67" s="322">
        <v>3.8719999999999999</v>
      </c>
      <c r="AR67" s="322">
        <v>3.8159999999999998</v>
      </c>
      <c r="AS67" s="322">
        <v>3.7869999999999999</v>
      </c>
      <c r="AT67" s="322">
        <v>3.1669999999999998</v>
      </c>
      <c r="AU67" s="322">
        <v>4.1790000000000003</v>
      </c>
      <c r="AV67" s="322">
        <v>4.218</v>
      </c>
      <c r="AW67" s="322">
        <v>2.2569999999999997</v>
      </c>
      <c r="AX67" s="322">
        <v>4</v>
      </c>
      <c r="AY67" s="321">
        <v>4</v>
      </c>
    </row>
    <row r="68" spans="1:51" s="301" customFormat="1" x14ac:dyDescent="0.25">
      <c r="A68" s="132">
        <v>171.1</v>
      </c>
      <c r="B68" s="132" t="s">
        <v>375</v>
      </c>
      <c r="C68" s="326" t="s">
        <v>377</v>
      </c>
      <c r="D68" s="324">
        <v>0</v>
      </c>
      <c r="E68" s="324">
        <v>0</v>
      </c>
      <c r="F68" s="324">
        <v>0</v>
      </c>
      <c r="G68" s="324">
        <v>0</v>
      </c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>
        <v>0</v>
      </c>
      <c r="U68" s="324">
        <v>0</v>
      </c>
      <c r="V68" s="324">
        <v>0</v>
      </c>
      <c r="W68" s="324">
        <v>0</v>
      </c>
      <c r="X68" s="324">
        <v>0</v>
      </c>
      <c r="Y68" s="324">
        <v>0</v>
      </c>
      <c r="Z68" s="324">
        <v>0</v>
      </c>
      <c r="AA68" s="324">
        <v>0</v>
      </c>
      <c r="AB68" s="301">
        <v>0</v>
      </c>
      <c r="AC68" s="322">
        <v>0</v>
      </c>
      <c r="AD68" s="322">
        <v>0</v>
      </c>
      <c r="AE68" s="322">
        <v>0</v>
      </c>
      <c r="AF68" s="322">
        <v>0</v>
      </c>
      <c r="AG68" s="322">
        <v>0</v>
      </c>
      <c r="AH68" s="322">
        <v>0</v>
      </c>
      <c r="AI68" s="322">
        <v>0</v>
      </c>
      <c r="AJ68" s="322">
        <v>0</v>
      </c>
      <c r="AK68" s="322">
        <v>0</v>
      </c>
      <c r="AL68" s="322">
        <v>0</v>
      </c>
      <c r="AM68" s="322">
        <v>0</v>
      </c>
      <c r="AN68" s="322">
        <v>0</v>
      </c>
      <c r="AO68" s="322">
        <v>0</v>
      </c>
      <c r="AP68" s="322">
        <v>0</v>
      </c>
      <c r="AQ68" s="322">
        <v>0</v>
      </c>
      <c r="AR68" s="322">
        <v>0</v>
      </c>
      <c r="AS68" s="322">
        <v>0</v>
      </c>
      <c r="AT68" s="322">
        <v>0</v>
      </c>
      <c r="AU68" s="322">
        <v>0</v>
      </c>
      <c r="AV68" s="322">
        <v>0</v>
      </c>
      <c r="AW68" s="322">
        <v>0</v>
      </c>
      <c r="AX68" s="322">
        <v>0</v>
      </c>
      <c r="AY68" s="322">
        <v>0</v>
      </c>
    </row>
    <row r="69" spans="1:51" s="301" customFormat="1" x14ac:dyDescent="0.25">
      <c r="A69" s="132">
        <v>19</v>
      </c>
      <c r="B69" s="132" t="s">
        <v>66</v>
      </c>
      <c r="C69" s="143" t="s">
        <v>65</v>
      </c>
      <c r="D69" s="324">
        <v>388.5522206115827</v>
      </c>
      <c r="E69" s="324">
        <v>892.49945843305579</v>
      </c>
      <c r="F69" s="324">
        <v>379.18112144800813</v>
      </c>
      <c r="G69" s="324">
        <v>419.67984390084069</v>
      </c>
      <c r="H69" s="324">
        <v>654.65127644775339</v>
      </c>
      <c r="I69" s="324">
        <v>560.41007804486912</v>
      </c>
      <c r="J69" s="324">
        <v>528.93258214351624</v>
      </c>
      <c r="K69" s="324">
        <v>841.27412237160081</v>
      </c>
      <c r="L69" s="324">
        <v>806.61419947657987</v>
      </c>
      <c r="M69" s="324">
        <v>723.86204525448295</v>
      </c>
      <c r="N69" s="324">
        <v>697.25533603645681</v>
      </c>
      <c r="O69" s="324">
        <v>271.5933098945506</v>
      </c>
      <c r="P69" s="324">
        <v>432.04224577866722</v>
      </c>
      <c r="Q69" s="324">
        <v>384.04382690198258</v>
      </c>
      <c r="R69" s="324">
        <v>452.6131082672261</v>
      </c>
      <c r="S69" s="324">
        <v>850.62190953023151</v>
      </c>
      <c r="T69" s="324">
        <v>515.14914646205989</v>
      </c>
      <c r="U69" s="324">
        <v>564.43282598240455</v>
      </c>
      <c r="V69" s="324">
        <v>737.32104835640723</v>
      </c>
      <c r="W69" s="324">
        <v>662.46423244807522</v>
      </c>
      <c r="X69" s="324">
        <v>877.88387538252618</v>
      </c>
      <c r="Y69" s="324">
        <v>781.86053411219041</v>
      </c>
      <c r="Z69" s="324">
        <v>711.04045732388238</v>
      </c>
      <c r="AA69" s="324">
        <v>432.66203232713116</v>
      </c>
      <c r="AB69" s="322">
        <v>453.09603019967824</v>
      </c>
      <c r="AC69" s="322">
        <v>640.37293352521976</v>
      </c>
      <c r="AD69" s="322">
        <v>409.24314320974526</v>
      </c>
      <c r="AE69" s="322">
        <v>256.51292304415659</v>
      </c>
      <c r="AF69" s="322">
        <v>523.23632696971629</v>
      </c>
      <c r="AG69" s="322">
        <v>344.79189621485256</v>
      </c>
      <c r="AH69" s="322">
        <v>515.94995579308022</v>
      </c>
      <c r="AI69" s="322">
        <v>629.96929314288968</v>
      </c>
      <c r="AJ69" s="322">
        <v>610.82735322131998</v>
      </c>
      <c r="AK69" s="322">
        <v>506.20440966527002</v>
      </c>
      <c r="AL69" s="322">
        <v>85.278905425314093</v>
      </c>
      <c r="AM69" s="322">
        <v>72.569891750740879</v>
      </c>
      <c r="AN69" s="322">
        <v>76.443197118839052</v>
      </c>
      <c r="AO69" s="322">
        <v>75.373065438198481</v>
      </c>
      <c r="AP69" s="322">
        <v>79.561750482339988</v>
      </c>
      <c r="AQ69" s="322">
        <v>88.932605798312323</v>
      </c>
      <c r="AR69" s="322">
        <v>102.11482621557518</v>
      </c>
      <c r="AS69" s="322">
        <v>109.67407282650458</v>
      </c>
      <c r="AT69" s="322">
        <v>112.31943295495579</v>
      </c>
      <c r="AU69" s="322">
        <v>126.09627555284811</v>
      </c>
      <c r="AV69" s="322">
        <v>110.58136137705037</v>
      </c>
      <c r="AW69" s="322">
        <v>90.127723921872487</v>
      </c>
      <c r="AX69" s="322">
        <v>75.756430529622435</v>
      </c>
      <c r="AY69" s="322">
        <v>62.080397839279023</v>
      </c>
    </row>
    <row r="70" spans="1:51" s="301" customFormat="1" x14ac:dyDescent="0.25">
      <c r="A70" s="132">
        <v>169</v>
      </c>
      <c r="B70" s="132" t="s">
        <v>372</v>
      </c>
      <c r="C70" s="143" t="s">
        <v>371</v>
      </c>
      <c r="D70" s="324">
        <v>90.455684531323413</v>
      </c>
      <c r="E70" s="324">
        <v>143.61011068892495</v>
      </c>
      <c r="F70" s="324">
        <v>86.852288401801474</v>
      </c>
      <c r="G70" s="324">
        <v>74.251289767210807</v>
      </c>
      <c r="H70" s="324">
        <v>118.92314909443536</v>
      </c>
      <c r="I70" s="324">
        <v>104.28301973315311</v>
      </c>
      <c r="J70" s="324">
        <v>102.90096127216903</v>
      </c>
      <c r="K70" s="324">
        <v>141.59787635400926</v>
      </c>
      <c r="L70" s="324">
        <v>134.46399940329238</v>
      </c>
      <c r="M70" s="324">
        <v>128.52027817460407</v>
      </c>
      <c r="N70" s="324">
        <v>125.65148463446515</v>
      </c>
      <c r="O70" s="324">
        <v>76.510865572590404</v>
      </c>
      <c r="P70" s="324">
        <v>93.827409669873461</v>
      </c>
      <c r="Q70" s="324">
        <v>85.724244206345475</v>
      </c>
      <c r="R70" s="324">
        <v>94.582778945534969</v>
      </c>
      <c r="S70" s="324">
        <v>138.44704254848824</v>
      </c>
      <c r="T70" s="324">
        <v>101.79832032837095</v>
      </c>
      <c r="U70" s="324">
        <v>103.74091221074241</v>
      </c>
      <c r="V70" s="324">
        <v>125.41206955114826</v>
      </c>
      <c r="W70" s="324">
        <v>119.73079333963783</v>
      </c>
      <c r="X70" s="324">
        <v>141.55332435899066</v>
      </c>
      <c r="Y70" s="324">
        <v>134.26514210967875</v>
      </c>
      <c r="Z70" s="324">
        <v>126.93830835912442</v>
      </c>
      <c r="AA70" s="324">
        <v>92.594526100228833</v>
      </c>
      <c r="AB70" s="322">
        <v>95.417610052829872</v>
      </c>
      <c r="AC70" s="322">
        <v>114.6862043078611</v>
      </c>
      <c r="AD70" s="322">
        <v>87.84329385803845</v>
      </c>
      <c r="AE70" s="322">
        <v>68.307697859373832</v>
      </c>
      <c r="AF70" s="322">
        <v>102.12805511388794</v>
      </c>
      <c r="AG70" s="322">
        <v>76.982627307393471</v>
      </c>
      <c r="AH70" s="322">
        <v>99.824009917388963</v>
      </c>
      <c r="AI70" s="322">
        <v>115.43347725673812</v>
      </c>
      <c r="AJ70" s="322">
        <v>109.93159768312705</v>
      </c>
      <c r="AK70" s="322">
        <v>101.58491019253978</v>
      </c>
      <c r="AL70" s="322">
        <v>79.828896286191451</v>
      </c>
      <c r="AM70" s="322">
        <v>80.125053815421225</v>
      </c>
      <c r="AN70" s="322">
        <v>63.544598433117791</v>
      </c>
      <c r="AO70" s="322">
        <v>67.221220365607323</v>
      </c>
      <c r="AP70" s="322">
        <v>73.464969912887213</v>
      </c>
      <c r="AQ70" s="322">
        <v>80.371954157199781</v>
      </c>
      <c r="AR70" s="322">
        <v>97.306699520211239</v>
      </c>
      <c r="AS70" s="322">
        <v>101.19308147708946</v>
      </c>
      <c r="AT70" s="322">
        <v>61.604384400111783</v>
      </c>
      <c r="AU70" s="322">
        <v>71.179712403086754</v>
      </c>
      <c r="AV70" s="322">
        <v>64.163549816546578</v>
      </c>
      <c r="AW70" s="322">
        <v>59.193781502568797</v>
      </c>
      <c r="AX70" s="322">
        <v>50.099241850386264</v>
      </c>
      <c r="AY70" s="322">
        <v>47.622808957124136</v>
      </c>
    </row>
    <row r="71" spans="1:51" s="301" customFormat="1" x14ac:dyDescent="0.25">
      <c r="A71" s="132">
        <v>511</v>
      </c>
      <c r="B71" s="132" t="s">
        <v>605</v>
      </c>
      <c r="C71" s="143" t="s">
        <v>604</v>
      </c>
      <c r="D71" s="324">
        <v>14.601604278074866</v>
      </c>
      <c r="E71" s="324">
        <v>14.659090909090908</v>
      </c>
      <c r="F71" s="324">
        <v>18.453208556149733</v>
      </c>
      <c r="G71" s="324">
        <v>20.810160427807485</v>
      </c>
      <c r="H71" s="324">
        <v>16.09625668449198</v>
      </c>
      <c r="I71" s="324">
        <v>22.074866310160427</v>
      </c>
      <c r="J71" s="324">
        <v>27.076203208556151</v>
      </c>
      <c r="K71" s="324">
        <v>27.766042780748663</v>
      </c>
      <c r="L71" s="324">
        <v>20.925133689839573</v>
      </c>
      <c r="M71" s="324">
        <v>20.06283422459893</v>
      </c>
      <c r="N71" s="324">
        <v>18.165775401069517</v>
      </c>
      <c r="O71" s="324">
        <v>14.256684491978609</v>
      </c>
      <c r="P71" s="324">
        <v>12.704545454545455</v>
      </c>
      <c r="Q71" s="324">
        <v>13.336898395721924</v>
      </c>
      <c r="R71" s="324">
        <v>23.856951871657753</v>
      </c>
      <c r="S71" s="324">
        <v>26.386363636363637</v>
      </c>
      <c r="T71" s="324">
        <v>11.037433155080214</v>
      </c>
      <c r="U71" s="324">
        <v>31.675133689839573</v>
      </c>
      <c r="V71" s="324">
        <v>37.366310160427808</v>
      </c>
      <c r="W71" s="324">
        <v>37.941176470588232</v>
      </c>
      <c r="X71" s="324">
        <v>31.502673796791445</v>
      </c>
      <c r="Y71" s="324">
        <v>27.823529411764707</v>
      </c>
      <c r="Z71" s="324">
        <v>16.958556149732619</v>
      </c>
      <c r="AA71" s="324">
        <v>10.864973262032086</v>
      </c>
      <c r="AB71" s="322">
        <v>12.359625668449198</v>
      </c>
      <c r="AC71" s="322">
        <v>16.268716577540108</v>
      </c>
      <c r="AD71" s="322">
        <v>12.359625668449198</v>
      </c>
      <c r="AE71" s="322">
        <v>15.463903743315509</v>
      </c>
      <c r="AF71" s="322">
        <v>22.304812834224599</v>
      </c>
      <c r="AG71" s="322">
        <v>25.236631016042782</v>
      </c>
      <c r="AH71" s="322">
        <v>28.685828877005349</v>
      </c>
      <c r="AI71" s="322">
        <v>24.489304812834224</v>
      </c>
      <c r="AJ71" s="322">
        <v>23.052139037433154</v>
      </c>
      <c r="AK71" s="322">
        <v>20.46524064171123</v>
      </c>
      <c r="AL71" s="322">
        <v>14.084224598930481</v>
      </c>
      <c r="AM71" s="322">
        <v>12.417112299465241</v>
      </c>
      <c r="AN71" s="322">
        <v>12.014705882352942</v>
      </c>
      <c r="AO71" s="322">
        <v>14.831550802139038</v>
      </c>
      <c r="AP71" s="322">
        <v>19.372994652406415</v>
      </c>
      <c r="AQ71" s="322">
        <v>26.731283422459892</v>
      </c>
      <c r="AR71" s="322">
        <v>0</v>
      </c>
      <c r="AS71" s="322">
        <v>0</v>
      </c>
      <c r="AT71" s="322">
        <v>35.756684491978611</v>
      </c>
      <c r="AU71" s="322">
        <v>32.594919786096256</v>
      </c>
      <c r="AV71" s="322">
        <v>27.88101604278075</v>
      </c>
      <c r="AW71" s="322">
        <v>21.729946524064172</v>
      </c>
      <c r="AX71" s="322">
        <v>14.429144385026738</v>
      </c>
      <c r="AY71" s="322">
        <v>11.209893048128341</v>
      </c>
    </row>
    <row r="72" spans="1:51" s="301" customFormat="1" x14ac:dyDescent="0.25">
      <c r="A72" s="132">
        <v>38</v>
      </c>
      <c r="B72" s="132" t="s">
        <v>102</v>
      </c>
      <c r="C72" s="143" t="s">
        <v>101</v>
      </c>
      <c r="D72" s="324">
        <v>102.3570332873371</v>
      </c>
      <c r="E72" s="324">
        <v>168.81725397271839</v>
      </c>
      <c r="F72" s="324">
        <v>98.938283164649505</v>
      </c>
      <c r="G72" s="324">
        <v>86.422283457070023</v>
      </c>
      <c r="H72" s="324">
        <v>137.3185323554134</v>
      </c>
      <c r="I72" s="324">
        <v>121.28858978328716</v>
      </c>
      <c r="J72" s="324">
        <v>118.17215126685851</v>
      </c>
      <c r="K72" s="324">
        <v>164.03197224023936</v>
      </c>
      <c r="L72" s="324">
        <v>156.98242597939424</v>
      </c>
      <c r="M72" s="324">
        <v>148.18474233546794</v>
      </c>
      <c r="N72" s="324">
        <v>144.64776316307407</v>
      </c>
      <c r="O72" s="324">
        <v>85.245191614291414</v>
      </c>
      <c r="P72" s="324">
        <v>106.7400709832813</v>
      </c>
      <c r="Q72" s="324">
        <v>98.23553418615289</v>
      </c>
      <c r="R72" s="324">
        <v>108.46493870249287</v>
      </c>
      <c r="S72" s="324">
        <v>162.34613452864579</v>
      </c>
      <c r="T72" s="324">
        <v>116.65178463277581</v>
      </c>
      <c r="U72" s="324">
        <v>120.77246977809914</v>
      </c>
      <c r="V72" s="324">
        <v>145.83003125158308</v>
      </c>
      <c r="W72" s="324">
        <v>137.65047377340215</v>
      </c>
      <c r="X72" s="324">
        <v>165.79473322566375</v>
      </c>
      <c r="Y72" s="324">
        <v>155.34931714252323</v>
      </c>
      <c r="Z72" s="324">
        <v>146.26938882543485</v>
      </c>
      <c r="AA72" s="324">
        <v>105.25618123007598</v>
      </c>
      <c r="AB72" s="322">
        <v>108.8178553027175</v>
      </c>
      <c r="AC72" s="322">
        <v>133.58257071192463</v>
      </c>
      <c r="AD72" s="322">
        <v>100.53441672353546</v>
      </c>
      <c r="AE72" s="322">
        <v>77.210922130483937</v>
      </c>
      <c r="AF72" s="322">
        <v>117.15634814374435</v>
      </c>
      <c r="AG72" s="322">
        <v>88.399848708706941</v>
      </c>
      <c r="AH72" s="322">
        <v>114.6937766699013</v>
      </c>
      <c r="AI72" s="322">
        <v>132.52277935799358</v>
      </c>
      <c r="AJ72" s="322">
        <v>127.43531825382695</v>
      </c>
      <c r="AK72" s="322">
        <v>115.73739394213948</v>
      </c>
      <c r="AL72" s="322">
        <v>89.03062365367262</v>
      </c>
      <c r="AM72" s="322">
        <v>89.922437491298552</v>
      </c>
      <c r="AN72" s="322">
        <v>69.888355950019204</v>
      </c>
      <c r="AO72" s="322">
        <v>75.755311035546256</v>
      </c>
      <c r="AP72" s="322">
        <v>82.755551949961813</v>
      </c>
      <c r="AQ72" s="322">
        <v>91.551854849912402</v>
      </c>
      <c r="AR72" s="322">
        <v>110.69752159143148</v>
      </c>
      <c r="AS72" s="322">
        <v>117.31886667293567</v>
      </c>
      <c r="AT72" s="322">
        <v>124.32575056769487</v>
      </c>
      <c r="AU72" s="322">
        <v>127.86083442723351</v>
      </c>
      <c r="AV72" s="322">
        <v>133.53962166132598</v>
      </c>
      <c r="AW72" s="322">
        <v>82.143387283998209</v>
      </c>
      <c r="AX72" s="322">
        <v>130.51934813476223</v>
      </c>
      <c r="AY72" s="322">
        <v>50.029328604939906</v>
      </c>
    </row>
    <row r="73" spans="1:51" s="301" customFormat="1" x14ac:dyDescent="0.25">
      <c r="A73" s="132">
        <v>72</v>
      </c>
      <c r="B73" s="132" t="s">
        <v>171</v>
      </c>
      <c r="C73" s="143" t="s">
        <v>170</v>
      </c>
      <c r="D73" s="324">
        <v>73.681492127805498</v>
      </c>
      <c r="E73" s="324">
        <v>101.00785489617517</v>
      </c>
      <c r="F73" s="324">
        <v>72.688984960440308</v>
      </c>
      <c r="G73" s="324">
        <v>55.534480456752547</v>
      </c>
      <c r="H73" s="324">
        <v>87.679689922402162</v>
      </c>
      <c r="I73" s="324">
        <v>82.543428371189663</v>
      </c>
      <c r="J73" s="324">
        <v>79.143113883537552</v>
      </c>
      <c r="K73" s="324">
        <v>98.373815074274418</v>
      </c>
      <c r="L73" s="324">
        <v>96.547724627700717</v>
      </c>
      <c r="M73" s="324">
        <v>91.78193753223222</v>
      </c>
      <c r="N73" s="324">
        <v>89.576076365682738</v>
      </c>
      <c r="O73" s="324">
        <v>65.528831578595813</v>
      </c>
      <c r="P73" s="324">
        <v>74.379618653515891</v>
      </c>
      <c r="Q73" s="324">
        <v>72.221671856043031</v>
      </c>
      <c r="R73" s="324">
        <v>76.109251130395066</v>
      </c>
      <c r="S73" s="324">
        <v>98.098180264232994</v>
      </c>
      <c r="T73" s="324">
        <v>78.361227651081265</v>
      </c>
      <c r="U73" s="324">
        <v>81.515389569214861</v>
      </c>
      <c r="V73" s="324">
        <v>89.547555252559576</v>
      </c>
      <c r="W73" s="324">
        <v>86.571713018882008</v>
      </c>
      <c r="X73" s="324">
        <v>99.360330976973685</v>
      </c>
      <c r="Y73" s="324">
        <v>94.123363297947918</v>
      </c>
      <c r="Z73" s="324">
        <v>90.051520863816876</v>
      </c>
      <c r="AA73" s="324">
        <v>72.176635390878772</v>
      </c>
      <c r="AB73" s="322">
        <v>74.67055388624965</v>
      </c>
      <c r="AC73" s="322">
        <v>86.469090175262309</v>
      </c>
      <c r="AD73" s="322">
        <v>71.540600758277634</v>
      </c>
      <c r="AE73" s="322">
        <v>61.459061467956992</v>
      </c>
      <c r="AF73" s="322">
        <v>78.145735694111963</v>
      </c>
      <c r="AG73" s="322">
        <v>66.884644023357765</v>
      </c>
      <c r="AH73" s="322">
        <v>76.565322617360067</v>
      </c>
      <c r="AI73" s="322">
        <v>84.068992535866656</v>
      </c>
      <c r="AJ73" s="322">
        <v>82.786070492165521</v>
      </c>
      <c r="AK73" s="322">
        <v>77.076063375337867</v>
      </c>
      <c r="AL73" s="322">
        <v>65.942805235335229</v>
      </c>
      <c r="AM73" s="322">
        <v>66.40736408886255</v>
      </c>
      <c r="AN73" s="322">
        <v>59.038098142484635</v>
      </c>
      <c r="AO73" s="322">
        <v>62.639266789602864</v>
      </c>
      <c r="AP73" s="322">
        <v>65.432062448164174</v>
      </c>
      <c r="AQ73" s="322">
        <v>69.129658653752813</v>
      </c>
      <c r="AR73" s="322">
        <v>77.893527686868097</v>
      </c>
      <c r="AS73" s="322">
        <v>82.06587188592718</v>
      </c>
      <c r="AT73" s="322">
        <v>89.540612450606247</v>
      </c>
      <c r="AU73" s="322">
        <v>94.792841993192653</v>
      </c>
      <c r="AV73" s="322">
        <v>97.061486641916318</v>
      </c>
      <c r="AW73" s="322">
        <v>68.988249921721348</v>
      </c>
      <c r="AX73" s="322">
        <v>82.944858172862851</v>
      </c>
      <c r="AY73" s="322">
        <v>49.134975736653615</v>
      </c>
    </row>
    <row r="74" spans="1:51" s="301" customFormat="1" x14ac:dyDescent="0.25">
      <c r="A74" s="132">
        <v>16</v>
      </c>
      <c r="B74" s="132" t="s">
        <v>57</v>
      </c>
      <c r="C74" s="143" t="s">
        <v>56</v>
      </c>
      <c r="D74" s="324">
        <v>214.0374983763613</v>
      </c>
      <c r="E74" s="324">
        <v>425.37766521175746</v>
      </c>
      <c r="F74" s="324">
        <v>206.76433305560593</v>
      </c>
      <c r="G74" s="324">
        <v>206.03100852802598</v>
      </c>
      <c r="H74" s="324">
        <v>324.14323259812687</v>
      </c>
      <c r="I74" s="324">
        <v>278.20143737843551</v>
      </c>
      <c r="J74" s="324">
        <v>266.92428693166738</v>
      </c>
      <c r="K74" s="324">
        <v>404.42587401738342</v>
      </c>
      <c r="L74" s="324">
        <v>385.78831792903151</v>
      </c>
      <c r="M74" s="324">
        <v>356.02754335646398</v>
      </c>
      <c r="N74" s="324">
        <v>346.44076339342831</v>
      </c>
      <c r="O74" s="324">
        <v>163.62529588875719</v>
      </c>
      <c r="P74" s="324">
        <v>231.02664738970549</v>
      </c>
      <c r="Q74" s="324">
        <v>207.69826208454899</v>
      </c>
      <c r="R74" s="324">
        <v>237.56218267910208</v>
      </c>
      <c r="S74" s="324">
        <v>405.59766648189373</v>
      </c>
      <c r="T74" s="324">
        <v>263.18900951347763</v>
      </c>
      <c r="U74" s="324">
        <v>278.97866096655741</v>
      </c>
      <c r="V74" s="324">
        <v>354.9969166842879</v>
      </c>
      <c r="W74" s="324">
        <v>326.41092617073508</v>
      </c>
      <c r="X74" s="324">
        <v>415.33119658951711</v>
      </c>
      <c r="Y74" s="324">
        <v>380.00035396686769</v>
      </c>
      <c r="Z74" s="324">
        <v>352.04968148269251</v>
      </c>
      <c r="AA74" s="324">
        <v>230.24077314951555</v>
      </c>
      <c r="AB74" s="322">
        <v>239.20778626701048</v>
      </c>
      <c r="AC74" s="322">
        <v>317.21065938905804</v>
      </c>
      <c r="AD74" s="322">
        <v>217.16178489874295</v>
      </c>
      <c r="AE74" s="322">
        <v>148.74855629639481</v>
      </c>
      <c r="AF74" s="322">
        <v>266.06753937959735</v>
      </c>
      <c r="AG74" s="322">
        <v>183.28137117758041</v>
      </c>
      <c r="AH74" s="322">
        <v>259.85012242114465</v>
      </c>
      <c r="AI74" s="322">
        <v>311.92110507574893</v>
      </c>
      <c r="AJ74" s="322">
        <v>299.83426661252111</v>
      </c>
      <c r="AK74" s="322">
        <v>260.68514054952976</v>
      </c>
      <c r="AL74" s="322">
        <v>177.97305387139778</v>
      </c>
      <c r="AM74" s="322">
        <v>181.37610033745511</v>
      </c>
      <c r="AN74" s="322">
        <v>118.34643677733531</v>
      </c>
      <c r="AO74" s="322">
        <v>139.59412684251342</v>
      </c>
      <c r="AP74" s="322">
        <v>158.85113622998091</v>
      </c>
      <c r="AQ74" s="322">
        <v>187.54458402577339</v>
      </c>
      <c r="AR74" s="322">
        <v>68.924129862069833</v>
      </c>
      <c r="AS74" s="322">
        <v>63.273802133960807</v>
      </c>
      <c r="AT74" s="322">
        <v>81.518984343395942</v>
      </c>
      <c r="AU74" s="322">
        <v>94.508237547508472</v>
      </c>
      <c r="AV74" s="322">
        <v>84.828167410317249</v>
      </c>
      <c r="AW74" s="322">
        <v>78.578900580481175</v>
      </c>
      <c r="AX74" s="322">
        <v>66.565093734462152</v>
      </c>
      <c r="AY74" s="322">
        <v>63.14818789386468</v>
      </c>
    </row>
    <row r="75" spans="1:51" s="301" customFormat="1" x14ac:dyDescent="0.25">
      <c r="A75" s="132">
        <v>16.100000000000001</v>
      </c>
      <c r="B75" s="132" t="s">
        <v>60</v>
      </c>
      <c r="C75" s="143" t="s">
        <v>3657</v>
      </c>
      <c r="D75" s="324">
        <v>15.677291054478776</v>
      </c>
      <c r="E75" s="324">
        <v>37.641677226966586</v>
      </c>
      <c r="F75" s="324">
        <v>15.430383972912312</v>
      </c>
      <c r="G75" s="324">
        <v>17.487469838693766</v>
      </c>
      <c r="H75" s="324">
        <v>27.015703207920435</v>
      </c>
      <c r="I75" s="324">
        <v>22.965229313056074</v>
      </c>
      <c r="J75" s="324">
        <v>21.172036081429734</v>
      </c>
      <c r="K75" s="324">
        <v>34.949974661306271</v>
      </c>
      <c r="L75" s="324">
        <v>33.456088206413668</v>
      </c>
      <c r="M75" s="324">
        <v>30.10611464325601</v>
      </c>
      <c r="N75" s="324">
        <v>29.130372482237075</v>
      </c>
      <c r="O75" s="324">
        <v>10.717935316186681</v>
      </c>
      <c r="P75" s="324">
        <v>17.574993449492077</v>
      </c>
      <c r="Q75" s="324">
        <v>15.847456455059165</v>
      </c>
      <c r="R75" s="324">
        <v>18.589941857508613</v>
      </c>
      <c r="S75" s="324">
        <v>35.672831637359359</v>
      </c>
      <c r="T75" s="324">
        <v>21.06492611178232</v>
      </c>
      <c r="U75" s="324">
        <v>23.163835411268551</v>
      </c>
      <c r="V75" s="324">
        <v>30.148964274436175</v>
      </c>
      <c r="W75" s="324">
        <v>27.321487602140628</v>
      </c>
      <c r="X75" s="324">
        <v>36.538298402442905</v>
      </c>
      <c r="Y75" s="324">
        <v>32.609447994871751</v>
      </c>
      <c r="Z75" s="324">
        <v>29.725885253359895</v>
      </c>
      <c r="AA75" s="324">
        <v>17.667995441624345</v>
      </c>
      <c r="AB75" s="322">
        <v>18.494573401159887</v>
      </c>
      <c r="AC75" s="322">
        <v>26.837854728898957</v>
      </c>
      <c r="AD75" s="322">
        <v>16.764834377557005</v>
      </c>
      <c r="AE75" s="322">
        <v>10.25354393977014</v>
      </c>
      <c r="AF75" s="322">
        <v>21.425548508578618</v>
      </c>
      <c r="AG75" s="322">
        <v>13.793976250294795</v>
      </c>
      <c r="AH75" s="322">
        <v>20.671802170453645</v>
      </c>
      <c r="AI75" s="322">
        <v>25.94303084384109</v>
      </c>
      <c r="AJ75" s="322">
        <v>25.122004385937533</v>
      </c>
      <c r="AK75" s="322">
        <v>20.819165077448972</v>
      </c>
      <c r="AL75" s="322">
        <v>12.43241339612101</v>
      </c>
      <c r="AM75" s="322">
        <v>12.685193992748243</v>
      </c>
      <c r="AN75" s="322">
        <v>6.3472466479801808</v>
      </c>
      <c r="AO75" s="322">
        <v>9.0925198856296507</v>
      </c>
      <c r="AP75" s="322">
        <v>10.740042418704764</v>
      </c>
      <c r="AQ75" s="322">
        <v>13.855841560696334</v>
      </c>
      <c r="AR75" s="322">
        <v>18.272768212046369</v>
      </c>
      <c r="AS75" s="322">
        <v>21.2397946779158</v>
      </c>
      <c r="AT75" s="322">
        <v>19.16556494399358</v>
      </c>
      <c r="AU75" s="322">
        <v>18.197652162636327</v>
      </c>
      <c r="AV75" s="322">
        <v>21.56371039861315</v>
      </c>
      <c r="AW75" s="322">
        <v>7.6362779415518771</v>
      </c>
      <c r="AX75" s="322">
        <v>25.20781891840026</v>
      </c>
      <c r="AY75" s="322">
        <v>0.87029586281480598</v>
      </c>
    </row>
    <row r="76" spans="1:51" s="301" customFormat="1" x14ac:dyDescent="0.25">
      <c r="A76" s="305">
        <v>160</v>
      </c>
      <c r="B76" s="132" t="s">
        <v>354</v>
      </c>
      <c r="C76" s="143" t="s">
        <v>3667</v>
      </c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30">
        <v>0</v>
      </c>
      <c r="U76" s="325">
        <v>0</v>
      </c>
      <c r="V76" s="325">
        <v>1013.249</v>
      </c>
      <c r="W76" s="325">
        <v>218.09</v>
      </c>
      <c r="X76" s="325">
        <v>193</v>
      </c>
      <c r="Y76" s="325">
        <v>310</v>
      </c>
      <c r="Z76" s="325">
        <v>0</v>
      </c>
      <c r="AA76" s="325">
        <v>92.64</v>
      </c>
      <c r="AB76" s="322">
        <v>0</v>
      </c>
      <c r="AC76" s="322">
        <v>225.81</v>
      </c>
      <c r="AD76" s="322">
        <v>0</v>
      </c>
      <c r="AE76" s="322">
        <v>0</v>
      </c>
      <c r="AF76" s="322">
        <v>23.16</v>
      </c>
      <c r="AG76" s="322">
        <v>46.32</v>
      </c>
      <c r="AH76" s="322">
        <v>32.283000000000001</v>
      </c>
      <c r="AI76" s="322">
        <v>611.80899999999997</v>
      </c>
      <c r="AJ76" s="322">
        <v>38.6</v>
      </c>
      <c r="AK76" s="322">
        <v>96.6</v>
      </c>
      <c r="AL76" s="322">
        <v>1.9300000000000002</v>
      </c>
      <c r="AM76" s="322">
        <v>59.83</v>
      </c>
      <c r="AN76" s="322">
        <v>28.95</v>
      </c>
      <c r="AO76" s="322">
        <v>36.67</v>
      </c>
      <c r="AP76" s="322">
        <v>0</v>
      </c>
      <c r="AQ76" s="322">
        <v>177.56</v>
      </c>
      <c r="AR76" s="322">
        <v>3.8600000000000003</v>
      </c>
      <c r="AS76" s="322">
        <v>1.9300000000000002</v>
      </c>
      <c r="AT76" s="322">
        <v>3.8600000000000003</v>
      </c>
      <c r="AU76" s="322">
        <v>5.79</v>
      </c>
      <c r="AV76" s="322">
        <v>3.8600000000000003</v>
      </c>
      <c r="AW76" s="322">
        <v>14.86</v>
      </c>
      <c r="AX76" s="322">
        <v>23</v>
      </c>
      <c r="AY76" s="322">
        <v>27</v>
      </c>
    </row>
    <row r="77" spans="1:51" s="301" customFormat="1" x14ac:dyDescent="0.25">
      <c r="A77" s="132">
        <v>252</v>
      </c>
      <c r="B77" s="132" t="s">
        <v>456</v>
      </c>
      <c r="C77" s="143" t="s">
        <v>455</v>
      </c>
      <c r="D77" s="324">
        <v>252.12576341045977</v>
      </c>
      <c r="E77" s="324">
        <v>571.60178440632853</v>
      </c>
      <c r="F77" s="324">
        <v>246.04194680739164</v>
      </c>
      <c r="G77" s="324">
        <v>270.17638951168925</v>
      </c>
      <c r="H77" s="324">
        <v>422.49416041825327</v>
      </c>
      <c r="I77" s="324">
        <v>362.64646783006606</v>
      </c>
      <c r="J77" s="324">
        <v>343.50375089835501</v>
      </c>
      <c r="K77" s="324">
        <v>542.45493781567689</v>
      </c>
      <c r="L77" s="324">
        <v>519.83624168047106</v>
      </c>
      <c r="M77" s="324">
        <v>466.64261937164667</v>
      </c>
      <c r="N77" s="324">
        <v>448.6075397618003</v>
      </c>
      <c r="O77" s="324">
        <v>177.60981023924643</v>
      </c>
      <c r="P77" s="324">
        <v>279.59534322019897</v>
      </c>
      <c r="Q77" s="324">
        <v>248.39196550765158</v>
      </c>
      <c r="R77" s="324">
        <v>292.64781390316938</v>
      </c>
      <c r="S77" s="324">
        <v>546.05397345600886</v>
      </c>
      <c r="T77" s="324">
        <v>333.64125159620608</v>
      </c>
      <c r="U77" s="324">
        <v>365.04478512967893</v>
      </c>
      <c r="V77" s="324">
        <v>475.75633709316253</v>
      </c>
      <c r="W77" s="324">
        <v>428.54213345181819</v>
      </c>
      <c r="X77" s="324">
        <v>564.96709256421013</v>
      </c>
      <c r="Y77" s="324">
        <v>503.38819367802915</v>
      </c>
      <c r="Z77" s="324">
        <v>457.33733041093228</v>
      </c>
      <c r="AA77" s="324">
        <v>279.7502808158273</v>
      </c>
      <c r="AB77" s="322">
        <v>292.88885753925928</v>
      </c>
      <c r="AC77" s="322">
        <v>411.31023218420768</v>
      </c>
      <c r="AD77" s="322">
        <v>264.87242096931237</v>
      </c>
      <c r="AE77" s="322">
        <v>168.08224840894442</v>
      </c>
      <c r="AF77" s="322">
        <v>338.697158517324</v>
      </c>
      <c r="AG77" s="322">
        <v>225.15301519637933</v>
      </c>
      <c r="AH77" s="322">
        <v>334.97827364152784</v>
      </c>
      <c r="AI77" s="322">
        <v>407.786474752007</v>
      </c>
      <c r="AJ77" s="322">
        <v>395.0115982841931</v>
      </c>
      <c r="AK77" s="322">
        <v>327.98332648677575</v>
      </c>
      <c r="AL77" s="322">
        <v>200.47563131128257</v>
      </c>
      <c r="AM77" s="322">
        <v>206.15662775341301</v>
      </c>
      <c r="AN77" s="322">
        <v>112.91273100205012</v>
      </c>
      <c r="AO77" s="322">
        <v>148.04360298424277</v>
      </c>
      <c r="AP77" s="322">
        <v>176.13828438347463</v>
      </c>
      <c r="AQ77" s="322">
        <v>222.47570209342689</v>
      </c>
      <c r="AR77" s="322">
        <v>41.806864168175949</v>
      </c>
      <c r="AS77" s="322">
        <v>42.080973098549329</v>
      </c>
      <c r="AT77" s="322">
        <v>55.02275764919009</v>
      </c>
      <c r="AU77" s="322">
        <v>61.934468397038437</v>
      </c>
      <c r="AV77" s="322">
        <v>56.891468160000535</v>
      </c>
      <c r="AW77" s="322">
        <v>46.564375060479698</v>
      </c>
      <c r="AX77" s="322">
        <v>35.261433463038756</v>
      </c>
      <c r="AY77" s="322">
        <v>32.7154406839907</v>
      </c>
    </row>
    <row r="78" spans="1:51" s="301" customFormat="1" x14ac:dyDescent="0.25">
      <c r="A78" s="132">
        <v>142</v>
      </c>
      <c r="B78" s="132" t="s">
        <v>323</v>
      </c>
      <c r="C78" s="143" t="s">
        <v>322</v>
      </c>
      <c r="D78" s="324">
        <v>161.89773975279275</v>
      </c>
      <c r="E78" s="324">
        <v>322.97736639682569</v>
      </c>
      <c r="F78" s="324">
        <v>155.73047494519372</v>
      </c>
      <c r="G78" s="324">
        <v>156.08350731658032</v>
      </c>
      <c r="H78" s="324">
        <v>246.30386174786835</v>
      </c>
      <c r="I78" s="324">
        <v>209.71512113662718</v>
      </c>
      <c r="J78" s="324">
        <v>202.24432301622826</v>
      </c>
      <c r="K78" s="324">
        <v>308.52260629452167</v>
      </c>
      <c r="L78" s="324">
        <v>292.99088162295675</v>
      </c>
      <c r="M78" s="324">
        <v>271.36734329276806</v>
      </c>
      <c r="N78" s="324">
        <v>264.16138813319878</v>
      </c>
      <c r="O78" s="324">
        <v>123.56552892430791</v>
      </c>
      <c r="P78" s="324">
        <v>174.99904380384839</v>
      </c>
      <c r="Q78" s="324">
        <v>156.07294002329579</v>
      </c>
      <c r="R78" s="324">
        <v>179.3845676603348</v>
      </c>
      <c r="S78" s="324">
        <v>308.01942983949579</v>
      </c>
      <c r="T78" s="324">
        <v>199.63139472624488</v>
      </c>
      <c r="U78" s="324">
        <v>210.39994880634961</v>
      </c>
      <c r="V78" s="324">
        <v>269.84036190179944</v>
      </c>
      <c r="W78" s="324">
        <v>248.75956635799179</v>
      </c>
      <c r="X78" s="324">
        <v>315.70984660586169</v>
      </c>
      <c r="Y78" s="324">
        <v>289.77711976499035</v>
      </c>
      <c r="Z78" s="324">
        <v>268.47062061191502</v>
      </c>
      <c r="AA78" s="324">
        <v>174.73351450242134</v>
      </c>
      <c r="AB78" s="322">
        <v>181.3101904851182</v>
      </c>
      <c r="AC78" s="322">
        <v>240.05760217117046</v>
      </c>
      <c r="AD78" s="322">
        <v>163.85852264044576</v>
      </c>
      <c r="AE78" s="322">
        <v>111.2615125184963</v>
      </c>
      <c r="AF78" s="322">
        <v>201.86800219880121</v>
      </c>
      <c r="AG78" s="322">
        <v>137.17910737544511</v>
      </c>
      <c r="AH78" s="322">
        <v>196.91078091441631</v>
      </c>
      <c r="AI78" s="322">
        <v>237.67044161449323</v>
      </c>
      <c r="AJ78" s="322">
        <v>227.2345971978867</v>
      </c>
      <c r="AK78" s="322">
        <v>198.34290417083719</v>
      </c>
      <c r="AL78" s="322">
        <v>135.04176193814365</v>
      </c>
      <c r="AM78" s="322">
        <v>137.23850436009502</v>
      </c>
      <c r="AN78" s="322">
        <v>88.626338616167985</v>
      </c>
      <c r="AO78" s="322">
        <v>103.89541104120202</v>
      </c>
      <c r="AP78" s="322">
        <v>119.05070492785465</v>
      </c>
      <c r="AQ78" s="322">
        <v>140.83837503295891</v>
      </c>
      <c r="AR78" s="322">
        <v>180.69392209745371</v>
      </c>
      <c r="AS78" s="322">
        <v>197.66818438245897</v>
      </c>
      <c r="AT78" s="322">
        <v>197.11276200457067</v>
      </c>
      <c r="AU78" s="322">
        <v>194.78592872701518</v>
      </c>
      <c r="AV78" s="322">
        <v>213.31818688199064</v>
      </c>
      <c r="AW78" s="322">
        <v>104.72620587891524</v>
      </c>
      <c r="AX78" s="322">
        <v>232.96093016539308</v>
      </c>
      <c r="AY78" s="322">
        <v>45.430284918995127</v>
      </c>
    </row>
    <row r="79" spans="1:51" s="301" customFormat="1" x14ac:dyDescent="0.25">
      <c r="A79" s="132">
        <v>159</v>
      </c>
      <c r="B79" s="342" t="s">
        <v>352</v>
      </c>
      <c r="C79" s="143" t="s">
        <v>351</v>
      </c>
      <c r="D79" s="324">
        <v>25.023254231372704</v>
      </c>
      <c r="E79" s="324">
        <v>46.189504543420817</v>
      </c>
      <c r="F79" s="324">
        <v>24.278986338183834</v>
      </c>
      <c r="G79" s="324">
        <v>22.924465783135243</v>
      </c>
      <c r="H79" s="324">
        <v>35.917624507233192</v>
      </c>
      <c r="I79" s="324">
        <v>31.662886924099947</v>
      </c>
      <c r="J79" s="324">
        <v>30.065461762254298</v>
      </c>
      <c r="K79" s="324">
        <v>43.749824786037777</v>
      </c>
      <c r="L79" s="324">
        <v>42.100583935990329</v>
      </c>
      <c r="M79" s="324">
        <v>38.707414281049644</v>
      </c>
      <c r="N79" s="324">
        <v>37.674097068106995</v>
      </c>
      <c r="O79" s="324">
        <v>19.783991017491971</v>
      </c>
      <c r="P79" s="324">
        <v>26.596522160636564</v>
      </c>
      <c r="Q79" s="324">
        <v>24.441165456553286</v>
      </c>
      <c r="R79" s="324">
        <v>27.303989851725397</v>
      </c>
      <c r="S79" s="324">
        <v>44.20087803127155</v>
      </c>
      <c r="T79" s="324">
        <v>0</v>
      </c>
      <c r="U79" s="324">
        <v>0</v>
      </c>
      <c r="V79" s="324">
        <v>0</v>
      </c>
      <c r="W79" s="324">
        <v>0</v>
      </c>
      <c r="X79" s="324">
        <v>0</v>
      </c>
      <c r="Y79" s="324">
        <v>0</v>
      </c>
      <c r="Z79" s="324">
        <v>0</v>
      </c>
      <c r="AA79" s="324">
        <v>0</v>
      </c>
      <c r="AB79" s="322">
        <v>0</v>
      </c>
      <c r="AC79" s="322">
        <v>0</v>
      </c>
      <c r="AD79" s="322">
        <v>0</v>
      </c>
      <c r="AE79" s="322">
        <v>0</v>
      </c>
      <c r="AF79" s="322">
        <v>0</v>
      </c>
      <c r="AG79" s="322">
        <v>0</v>
      </c>
      <c r="AH79" s="322">
        <v>0</v>
      </c>
      <c r="AI79" s="322">
        <v>0</v>
      </c>
      <c r="AJ79" s="322">
        <v>0</v>
      </c>
      <c r="AK79" s="322">
        <v>0</v>
      </c>
      <c r="AL79" s="322">
        <v>0</v>
      </c>
      <c r="AM79" s="322">
        <v>0</v>
      </c>
      <c r="AN79" s="322">
        <v>0</v>
      </c>
      <c r="AO79" s="322">
        <v>0</v>
      </c>
      <c r="AP79" s="322">
        <v>0</v>
      </c>
      <c r="AQ79" s="322">
        <v>0</v>
      </c>
      <c r="AR79" s="322">
        <v>0</v>
      </c>
      <c r="AS79" s="322">
        <v>0</v>
      </c>
      <c r="AT79" s="322">
        <v>0</v>
      </c>
      <c r="AU79" s="322">
        <v>0</v>
      </c>
      <c r="AV79" s="322">
        <v>0</v>
      </c>
      <c r="AW79" s="322">
        <v>0</v>
      </c>
      <c r="AX79" s="322">
        <v>0</v>
      </c>
      <c r="AY79" s="322">
        <v>0</v>
      </c>
    </row>
    <row r="80" spans="1:51" s="301" customFormat="1" x14ac:dyDescent="0.25">
      <c r="A80" s="132">
        <v>99.1</v>
      </c>
      <c r="B80" s="132" t="s">
        <v>240</v>
      </c>
      <c r="C80" s="1" t="s">
        <v>239</v>
      </c>
      <c r="D80" s="324">
        <v>117.42820720429347</v>
      </c>
      <c r="E80" s="324">
        <v>260.87774948117936</v>
      </c>
      <c r="F80" s="324">
        <v>114.63689536372816</v>
      </c>
      <c r="G80" s="324">
        <v>123.92464917492676</v>
      </c>
      <c r="H80" s="324">
        <v>193.86345937218249</v>
      </c>
      <c r="I80" s="324">
        <v>166.98774405553033</v>
      </c>
      <c r="J80" s="324">
        <v>158.28985829469642</v>
      </c>
      <c r="K80" s="324">
        <v>247.73860436157742</v>
      </c>
      <c r="L80" s="324">
        <v>237.61265572513193</v>
      </c>
      <c r="M80" s="324">
        <v>213.6912140207987</v>
      </c>
      <c r="N80" s="324">
        <v>205.55062952414698</v>
      </c>
      <c r="O80" s="324">
        <v>83.817069159571105</v>
      </c>
      <c r="P80" s="324">
        <v>129.63129872671314</v>
      </c>
      <c r="Q80" s="324">
        <v>115.63626239199566</v>
      </c>
      <c r="R80" s="324">
        <v>135.52167206545437</v>
      </c>
      <c r="S80" s="324">
        <v>249.33420654518537</v>
      </c>
      <c r="T80" s="324">
        <v>153.82297334215889</v>
      </c>
      <c r="U80" s="324">
        <v>167.96602833129404</v>
      </c>
      <c r="V80" s="324">
        <v>217.60917022072962</v>
      </c>
      <c r="W80" s="324">
        <v>196.41777830421083</v>
      </c>
      <c r="X80" s="324">
        <v>257.79683805435792</v>
      </c>
      <c r="Y80" s="324">
        <v>230.12959362736763</v>
      </c>
      <c r="Z80" s="324">
        <v>209.44945879875436</v>
      </c>
      <c r="AA80" s="324">
        <v>129.51883310599095</v>
      </c>
      <c r="AB80" s="322">
        <v>135.53302985755442</v>
      </c>
      <c r="AC80" s="322">
        <v>188.82613897547094</v>
      </c>
      <c r="AD80" s="322">
        <v>122.87216375512901</v>
      </c>
      <c r="AE80" s="322">
        <v>79.246387067934293</v>
      </c>
      <c r="AF80" s="322">
        <v>156.04166458074721</v>
      </c>
      <c r="AG80" s="322">
        <v>104.92862515474913</v>
      </c>
      <c r="AH80" s="322">
        <v>154.31158375214224</v>
      </c>
      <c r="AI80" s="322">
        <v>187.03882018685059</v>
      </c>
      <c r="AJ80" s="322">
        <v>181.30874684616433</v>
      </c>
      <c r="AK80" s="322">
        <v>151.19408384940976</v>
      </c>
      <c r="AL80" s="322">
        <v>93.924621991092181</v>
      </c>
      <c r="AM80" s="322">
        <v>96.511171369386219</v>
      </c>
      <c r="AN80" s="322">
        <v>54.688836552585705</v>
      </c>
      <c r="AO80" s="322">
        <v>70.490799731760561</v>
      </c>
      <c r="AP80" s="322">
        <v>83.141442709026663</v>
      </c>
      <c r="AQ80" s="322">
        <v>103.91513251585896</v>
      </c>
      <c r="AR80" s="322">
        <v>136.07556993993771</v>
      </c>
      <c r="AS80" s="322">
        <v>155.97239209368135</v>
      </c>
      <c r="AT80" s="322">
        <v>149.31506994294409</v>
      </c>
      <c r="AU80" s="322">
        <v>141.39568321805621</v>
      </c>
      <c r="AV80" s="322">
        <v>162.92294458229406</v>
      </c>
      <c r="AW80" s="322">
        <v>65.694049486156914</v>
      </c>
      <c r="AX80" s="322">
        <v>179.08687464117605</v>
      </c>
      <c r="AY80" s="322">
        <v>17.378591906159794</v>
      </c>
    </row>
    <row r="81" spans="1:51" s="301" customFormat="1" x14ac:dyDescent="0.25">
      <c r="A81" s="132">
        <v>105</v>
      </c>
      <c r="B81" s="132" t="s">
        <v>253</v>
      </c>
      <c r="C81" s="143" t="s">
        <v>252</v>
      </c>
      <c r="D81" s="324">
        <v>66.962603550699939</v>
      </c>
      <c r="E81" s="324">
        <v>147.75595995556483</v>
      </c>
      <c r="F81" s="324">
        <v>64.901529192465944</v>
      </c>
      <c r="G81" s="324">
        <v>69.769083395703348</v>
      </c>
      <c r="H81" s="324">
        <v>108.5297622699747</v>
      </c>
      <c r="I81" s="324">
        <v>92.815044076622996</v>
      </c>
      <c r="J81" s="324">
        <v>87.142841850584574</v>
      </c>
      <c r="K81" s="324">
        <v>137.77005239241373</v>
      </c>
      <c r="L81" s="324">
        <v>131.93902364030293</v>
      </c>
      <c r="M81" s="324">
        <v>119.24017519094444</v>
      </c>
      <c r="N81" s="324">
        <v>115.74567235948027</v>
      </c>
      <c r="O81" s="324">
        <v>48.081304889944889</v>
      </c>
      <c r="P81" s="324">
        <v>73.795279405372526</v>
      </c>
      <c r="Q81" s="324">
        <v>66.063056734967688</v>
      </c>
      <c r="R81" s="324">
        <v>76.642855669882124</v>
      </c>
      <c r="S81" s="324">
        <v>140.34690544490019</v>
      </c>
      <c r="T81" s="324">
        <v>86.020879268837419</v>
      </c>
      <c r="U81" s="324">
        <v>93.393105640360048</v>
      </c>
      <c r="V81" s="324">
        <v>120.56820249659107</v>
      </c>
      <c r="W81" s="324">
        <v>108.95194672116496</v>
      </c>
      <c r="X81" s="324">
        <v>143.33552952720649</v>
      </c>
      <c r="Y81" s="324">
        <v>128.50530783561507</v>
      </c>
      <c r="Z81" s="324">
        <v>117.93798871696033</v>
      </c>
      <c r="AA81" s="324">
        <v>73.740797125182965</v>
      </c>
      <c r="AB81" s="322">
        <v>77.098892564282622</v>
      </c>
      <c r="AC81" s="322">
        <v>107.22426660895594</v>
      </c>
      <c r="AD81" s="322">
        <v>69.510370363916294</v>
      </c>
      <c r="AE81" s="322">
        <v>44.667266510664831</v>
      </c>
      <c r="AF81" s="322">
        <v>87.275881192851912</v>
      </c>
      <c r="AG81" s="322">
        <v>57.980492428710065</v>
      </c>
      <c r="AH81" s="322">
        <v>84.976190162628228</v>
      </c>
      <c r="AI81" s="322">
        <v>103.69660743611155</v>
      </c>
      <c r="AJ81" s="322">
        <v>100.35571834009188</v>
      </c>
      <c r="AK81" s="322">
        <v>84.128780286607338</v>
      </c>
      <c r="AL81" s="322">
        <v>52.952711455949583</v>
      </c>
      <c r="AM81" s="322">
        <v>55.189931097938029</v>
      </c>
      <c r="AN81" s="322">
        <v>31.633749756692165</v>
      </c>
      <c r="AO81" s="322">
        <v>40.657264588096616</v>
      </c>
      <c r="AP81" s="322">
        <v>47.177285933321656</v>
      </c>
      <c r="AQ81" s="322">
        <v>58.548906774063404</v>
      </c>
      <c r="AR81" s="322">
        <v>76.005296754044679</v>
      </c>
      <c r="AS81" s="322">
        <v>86.579741170739027</v>
      </c>
      <c r="AT81" s="322">
        <v>81.607904137772906</v>
      </c>
      <c r="AU81" s="322">
        <v>77.378737550871918</v>
      </c>
      <c r="AV81" s="322">
        <v>89.384553846625408</v>
      </c>
      <c r="AW81" s="322">
        <v>35.858394701028459</v>
      </c>
      <c r="AX81" s="322">
        <v>100.85640114865494</v>
      </c>
      <c r="AY81" s="322">
        <v>10.650156441302878</v>
      </c>
    </row>
    <row r="82" spans="1:51" s="301" customFormat="1" x14ac:dyDescent="0.25">
      <c r="A82" s="132">
        <v>6</v>
      </c>
      <c r="B82" s="342" t="s">
        <v>30</v>
      </c>
      <c r="C82" s="143" t="s">
        <v>29</v>
      </c>
      <c r="D82" s="324">
        <v>0</v>
      </c>
      <c r="E82" s="324">
        <v>0</v>
      </c>
      <c r="F82" s="324">
        <v>0</v>
      </c>
      <c r="G82" s="324">
        <v>0</v>
      </c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>
        <v>0</v>
      </c>
      <c r="U82" s="324">
        <v>0</v>
      </c>
      <c r="V82" s="324">
        <v>0</v>
      </c>
      <c r="W82" s="324">
        <v>0</v>
      </c>
      <c r="X82" s="324">
        <v>0</v>
      </c>
      <c r="Y82" s="324">
        <v>0</v>
      </c>
      <c r="Z82" s="324">
        <v>0</v>
      </c>
      <c r="AA82" s="324">
        <v>0</v>
      </c>
      <c r="AB82" s="143">
        <v>0</v>
      </c>
      <c r="AC82" s="322">
        <v>0</v>
      </c>
      <c r="AD82" s="322">
        <v>0</v>
      </c>
      <c r="AE82" s="322">
        <v>0</v>
      </c>
      <c r="AF82" s="322">
        <v>0</v>
      </c>
      <c r="AG82" s="322">
        <v>0</v>
      </c>
      <c r="AH82" s="322">
        <v>0</v>
      </c>
      <c r="AI82" s="322">
        <v>0</v>
      </c>
      <c r="AJ82" s="322">
        <v>0</v>
      </c>
      <c r="AK82" s="322">
        <v>0</v>
      </c>
      <c r="AL82" s="322">
        <v>0</v>
      </c>
      <c r="AM82" s="322">
        <v>0</v>
      </c>
      <c r="AN82" s="322">
        <v>0</v>
      </c>
      <c r="AO82" s="322">
        <v>0</v>
      </c>
      <c r="AP82" s="322">
        <v>0</v>
      </c>
      <c r="AQ82" s="322">
        <v>0</v>
      </c>
      <c r="AR82" s="322">
        <v>0</v>
      </c>
      <c r="AS82" s="322">
        <v>0</v>
      </c>
      <c r="AT82" s="322">
        <v>0</v>
      </c>
      <c r="AU82" s="322">
        <v>0</v>
      </c>
      <c r="AV82" s="322">
        <v>0</v>
      </c>
      <c r="AW82" s="322">
        <v>0</v>
      </c>
      <c r="AX82" s="322">
        <v>0</v>
      </c>
      <c r="AY82" s="322">
        <v>0</v>
      </c>
    </row>
    <row r="83" spans="1:51" s="301" customFormat="1" x14ac:dyDescent="0.25">
      <c r="A83" s="132">
        <v>506</v>
      </c>
      <c r="B83" s="342" t="s">
        <v>597</v>
      </c>
      <c r="C83" s="143" t="s">
        <v>3705</v>
      </c>
      <c r="D83" s="324">
        <v>0</v>
      </c>
      <c r="E83" s="324">
        <v>0</v>
      </c>
      <c r="F83" s="324">
        <v>0</v>
      </c>
      <c r="G83" s="324">
        <v>0</v>
      </c>
      <c r="H83" s="324">
        <v>0</v>
      </c>
      <c r="I83" s="324">
        <v>0</v>
      </c>
      <c r="J83" s="324">
        <v>0</v>
      </c>
      <c r="K83" s="324">
        <v>0</v>
      </c>
      <c r="L83" s="324">
        <v>0</v>
      </c>
      <c r="M83" s="324">
        <v>0</v>
      </c>
      <c r="N83" s="324">
        <v>0</v>
      </c>
      <c r="O83" s="324">
        <v>0</v>
      </c>
      <c r="P83" s="324">
        <v>0</v>
      </c>
      <c r="Q83" s="324">
        <v>0</v>
      </c>
      <c r="R83" s="324">
        <v>0</v>
      </c>
      <c r="S83" s="324">
        <v>0</v>
      </c>
      <c r="T83" s="324">
        <v>0</v>
      </c>
      <c r="U83" s="324">
        <v>0</v>
      </c>
      <c r="V83" s="324">
        <v>0</v>
      </c>
      <c r="W83" s="324">
        <v>0</v>
      </c>
      <c r="X83" s="324">
        <v>0</v>
      </c>
      <c r="Y83" s="324">
        <v>0</v>
      </c>
      <c r="Z83" s="324">
        <v>0</v>
      </c>
      <c r="AA83" s="324">
        <v>0</v>
      </c>
      <c r="AB83" s="322">
        <v>0</v>
      </c>
      <c r="AC83" s="322">
        <v>0</v>
      </c>
      <c r="AD83" s="322">
        <v>0</v>
      </c>
      <c r="AE83" s="322">
        <v>0</v>
      </c>
      <c r="AF83" s="322">
        <v>0</v>
      </c>
      <c r="AG83" s="322">
        <v>0</v>
      </c>
      <c r="AH83" s="322">
        <v>0</v>
      </c>
      <c r="AI83" s="322">
        <v>0</v>
      </c>
      <c r="AJ83" s="322">
        <v>0</v>
      </c>
      <c r="AK83" s="322">
        <v>0</v>
      </c>
      <c r="AL83" s="322">
        <v>0</v>
      </c>
      <c r="AM83" s="322">
        <v>0</v>
      </c>
      <c r="AN83" s="322">
        <v>0</v>
      </c>
      <c r="AO83" s="322">
        <v>0</v>
      </c>
      <c r="AP83" s="322">
        <v>0</v>
      </c>
      <c r="AQ83" s="322">
        <v>0</v>
      </c>
      <c r="AR83" s="322">
        <v>0</v>
      </c>
      <c r="AS83" s="322">
        <v>0</v>
      </c>
      <c r="AT83" s="322">
        <v>0</v>
      </c>
      <c r="AU83" s="322">
        <v>0</v>
      </c>
      <c r="AV83" s="322">
        <v>0</v>
      </c>
      <c r="AW83" s="322">
        <v>0</v>
      </c>
      <c r="AX83" s="322">
        <v>0</v>
      </c>
      <c r="AY83" s="322">
        <v>0</v>
      </c>
    </row>
    <row r="84" spans="1:51" s="301" customFormat="1" x14ac:dyDescent="0.25">
      <c r="A84" s="132">
        <v>167</v>
      </c>
      <c r="B84" s="342" t="s">
        <v>369</v>
      </c>
      <c r="C84" s="143" t="s">
        <v>368</v>
      </c>
      <c r="D84" s="324">
        <v>15.044150830458936</v>
      </c>
      <c r="E84" s="324">
        <v>31.113191712552869</v>
      </c>
      <c r="F84" s="324">
        <v>14.583876163359317</v>
      </c>
      <c r="G84" s="324">
        <v>14.948017259607054</v>
      </c>
      <c r="H84" s="324">
        <v>23.31296260042021</v>
      </c>
      <c r="I84" s="324">
        <v>20.152087769425268</v>
      </c>
      <c r="J84" s="324">
        <v>18.998715921476681</v>
      </c>
      <c r="K84" s="324">
        <v>29.170312294667081</v>
      </c>
      <c r="L84" s="324">
        <v>27.978257188259935</v>
      </c>
      <c r="M84" s="324">
        <v>25.438041664383025</v>
      </c>
      <c r="N84" s="324">
        <v>24.716635453618153</v>
      </c>
      <c r="O84" s="324">
        <v>11.221057589846879</v>
      </c>
      <c r="P84" s="324">
        <v>16.353351543129577</v>
      </c>
      <c r="Q84" s="324">
        <v>14.782995325227377</v>
      </c>
      <c r="R84" s="324">
        <v>16.907757111168475</v>
      </c>
      <c r="S84" s="324">
        <v>29.628806323376228</v>
      </c>
      <c r="T84" s="324">
        <v>0</v>
      </c>
      <c r="U84" s="324">
        <v>0</v>
      </c>
      <c r="V84" s="324">
        <v>0</v>
      </c>
      <c r="W84" s="324">
        <v>0</v>
      </c>
      <c r="X84" s="324">
        <v>0</v>
      </c>
      <c r="Y84" s="324">
        <v>0</v>
      </c>
      <c r="Z84" s="324">
        <v>0</v>
      </c>
      <c r="AA84" s="324">
        <v>0</v>
      </c>
      <c r="AB84" s="322">
        <v>0</v>
      </c>
      <c r="AC84" s="322">
        <v>0</v>
      </c>
      <c r="AD84" s="322">
        <v>0</v>
      </c>
      <c r="AE84" s="322">
        <v>0</v>
      </c>
      <c r="AF84" s="322">
        <v>0</v>
      </c>
      <c r="AG84" s="322">
        <v>0</v>
      </c>
      <c r="AH84" s="322">
        <v>0</v>
      </c>
      <c r="AI84" s="322">
        <v>0</v>
      </c>
      <c r="AJ84" s="322">
        <v>0</v>
      </c>
      <c r="AK84" s="322">
        <v>0</v>
      </c>
      <c r="AL84" s="322">
        <v>0</v>
      </c>
      <c r="AM84" s="322">
        <v>0</v>
      </c>
      <c r="AN84" s="322">
        <v>0</v>
      </c>
      <c r="AO84" s="322">
        <v>0</v>
      </c>
      <c r="AP84" s="322">
        <v>0</v>
      </c>
      <c r="AQ84" s="322">
        <v>0</v>
      </c>
      <c r="AR84" s="322">
        <v>0</v>
      </c>
      <c r="AS84" s="322">
        <v>0</v>
      </c>
      <c r="AT84" s="322">
        <v>0</v>
      </c>
      <c r="AU84" s="322">
        <v>0</v>
      </c>
      <c r="AV84" s="322">
        <v>0</v>
      </c>
      <c r="AW84" s="322">
        <v>0</v>
      </c>
      <c r="AX84" s="322">
        <v>0</v>
      </c>
      <c r="AY84" s="322">
        <v>0</v>
      </c>
    </row>
    <row r="85" spans="1:51" s="301" customFormat="1" x14ac:dyDescent="0.25">
      <c r="A85" s="132">
        <v>277</v>
      </c>
      <c r="B85" s="132" t="s">
        <v>509</v>
      </c>
      <c r="C85" s="102" t="s">
        <v>3682</v>
      </c>
      <c r="D85" s="324">
        <v>960.44142601082831</v>
      </c>
      <c r="E85" s="324">
        <v>843.31991074662756</v>
      </c>
      <c r="F85" s="324">
        <v>978.51733977790445</v>
      </c>
      <c r="G85" s="324">
        <v>376.31649491934945</v>
      </c>
      <c r="H85" s="324">
        <v>236.25576742556791</v>
      </c>
      <c r="I85" s="324">
        <v>277.76997130563649</v>
      </c>
      <c r="J85" s="324">
        <v>627.11450855461908</v>
      </c>
      <c r="K85" s="324">
        <v>989.68694502546987</v>
      </c>
      <c r="L85" s="324">
        <v>1092.9634990941815</v>
      </c>
      <c r="M85" s="324">
        <v>938.30268687143189</v>
      </c>
      <c r="N85" s="324">
        <v>540.55775983083549</v>
      </c>
      <c r="O85" s="324">
        <v>990.9907333049083</v>
      </c>
      <c r="P85" s="324">
        <v>1003.6864098485385</v>
      </c>
      <c r="Q85" s="324">
        <v>968.11299676746432</v>
      </c>
      <c r="R85" s="324">
        <v>1137.5674926807596</v>
      </c>
      <c r="S85" s="324">
        <v>450.70031213976841</v>
      </c>
      <c r="T85" s="324">
        <v>454.06488994919579</v>
      </c>
      <c r="U85" s="324">
        <v>478.95292644137771</v>
      </c>
      <c r="V85" s="324">
        <v>222.12477632338377</v>
      </c>
      <c r="W85" s="324">
        <v>499.87906462172856</v>
      </c>
      <c r="X85" s="324">
        <v>1043.6413372084687</v>
      </c>
      <c r="Y85" s="324">
        <v>1066.3290817023517</v>
      </c>
      <c r="Z85" s="324">
        <v>977.59258040480336</v>
      </c>
      <c r="AA85" s="324">
        <v>716.53398955265163</v>
      </c>
      <c r="AB85" s="322">
        <v>640.39512145253229</v>
      </c>
      <c r="AC85" s="322">
        <v>1085.0866072605766</v>
      </c>
      <c r="AD85" s="322">
        <v>633.73202179197017</v>
      </c>
      <c r="AE85" s="322">
        <v>231.10590550529071</v>
      </c>
      <c r="AF85" s="322">
        <v>236.07736839596055</v>
      </c>
      <c r="AG85" s="322">
        <v>254.63677923107832</v>
      </c>
      <c r="AH85" s="322">
        <v>296.42106410272288</v>
      </c>
      <c r="AI85" s="322">
        <v>258.43806307426024</v>
      </c>
      <c r="AJ85" s="322">
        <v>244.13748259909096</v>
      </c>
      <c r="AK85" s="322">
        <v>209.28830358552324</v>
      </c>
      <c r="AL85" s="322">
        <v>227.96306128566187</v>
      </c>
      <c r="AM85" s="322">
        <v>227.76596550792445</v>
      </c>
      <c r="AN85" s="322">
        <v>232.71975282236244</v>
      </c>
      <c r="AO85" s="322">
        <v>221.21188408450206</v>
      </c>
      <c r="AP85" s="322">
        <v>225.92966296428753</v>
      </c>
      <c r="AQ85" s="322">
        <v>237.07879435269356</v>
      </c>
      <c r="AR85" s="322">
        <v>259.8029563006624</v>
      </c>
      <c r="AS85" s="322">
        <v>241.60697940715119</v>
      </c>
      <c r="AT85" s="322">
        <v>289.36991586412836</v>
      </c>
      <c r="AU85" s="322">
        <v>607.61946303297827</v>
      </c>
      <c r="AV85" s="322">
        <v>1039.3334981572364</v>
      </c>
      <c r="AW85" s="322">
        <v>975.3510637362898</v>
      </c>
      <c r="AX85" s="322">
        <v>888.38807514134635</v>
      </c>
      <c r="AY85" s="322">
        <v>585.96331127520352</v>
      </c>
    </row>
    <row r="86" spans="1:51" s="301" customFormat="1" x14ac:dyDescent="0.25">
      <c r="A86" s="132">
        <v>277.10000000000002</v>
      </c>
      <c r="B86" s="132" t="s">
        <v>512</v>
      </c>
      <c r="C86" s="134" t="s">
        <v>511</v>
      </c>
      <c r="D86" s="324">
        <v>84.114988820056553</v>
      </c>
      <c r="E86" s="324">
        <v>72.608288770053477</v>
      </c>
      <c r="F86" s="324">
        <v>86.818181818181813</v>
      </c>
      <c r="G86" s="324">
        <v>28.378342245989305</v>
      </c>
      <c r="H86" s="324">
        <v>4.213903743315508</v>
      </c>
      <c r="I86" s="324">
        <v>9.5227272727272734</v>
      </c>
      <c r="J86" s="324">
        <v>48.010695187165773</v>
      </c>
      <c r="K86" s="324">
        <v>87.534759358288767</v>
      </c>
      <c r="L86" s="324">
        <v>99.639037433155082</v>
      </c>
      <c r="M86" s="324">
        <v>81.903743315508024</v>
      </c>
      <c r="N86" s="324">
        <v>38.014705882352942</v>
      </c>
      <c r="O86" s="324">
        <v>88.024064171123001</v>
      </c>
      <c r="P86" s="324">
        <v>89.704545454545453</v>
      </c>
      <c r="Q86" s="324">
        <v>86.360962566844918</v>
      </c>
      <c r="R86" s="324">
        <v>104.82352941176471</v>
      </c>
      <c r="S86" s="324">
        <v>29.005347593582886</v>
      </c>
      <c r="T86" s="324">
        <v>29.005347593582886</v>
      </c>
      <c r="U86" s="324">
        <v>32.407754010695186</v>
      </c>
      <c r="V86" s="324">
        <v>3.677807486631016</v>
      </c>
      <c r="W86" s="324">
        <v>33.81818181818182</v>
      </c>
      <c r="X86" s="324">
        <v>94.703208556149733</v>
      </c>
      <c r="Y86" s="324">
        <v>96.560160427807489</v>
      </c>
      <c r="Z86" s="324">
        <v>86.712566844919792</v>
      </c>
      <c r="AA86" s="324">
        <v>58.657754010695186</v>
      </c>
      <c r="AB86" s="322">
        <v>49.739304812834227</v>
      </c>
      <c r="AC86" s="322">
        <v>99.526737967914443</v>
      </c>
      <c r="AD86" s="322">
        <v>49.739304812834227</v>
      </c>
      <c r="AE86" s="322">
        <v>5.7513368983957216</v>
      </c>
      <c r="AF86" s="322">
        <v>5.0815508021390379</v>
      </c>
      <c r="AG86" s="322">
        <v>8.3622994652406408</v>
      </c>
      <c r="AH86" s="322">
        <v>12.080213903743315</v>
      </c>
      <c r="AI86" s="322">
        <v>7.2794117647058822</v>
      </c>
      <c r="AJ86" s="322">
        <v>6.4371657754010698</v>
      </c>
      <c r="AK86" s="322">
        <v>1.9077540106951871</v>
      </c>
      <c r="AL86" s="322">
        <v>3.8770053475935828</v>
      </c>
      <c r="AM86" s="322">
        <v>3.9732620320855614</v>
      </c>
      <c r="AN86" s="322">
        <v>4.2005347593582885</v>
      </c>
      <c r="AO86" s="322">
        <v>3.6109625668449197</v>
      </c>
      <c r="AP86" s="322">
        <v>3.6189839572192515</v>
      </c>
      <c r="AQ86" s="322">
        <v>5.2192513368983962</v>
      </c>
      <c r="AR86" s="322">
        <v>6.0320855614973263</v>
      </c>
      <c r="AS86" s="322">
        <v>4.7553475935828873</v>
      </c>
      <c r="AT86" s="322">
        <v>4.9197860962566846</v>
      </c>
      <c r="AU86" s="322">
        <v>36.957219251336902</v>
      </c>
      <c r="AV86" s="322">
        <v>86.808823529411768</v>
      </c>
      <c r="AW86" s="322">
        <v>82.918449197860966</v>
      </c>
      <c r="AX86" s="322">
        <v>77.271390374331546</v>
      </c>
      <c r="AY86" s="322">
        <v>44.427807486631018</v>
      </c>
    </row>
    <row r="87" spans="1:51" s="301" customFormat="1" x14ac:dyDescent="0.25">
      <c r="A87" s="62">
        <v>357</v>
      </c>
      <c r="B87" s="327" t="s">
        <v>582</v>
      </c>
      <c r="C87" s="33" t="s">
        <v>3704</v>
      </c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4">
        <v>0</v>
      </c>
      <c r="U87" s="324">
        <v>0</v>
      </c>
      <c r="V87" s="324">
        <v>0</v>
      </c>
      <c r="W87" s="324">
        <v>0</v>
      </c>
      <c r="X87" s="324">
        <v>0</v>
      </c>
      <c r="Y87" s="324">
        <v>0</v>
      </c>
      <c r="Z87" s="324">
        <v>37.85096256684492</v>
      </c>
      <c r="AA87" s="324">
        <v>16.698502673796792</v>
      </c>
      <c r="AB87" s="322">
        <v>11.066590909090909</v>
      </c>
      <c r="AC87" s="322">
        <v>11.066590909090909</v>
      </c>
      <c r="AD87" s="322">
        <v>5.5240775401069522</v>
      </c>
      <c r="AE87" s="322">
        <v>0</v>
      </c>
      <c r="AF87" s="322">
        <v>0</v>
      </c>
      <c r="AG87" s="322">
        <v>1.5283526252297794</v>
      </c>
      <c r="AH87" s="322">
        <v>2.482342725131601</v>
      </c>
      <c r="AI87" s="322">
        <v>3.3231470588235292</v>
      </c>
      <c r="AJ87" s="322">
        <v>2.9144385026737969</v>
      </c>
      <c r="AK87" s="322">
        <v>8.0213903743315509</v>
      </c>
      <c r="AL87" s="322">
        <v>4.5063990867031185</v>
      </c>
      <c r="AM87" s="322">
        <v>4.6566123895932225</v>
      </c>
      <c r="AN87" s="322">
        <v>4.6566123895932225</v>
      </c>
      <c r="AO87" s="322">
        <v>4.2059724809229104</v>
      </c>
      <c r="AP87" s="322">
        <v>4.6566123895932225</v>
      </c>
      <c r="AQ87" s="322">
        <v>4.5063990867031185</v>
      </c>
      <c r="AR87" s="321">
        <f t="shared" ref="AR87:AY87" si="2">AVERAGE(AM87:AQ87)</f>
        <v>4.53644174728114</v>
      </c>
      <c r="AS87" s="321">
        <f t="shared" si="2"/>
        <v>4.512407618818723</v>
      </c>
      <c r="AT87" s="321">
        <f t="shared" si="2"/>
        <v>4.4835666646638241</v>
      </c>
      <c r="AU87" s="321">
        <f t="shared" si="2"/>
        <v>4.5390855014120053</v>
      </c>
      <c r="AV87" s="321">
        <f t="shared" si="2"/>
        <v>4.5155801237757611</v>
      </c>
      <c r="AW87" s="321">
        <f t="shared" si="2"/>
        <v>4.5174163311902902</v>
      </c>
      <c r="AX87" s="321">
        <f t="shared" si="2"/>
        <v>4.5136112479721202</v>
      </c>
      <c r="AY87" s="321">
        <f t="shared" si="2"/>
        <v>4.5138519738028009</v>
      </c>
    </row>
    <row r="88" spans="1:51" s="301" customFormat="1" x14ac:dyDescent="0.25">
      <c r="A88" s="132">
        <v>129</v>
      </c>
      <c r="B88" s="132" t="s">
        <v>303</v>
      </c>
      <c r="C88" s="143" t="s">
        <v>302</v>
      </c>
      <c r="D88" s="324">
        <v>113.0589435898849</v>
      </c>
      <c r="E88" s="324">
        <v>259.63377679160646</v>
      </c>
      <c r="F88" s="324">
        <v>110.40881095360474</v>
      </c>
      <c r="G88" s="324">
        <v>121.44158151702779</v>
      </c>
      <c r="H88" s="324">
        <v>188.28822782205501</v>
      </c>
      <c r="I88" s="324">
        <v>160.95166463546329</v>
      </c>
      <c r="J88" s="324">
        <v>150.6237039946254</v>
      </c>
      <c r="K88" s="324">
        <v>240.54342364015568</v>
      </c>
      <c r="L88" s="324">
        <v>231.28828474625874</v>
      </c>
      <c r="M88" s="324">
        <v>208.09635374333928</v>
      </c>
      <c r="N88" s="324">
        <v>201.71719400618937</v>
      </c>
      <c r="O88" s="324">
        <v>79.221707519268008</v>
      </c>
      <c r="P88" s="324">
        <v>125.61720259634502</v>
      </c>
      <c r="Q88" s="324">
        <v>112.552590179907</v>
      </c>
      <c r="R88" s="324">
        <v>131.64073083797427</v>
      </c>
      <c r="S88" s="324">
        <v>246.12640715367206</v>
      </c>
      <c r="T88" s="324">
        <v>147.96154016960142</v>
      </c>
      <c r="U88" s="324">
        <v>162.14444470409114</v>
      </c>
      <c r="V88" s="324">
        <v>210.98093248268952</v>
      </c>
      <c r="W88" s="324">
        <v>188.90526458233623</v>
      </c>
      <c r="X88" s="324">
        <v>251.95686721546724</v>
      </c>
      <c r="Y88" s="324">
        <v>224.89969749472667</v>
      </c>
      <c r="Z88" s="324">
        <v>205.70496242608922</v>
      </c>
      <c r="AA88" s="324">
        <v>125.78317825997227</v>
      </c>
      <c r="AB88" s="322">
        <v>131.69613214863864</v>
      </c>
      <c r="AC88" s="322">
        <v>186.69337041872603</v>
      </c>
      <c r="AD88" s="322">
        <v>119.06503850008997</v>
      </c>
      <c r="AE88" s="322">
        <v>74.256249073044529</v>
      </c>
      <c r="AF88" s="322">
        <v>150.31577925413282</v>
      </c>
      <c r="AG88" s="322">
        <v>98.653503717717356</v>
      </c>
      <c r="AH88" s="322">
        <v>146.95767337396367</v>
      </c>
      <c r="AI88" s="322">
        <v>179.54121803649477</v>
      </c>
      <c r="AJ88" s="322">
        <v>174.75470937499878</v>
      </c>
      <c r="AK88" s="322">
        <v>145.18989213597911</v>
      </c>
      <c r="AL88" s="322">
        <v>88.868669962290383</v>
      </c>
      <c r="AM88" s="322">
        <v>92.2666125127637</v>
      </c>
      <c r="AN88" s="322">
        <v>49.779012159861466</v>
      </c>
      <c r="AO88" s="322">
        <v>66.893854180759391</v>
      </c>
      <c r="AP88" s="322">
        <v>78.628631288994484</v>
      </c>
      <c r="AQ88" s="322">
        <v>98.874476537733912</v>
      </c>
      <c r="AR88" s="322">
        <v>129.4882825200456</v>
      </c>
      <c r="AS88" s="322">
        <v>149.51340693637479</v>
      </c>
      <c r="AT88" s="322">
        <v>139.06030295379091</v>
      </c>
      <c r="AU88" s="322">
        <v>129.14289482609692</v>
      </c>
      <c r="AV88" s="322">
        <v>152.73551317080893</v>
      </c>
      <c r="AW88" s="322">
        <v>57.102159896530672</v>
      </c>
      <c r="AX88" s="322">
        <v>175.09946658494857</v>
      </c>
      <c r="AY88" s="322">
        <v>12.312190413886986</v>
      </c>
    </row>
    <row r="89" spans="1:51" s="301" customFormat="1" x14ac:dyDescent="0.25">
      <c r="A89" s="132">
        <v>47</v>
      </c>
      <c r="B89" s="132" t="s">
        <v>126</v>
      </c>
      <c r="C89" s="143" t="s">
        <v>125</v>
      </c>
      <c r="D89" s="324">
        <v>16.902508987525568</v>
      </c>
      <c r="E89" s="324">
        <v>36.618236579209515</v>
      </c>
      <c r="F89" s="324">
        <v>16.374443123979717</v>
      </c>
      <c r="G89" s="324">
        <v>17.372955215212428</v>
      </c>
      <c r="H89" s="324">
        <v>27.046811169475077</v>
      </c>
      <c r="I89" s="324">
        <v>23.191634012517845</v>
      </c>
      <c r="J89" s="324">
        <v>21.800101902504537</v>
      </c>
      <c r="K89" s="324">
        <v>34.200909154057065</v>
      </c>
      <c r="L89" s="324">
        <v>32.756547742174483</v>
      </c>
      <c r="M89" s="324">
        <v>29.654735945352094</v>
      </c>
      <c r="N89" s="324">
        <v>28.796181263344266</v>
      </c>
      <c r="O89" s="324">
        <v>12.272591804478134</v>
      </c>
      <c r="P89" s="324">
        <v>18.554185862961354</v>
      </c>
      <c r="Q89" s="324">
        <v>16.651544664601197</v>
      </c>
      <c r="R89" s="324">
        <v>19.236795650576564</v>
      </c>
      <c r="S89" s="324">
        <v>34.806266722924853</v>
      </c>
      <c r="T89" s="324">
        <v>21.530779383955171</v>
      </c>
      <c r="U89" s="324">
        <v>23.320400874805774</v>
      </c>
      <c r="V89" s="324">
        <v>29.955424020483193</v>
      </c>
      <c r="W89" s="324">
        <v>27.139985001543657</v>
      </c>
      <c r="X89" s="324">
        <v>35.529755044288848</v>
      </c>
      <c r="Y89" s="324">
        <v>31.909761423723982</v>
      </c>
      <c r="Z89" s="324">
        <v>29.328923731652235</v>
      </c>
      <c r="AA89" s="324">
        <v>18.518364833979465</v>
      </c>
      <c r="AB89" s="322">
        <v>19.352276157040727</v>
      </c>
      <c r="AC89" s="322">
        <v>26.709173879550647</v>
      </c>
      <c r="AD89" s="322">
        <v>17.472419750282427</v>
      </c>
      <c r="AE89" s="322">
        <v>11.390774671899898</v>
      </c>
      <c r="AF89" s="322">
        <v>21.830584625179576</v>
      </c>
      <c r="AG89" s="322">
        <v>14.64325544459499</v>
      </c>
      <c r="AH89" s="322">
        <v>21.251766341919158</v>
      </c>
      <c r="AI89" s="322">
        <v>25.84862108779582</v>
      </c>
      <c r="AJ89" s="322">
        <v>25.0104340684486</v>
      </c>
      <c r="AK89" s="322">
        <v>21.04913469169275</v>
      </c>
      <c r="AL89" s="322">
        <v>13.433220665330817</v>
      </c>
      <c r="AM89" s="322">
        <v>13.992572824406263</v>
      </c>
      <c r="AN89" s="322">
        <v>8.2442794383171503</v>
      </c>
      <c r="AO89" s="322">
        <v>10.435573201454115</v>
      </c>
      <c r="AP89" s="322">
        <v>12.032040856787491</v>
      </c>
      <c r="AQ89" s="322">
        <v>14.812393787729148</v>
      </c>
      <c r="AR89" s="322">
        <v>19.115123412957114</v>
      </c>
      <c r="AS89" s="322">
        <v>21.685127189796049</v>
      </c>
      <c r="AT89" s="322">
        <v>20.5751184934762</v>
      </c>
      <c r="AU89" s="322">
        <v>19.628332796135176</v>
      </c>
      <c r="AV89" s="322">
        <v>22.513442015802124</v>
      </c>
      <c r="AW89" s="322">
        <v>9.3428979180182363</v>
      </c>
      <c r="AX89" s="322">
        <v>25.142696128886374</v>
      </c>
      <c r="AY89" s="322">
        <v>3.0896728550851842</v>
      </c>
    </row>
    <row r="90" spans="1:51" s="301" customFormat="1" x14ac:dyDescent="0.25">
      <c r="A90" s="132">
        <v>336</v>
      </c>
      <c r="B90" s="132" t="s">
        <v>574</v>
      </c>
      <c r="C90" s="143" t="s">
        <v>573</v>
      </c>
      <c r="D90" s="324">
        <v>128.52901453044706</v>
      </c>
      <c r="E90" s="324">
        <v>155.26704756025802</v>
      </c>
      <c r="F90" s="324">
        <v>138.33556149732621</v>
      </c>
      <c r="G90" s="324">
        <v>73.89497334224599</v>
      </c>
      <c r="H90" s="324">
        <v>71.490641711229941</v>
      </c>
      <c r="I90" s="324">
        <v>88.318275818850267</v>
      </c>
      <c r="J90" s="324">
        <v>111.92236589237967</v>
      </c>
      <c r="K90" s="324">
        <v>147.12566844919786</v>
      </c>
      <c r="L90" s="324">
        <v>155.57486631016042</v>
      </c>
      <c r="M90" s="324">
        <v>123.87700534759358</v>
      </c>
      <c r="N90" s="324">
        <v>40.748663101604279</v>
      </c>
      <c r="O90" s="324">
        <v>90.162486631016037</v>
      </c>
      <c r="P90" s="324">
        <v>110.87566844919786</v>
      </c>
      <c r="Q90" s="324">
        <v>145.81550802139037</v>
      </c>
      <c r="R90" s="324">
        <v>74.745989304812838</v>
      </c>
      <c r="S90" s="324">
        <v>74.746143991235698</v>
      </c>
      <c r="T90" s="324">
        <v>74.745989304812838</v>
      </c>
      <c r="U90" s="324">
        <v>60.855614973262036</v>
      </c>
      <c r="V90" s="324">
        <v>65.655080213903744</v>
      </c>
      <c r="W90" s="324">
        <v>87.633689839572199</v>
      </c>
      <c r="X90" s="324">
        <v>157.03208556149733</v>
      </c>
      <c r="Y90" s="324">
        <v>208.00802139037432</v>
      </c>
      <c r="Z90" s="324">
        <v>123.08155080213903</v>
      </c>
      <c r="AA90" s="324">
        <v>40.748663101604279</v>
      </c>
      <c r="AB90" s="322">
        <v>102.07085561497327</v>
      </c>
      <c r="AC90" s="322">
        <v>114.83551375095493</v>
      </c>
      <c r="AD90" s="322">
        <v>102.07085561497327</v>
      </c>
      <c r="AE90" s="322">
        <v>29.898395721925134</v>
      </c>
      <c r="AF90" s="322">
        <v>74.320239388368989</v>
      </c>
      <c r="AG90" s="322">
        <v>66.173128342245988</v>
      </c>
      <c r="AH90" s="322">
        <v>76.986678016376999</v>
      </c>
      <c r="AI90" s="322">
        <v>49.889013932987964</v>
      </c>
      <c r="AJ90" s="322">
        <v>91.247326203208559</v>
      </c>
      <c r="AK90" s="322">
        <v>130.8898395721925</v>
      </c>
      <c r="AL90" s="322">
        <v>92.609458556149733</v>
      </c>
      <c r="AM90" s="322">
        <v>30.561497326203209</v>
      </c>
      <c r="AN90" s="322">
        <v>67.621844919786085</v>
      </c>
      <c r="AO90" s="322">
        <v>84.64169332505729</v>
      </c>
      <c r="AP90" s="322">
        <v>92.95738636363636</v>
      </c>
      <c r="AQ90" s="322">
        <v>49.706082887700539</v>
      </c>
      <c r="AR90" s="322">
        <v>0</v>
      </c>
      <c r="AS90" s="322">
        <v>0</v>
      </c>
      <c r="AT90" s="322">
        <v>0</v>
      </c>
      <c r="AU90" s="322">
        <v>0</v>
      </c>
      <c r="AV90" s="322">
        <v>0</v>
      </c>
      <c r="AW90" s="322">
        <v>53.475935828877006</v>
      </c>
      <c r="AX90" s="322">
        <v>0</v>
      </c>
      <c r="AY90" s="322">
        <v>0</v>
      </c>
    </row>
    <row r="91" spans="1:51" s="301" customFormat="1" x14ac:dyDescent="0.25">
      <c r="A91" s="132">
        <v>91</v>
      </c>
      <c r="B91" s="132" t="s">
        <v>222</v>
      </c>
      <c r="C91" s="63" t="s">
        <v>221</v>
      </c>
      <c r="D91" s="324">
        <v>45.468042711632194</v>
      </c>
      <c r="E91" s="324">
        <v>76.175330084959086</v>
      </c>
      <c r="F91" s="324">
        <v>43.524775591362861</v>
      </c>
      <c r="G91" s="324">
        <v>38.891732351740437</v>
      </c>
      <c r="H91" s="324">
        <v>61.449167652914952</v>
      </c>
      <c r="I91" s="324">
        <v>54.336510544097493</v>
      </c>
      <c r="J91" s="324">
        <v>52.023226192067064</v>
      </c>
      <c r="K91" s="324">
        <v>73.47933980368218</v>
      </c>
      <c r="L91" s="324">
        <v>70.056510305755552</v>
      </c>
      <c r="M91" s="324">
        <v>65.232037734640542</v>
      </c>
      <c r="N91" s="324">
        <v>63.680080724840565</v>
      </c>
      <c r="O91" s="324">
        <v>37.428648985238489</v>
      </c>
      <c r="P91" s="324">
        <v>47.552553945378335</v>
      </c>
      <c r="Q91" s="324">
        <v>43.589810275518069</v>
      </c>
      <c r="R91" s="324">
        <v>47.954220496811715</v>
      </c>
      <c r="S91" s="324">
        <v>73.367560354149646</v>
      </c>
      <c r="T91" s="324">
        <v>51.962342120927914</v>
      </c>
      <c r="U91" s="324">
        <v>54.139206763473055</v>
      </c>
      <c r="V91" s="324">
        <v>64.865783282398951</v>
      </c>
      <c r="W91" s="324">
        <v>61.373433020079645</v>
      </c>
      <c r="X91" s="324">
        <v>74.18358352705016</v>
      </c>
      <c r="Y91" s="324">
        <v>68.599751435794374</v>
      </c>
      <c r="Z91" s="324">
        <v>64.447865561246147</v>
      </c>
      <c r="AA91" s="324">
        <v>46.762386425157302</v>
      </c>
      <c r="AB91" s="322">
        <v>48.542958564915573</v>
      </c>
      <c r="AC91" s="322">
        <v>59.917746123033048</v>
      </c>
      <c r="AD91" s="322">
        <v>44.381617031342699</v>
      </c>
      <c r="AE91" s="322">
        <v>34.159254719716259</v>
      </c>
      <c r="AF91" s="322">
        <v>52.221213913374484</v>
      </c>
      <c r="AG91" s="322">
        <v>39.265630332016805</v>
      </c>
      <c r="AH91" s="322">
        <v>50.512315322026254</v>
      </c>
      <c r="AI91" s="322">
        <v>59.035408891039069</v>
      </c>
      <c r="AJ91" s="322">
        <v>56.541655157115926</v>
      </c>
      <c r="AK91" s="322">
        <v>50.398546493462327</v>
      </c>
      <c r="AL91" s="322">
        <v>38.093770724085672</v>
      </c>
      <c r="AM91" s="322">
        <v>39.652586471187824</v>
      </c>
      <c r="AN91" s="322">
        <v>30.556544292794353</v>
      </c>
      <c r="AO91" s="322">
        <v>33.234042071852116</v>
      </c>
      <c r="AP91" s="322">
        <v>36.096995992680668</v>
      </c>
      <c r="AQ91" s="322">
        <v>40.68954496316811</v>
      </c>
      <c r="AR91" s="322">
        <v>49.092692645375656</v>
      </c>
      <c r="AS91" s="322">
        <v>52.446650514847043</v>
      </c>
      <c r="AT91" s="322">
        <v>54.216878095172817</v>
      </c>
      <c r="AU91" s="322">
        <v>55.977959017231399</v>
      </c>
      <c r="AV91" s="322">
        <v>58.481296894344922</v>
      </c>
      <c r="AW91" s="322">
        <v>34.312774528805761</v>
      </c>
      <c r="AX91" s="322">
        <v>57.244344819066789</v>
      </c>
      <c r="AY91" s="322">
        <v>21.297169717010835</v>
      </c>
    </row>
    <row r="92" spans="1:51" s="301" customFormat="1" x14ac:dyDescent="0.25">
      <c r="A92" s="132">
        <v>263</v>
      </c>
      <c r="B92" s="132" t="s">
        <v>3025</v>
      </c>
      <c r="C92" s="143" t="s">
        <v>3678</v>
      </c>
      <c r="D92" s="324">
        <v>95.575892225591915</v>
      </c>
      <c r="E92" s="324">
        <v>172.44985089958567</v>
      </c>
      <c r="F92" s="324">
        <v>92.05758405021821</v>
      </c>
      <c r="G92" s="324">
        <v>85.788804265779248</v>
      </c>
      <c r="H92" s="324">
        <v>135.99610405766117</v>
      </c>
      <c r="I92" s="324">
        <v>117.77276752851414</v>
      </c>
      <c r="J92" s="324">
        <v>114.39057089741279</v>
      </c>
      <c r="K92" s="324">
        <v>166.41277813150526</v>
      </c>
      <c r="L92" s="324">
        <v>158.4323623700088</v>
      </c>
      <c r="M92" s="324">
        <v>148.37054210637532</v>
      </c>
      <c r="N92" s="324">
        <v>144.67495151491201</v>
      </c>
      <c r="O92" s="324">
        <v>76.63356513661661</v>
      </c>
      <c r="P92" s="324">
        <v>101.31875305277509</v>
      </c>
      <c r="Q92" s="324">
        <v>91.759081457856283</v>
      </c>
      <c r="R92" s="324">
        <v>103.25178390327832</v>
      </c>
      <c r="S92" s="324">
        <v>165.14829876496478</v>
      </c>
      <c r="T92" s="324">
        <v>112.95795401206313</v>
      </c>
      <c r="U92" s="324">
        <v>117.69894304321357</v>
      </c>
      <c r="V92" s="324">
        <v>146.59788006595031</v>
      </c>
      <c r="W92" s="324">
        <v>136.95053526235148</v>
      </c>
      <c r="X92" s="324">
        <v>169.01241315339794</v>
      </c>
      <c r="Y92" s="324">
        <v>156.95170403040927</v>
      </c>
      <c r="Z92" s="324">
        <v>146.65484502935857</v>
      </c>
      <c r="AA92" s="324">
        <v>100.53724797401412</v>
      </c>
      <c r="AB92" s="322">
        <v>104.06803689285417</v>
      </c>
      <c r="AC92" s="322">
        <v>132.27640270763723</v>
      </c>
      <c r="AD92" s="322">
        <v>95.053866547857581</v>
      </c>
      <c r="AE92" s="322">
        <v>69.048866616026885</v>
      </c>
      <c r="AF92" s="322">
        <v>113.81407720212405</v>
      </c>
      <c r="AG92" s="322">
        <v>81.591901547890188</v>
      </c>
      <c r="AH92" s="322">
        <v>111.18966397910022</v>
      </c>
      <c r="AI92" s="322">
        <v>131.36417636957242</v>
      </c>
      <c r="AJ92" s="322">
        <v>125.75958341130107</v>
      </c>
      <c r="AK92" s="322">
        <v>112.26218631845458</v>
      </c>
      <c r="AL92" s="322">
        <v>41.929494161498475</v>
      </c>
      <c r="AM92" s="322">
        <v>42.225591969320291</v>
      </c>
      <c r="AN92" s="322">
        <v>44.739445816301867</v>
      </c>
      <c r="AO92" s="322">
        <v>43.50956329149907</v>
      </c>
      <c r="AP92" s="322">
        <v>47.01469527891804</v>
      </c>
      <c r="AQ92" s="322">
        <v>45.980595063184786</v>
      </c>
      <c r="AR92" s="322">
        <v>48.017158097762909</v>
      </c>
      <c r="AS92" s="322">
        <v>45.086134629083432</v>
      </c>
      <c r="AT92" s="322">
        <v>59.297026605296985</v>
      </c>
      <c r="AU92" s="322">
        <v>118.98819199960315</v>
      </c>
      <c r="AV92" s="322">
        <v>138.47860283039523</v>
      </c>
      <c r="AW92" s="322">
        <v>132.03989077277936</v>
      </c>
      <c r="AX92" s="322">
        <v>150.99751225533564</v>
      </c>
      <c r="AY92" s="322">
        <v>70.423330695471634</v>
      </c>
    </row>
    <row r="93" spans="1:51" s="301" customFormat="1" x14ac:dyDescent="0.25">
      <c r="A93" s="132">
        <v>263.10000000000002</v>
      </c>
      <c r="B93" s="132" t="s">
        <v>3025</v>
      </c>
      <c r="C93" s="143" t="s">
        <v>3679</v>
      </c>
      <c r="D93" s="324">
        <v>24.630235589263965</v>
      </c>
      <c r="E93" s="324">
        <v>44.440918688624201</v>
      </c>
      <c r="F93" s="324">
        <v>23.723555492252181</v>
      </c>
      <c r="G93" s="324">
        <v>22.108069417756468</v>
      </c>
      <c r="H93" s="324">
        <v>35.046662962413258</v>
      </c>
      <c r="I93" s="324">
        <v>30.350446568472581</v>
      </c>
      <c r="J93" s="324">
        <v>29.478842883762898</v>
      </c>
      <c r="K93" s="324">
        <v>42.885144307817164</v>
      </c>
      <c r="L93" s="324">
        <v>40.828563765079615</v>
      </c>
      <c r="M93" s="324">
        <v>38.235598135575785</v>
      </c>
      <c r="N93" s="324">
        <v>37.283231751233146</v>
      </c>
      <c r="O93" s="324">
        <v>19.748732859379629</v>
      </c>
      <c r="P93" s="324">
        <v>26.110190542716158</v>
      </c>
      <c r="Q93" s="324">
        <v>23.646630349282791</v>
      </c>
      <c r="R93" s="324">
        <v>26.608339230010976</v>
      </c>
      <c r="S93" s="324">
        <v>42.55928363343137</v>
      </c>
      <c r="T93" s="324">
        <v>29.109652593474696</v>
      </c>
      <c r="U93" s="324">
        <v>30.331421745132008</v>
      </c>
      <c r="V93" s="324">
        <v>37.778777041269294</v>
      </c>
      <c r="W93" s="324">
        <v>35.292623160930468</v>
      </c>
      <c r="X93" s="324">
        <v>43.555079178884711</v>
      </c>
      <c r="Y93" s="324">
        <v>40.446993027079429</v>
      </c>
      <c r="Z93" s="324">
        <v>37.793457107930529</v>
      </c>
      <c r="AA93" s="324">
        <v>25.908794000598029</v>
      </c>
      <c r="AB93" s="322">
        <v>26.818690428054101</v>
      </c>
      <c r="AC93" s="322">
        <v>34.088083152804508</v>
      </c>
      <c r="AD93" s="322">
        <v>24.495707779720814</v>
      </c>
      <c r="AE93" s="322">
        <v>17.79413000833091</v>
      </c>
      <c r="AF93" s="322">
        <v>29.330278479078373</v>
      </c>
      <c r="AG93" s="322">
        <v>21.026513177163498</v>
      </c>
      <c r="AH93" s="322">
        <v>28.65395818050262</v>
      </c>
      <c r="AI93" s="322">
        <v>33.852999293328367</v>
      </c>
      <c r="AJ93" s="322">
        <v>32.408676444441689</v>
      </c>
      <c r="AK93" s="322">
        <v>28.930350869892269</v>
      </c>
      <c r="AL93" s="322">
        <v>10.41344221055474</v>
      </c>
      <c r="AM93" s="322">
        <v>10.192633419628828</v>
      </c>
      <c r="AN93" s="322">
        <v>10.254772565729581</v>
      </c>
      <c r="AO93" s="322">
        <v>9.593304309390108</v>
      </c>
      <c r="AP93" s="322">
        <v>9.9453515665510572</v>
      </c>
      <c r="AQ93" s="322">
        <v>9.7036453970375174</v>
      </c>
      <c r="AR93" s="322">
        <v>10.789379298613856</v>
      </c>
      <c r="AS93" s="322">
        <v>9.9306874949194111</v>
      </c>
      <c r="AT93" s="322">
        <v>12.76602721425779</v>
      </c>
      <c r="AU93" s="322">
        <v>14.77735142530347</v>
      </c>
      <c r="AV93" s="322">
        <v>13.292396474060528</v>
      </c>
      <c r="AW93" s="322">
        <v>12.287712552331193</v>
      </c>
      <c r="AX93" s="322">
        <v>10.406729789065338</v>
      </c>
      <c r="AY93" s="322">
        <v>9.8797747562570741</v>
      </c>
    </row>
    <row r="94" spans="1:51" s="301" customFormat="1" x14ac:dyDescent="0.25">
      <c r="A94" s="305">
        <v>321</v>
      </c>
      <c r="B94" s="132" t="s">
        <v>554</v>
      </c>
      <c r="C94" s="143" t="s">
        <v>3630</v>
      </c>
      <c r="D94" s="324">
        <v>245.04791743875128</v>
      </c>
      <c r="E94" s="324">
        <v>458.63767166248959</v>
      </c>
      <c r="F94" s="324">
        <v>240.0173675696918</v>
      </c>
      <c r="G94" s="324">
        <v>227.00698256354386</v>
      </c>
      <c r="H94" s="324">
        <v>354.68601812830008</v>
      </c>
      <c r="I94" s="324">
        <v>314.41006211033834</v>
      </c>
      <c r="J94" s="324">
        <v>298.06566898735912</v>
      </c>
      <c r="K94" s="324">
        <v>432.07877694968363</v>
      </c>
      <c r="L94" s="324">
        <v>418.56714677970695</v>
      </c>
      <c r="M94" s="324">
        <v>383.85188818460495</v>
      </c>
      <c r="N94" s="324">
        <v>372.96256664458605</v>
      </c>
      <c r="O94" s="324">
        <v>192.63364793444759</v>
      </c>
      <c r="P94" s="324">
        <v>260.96057507814635</v>
      </c>
      <c r="Q94" s="324">
        <v>241.13679637445023</v>
      </c>
      <c r="R94" s="324">
        <v>270.30956206710107</v>
      </c>
      <c r="S94" s="324">
        <v>438.49893798555865</v>
      </c>
      <c r="T94" s="324">
        <v>292.91346227423952</v>
      </c>
      <c r="U94" s="324">
        <v>314.2857180140154</v>
      </c>
      <c r="V94" s="324">
        <v>385.181191204529</v>
      </c>
      <c r="W94" s="324">
        <v>353.19281087075581</v>
      </c>
      <c r="X94" s="324">
        <v>447.29149058873617</v>
      </c>
      <c r="Y94" s="324">
        <v>407.28785525642479</v>
      </c>
      <c r="Z94" s="324">
        <v>378.40495233175983</v>
      </c>
      <c r="AA94" s="324">
        <v>257.76642000048025</v>
      </c>
      <c r="AB94" s="322">
        <v>268.59224607618154</v>
      </c>
      <c r="AC94" s="322">
        <v>350.38318272052845</v>
      </c>
      <c r="AD94" s="322">
        <v>248.54677695997589</v>
      </c>
      <c r="AE94" s="322">
        <v>179.86151979488582</v>
      </c>
      <c r="AF94" s="322">
        <v>295.38029795424256</v>
      </c>
      <c r="AG94" s="322">
        <v>217.09777141850594</v>
      </c>
      <c r="AH94" s="322">
        <v>289.8227559675251</v>
      </c>
      <c r="AI94" s="322">
        <v>338.34792547702199</v>
      </c>
      <c r="AJ94" s="322">
        <v>330.940982387573</v>
      </c>
      <c r="AK94" s="322">
        <v>287.25768382092656</v>
      </c>
      <c r="AL94" s="322">
        <v>203.77904808817829</v>
      </c>
      <c r="AM94" s="322">
        <v>209.39682182351322</v>
      </c>
      <c r="AN94" s="322">
        <v>148.0622677818051</v>
      </c>
      <c r="AO94" s="322">
        <v>172.65579629952975</v>
      </c>
      <c r="AP94" s="322">
        <v>191.46410257572956</v>
      </c>
      <c r="AQ94" s="322">
        <v>220.52450341286962</v>
      </c>
      <c r="AR94" s="322">
        <v>270.31831527160563</v>
      </c>
      <c r="AS94" s="322">
        <v>300.13156460769187</v>
      </c>
      <c r="AT94" s="322">
        <v>300.17129009778</v>
      </c>
      <c r="AU94" s="322">
        <v>294.47041206832648</v>
      </c>
      <c r="AV94" s="322">
        <v>326.12036684725069</v>
      </c>
      <c r="AW94" s="322">
        <v>170.64231099855027</v>
      </c>
      <c r="AX94" s="322">
        <v>331.48188730936056</v>
      </c>
      <c r="AY94" s="322">
        <v>88.714159545479262</v>
      </c>
    </row>
    <row r="95" spans="1:51" s="301" customFormat="1" x14ac:dyDescent="0.25">
      <c r="A95" s="132">
        <v>251</v>
      </c>
      <c r="B95" s="342" t="s">
        <v>453</v>
      </c>
      <c r="C95" s="143" t="s">
        <v>452</v>
      </c>
      <c r="D95" s="324">
        <v>44.231868062929095</v>
      </c>
      <c r="E95" s="324">
        <v>103.89009882878162</v>
      </c>
      <c r="F95" s="324">
        <v>42.974103431358543</v>
      </c>
      <c r="G95" s="324">
        <v>48.130744335683467</v>
      </c>
      <c r="H95" s="324">
        <v>74.785423684598513</v>
      </c>
      <c r="I95" s="324">
        <v>63.442070754591917</v>
      </c>
      <c r="J95" s="324">
        <v>59.364053605863042</v>
      </c>
      <c r="K95" s="324">
        <v>96.01558081532103</v>
      </c>
      <c r="L95" s="324">
        <v>92.124999089346176</v>
      </c>
      <c r="M95" s="324">
        <v>83.047365718151738</v>
      </c>
      <c r="N95" s="324">
        <v>80.309602129249114</v>
      </c>
      <c r="O95" s="324">
        <v>30.492763314166357</v>
      </c>
      <c r="P95" s="324">
        <v>49.411693811549448</v>
      </c>
      <c r="Q95" s="324">
        <v>43.958007183257472</v>
      </c>
      <c r="R95" s="324">
        <v>51.654667894468403</v>
      </c>
      <c r="S95" s="324">
        <v>98.163345152184519</v>
      </c>
      <c r="T95" s="324">
        <v>58.407598088916693</v>
      </c>
      <c r="U95" s="324">
        <v>63.981074255189931</v>
      </c>
      <c r="V95" s="324">
        <v>84.015539740585808</v>
      </c>
      <c r="W95" s="324">
        <v>75.040291993121059</v>
      </c>
      <c r="X95" s="324">
        <v>100.59806166310872</v>
      </c>
      <c r="Y95" s="324">
        <v>89.926601838946866</v>
      </c>
      <c r="Z95" s="324">
        <v>81.945999667151966</v>
      </c>
      <c r="AA95" s="324">
        <v>49.553373028815393</v>
      </c>
      <c r="AB95" s="322">
        <v>51.920705696007012</v>
      </c>
      <c r="AC95" s="322">
        <v>74.178599324702347</v>
      </c>
      <c r="AD95" s="322">
        <v>46.613475922558898</v>
      </c>
      <c r="AE95" s="322">
        <v>28.25687653592863</v>
      </c>
      <c r="AF95" s="322">
        <v>59.392674650387406</v>
      </c>
      <c r="AG95" s="322">
        <v>38.202117774629095</v>
      </c>
      <c r="AH95" s="322">
        <v>57.945589876921744</v>
      </c>
      <c r="AI95" s="322">
        <v>71.25077945900955</v>
      </c>
      <c r="AJ95" s="322">
        <v>69.200108553347022</v>
      </c>
      <c r="AK95" s="322">
        <v>57.496757341825166</v>
      </c>
      <c r="AL95" s="322">
        <v>34.384787661967607</v>
      </c>
      <c r="AM95" s="322">
        <v>35.868050397266586</v>
      </c>
      <c r="AN95" s="322">
        <v>18.527517931587088</v>
      </c>
      <c r="AO95" s="322">
        <v>25.37767702885586</v>
      </c>
      <c r="AP95" s="322">
        <v>30.065259475218188</v>
      </c>
      <c r="AQ95" s="322">
        <v>38.166773176872617</v>
      </c>
      <c r="AR95" s="322">
        <v>50.760181415863251</v>
      </c>
      <c r="AS95" s="322">
        <v>58.707226321052062</v>
      </c>
      <c r="AT95" s="322">
        <v>54.139213536618506</v>
      </c>
      <c r="AU95" s="322">
        <v>49.911609500266756</v>
      </c>
      <c r="AV95" s="322">
        <v>59.459020019881429</v>
      </c>
      <c r="AW95" s="322">
        <v>21.29077727303687</v>
      </c>
      <c r="AX95" s="322">
        <v>69.517026733281455</v>
      </c>
      <c r="AY95" s="322">
        <v>3.346884221675821</v>
      </c>
    </row>
    <row r="96" spans="1:51" s="301" customFormat="1" x14ac:dyDescent="0.25">
      <c r="A96" s="132">
        <v>253</v>
      </c>
      <c r="B96" s="132" t="s">
        <v>459</v>
      </c>
      <c r="C96" s="143" t="s">
        <v>458</v>
      </c>
      <c r="D96" s="324">
        <v>300.77910843193314</v>
      </c>
      <c r="E96" s="324">
        <v>619.51359973965634</v>
      </c>
      <c r="F96" s="324">
        <v>293.78231799105657</v>
      </c>
      <c r="G96" s="324">
        <v>302.03772825589937</v>
      </c>
      <c r="H96" s="324">
        <v>476.73978275136659</v>
      </c>
      <c r="I96" s="324">
        <v>416.56476530030699</v>
      </c>
      <c r="J96" s="324">
        <v>399.90681184894902</v>
      </c>
      <c r="K96" s="324">
        <v>602.77851338404867</v>
      </c>
      <c r="L96" s="324">
        <v>577.92134684080759</v>
      </c>
      <c r="M96" s="324">
        <v>521.85895864784106</v>
      </c>
      <c r="N96" s="324">
        <v>499.13462679666259</v>
      </c>
      <c r="O96" s="324">
        <v>224.03025678390748</v>
      </c>
      <c r="P96" s="324">
        <v>326.96672973935773</v>
      </c>
      <c r="Q96" s="324">
        <v>292.89490971625855</v>
      </c>
      <c r="R96" s="324">
        <v>340.22793083841287</v>
      </c>
      <c r="S96" s="324">
        <v>597.40306873633403</v>
      </c>
      <c r="T96" s="324">
        <v>385.56231354579643</v>
      </c>
      <c r="U96" s="324">
        <v>417.74896116128662</v>
      </c>
      <c r="V96" s="324">
        <v>532.03049720217211</v>
      </c>
      <c r="W96" s="324">
        <v>485.87768425975474</v>
      </c>
      <c r="X96" s="324">
        <v>622.25467135179633</v>
      </c>
      <c r="Y96" s="324">
        <v>558.05322122317591</v>
      </c>
      <c r="Z96" s="324">
        <v>507.67689148641597</v>
      </c>
      <c r="AA96" s="324">
        <v>325.04768474007233</v>
      </c>
      <c r="AB96" s="322">
        <v>339.59772493287835</v>
      </c>
      <c r="AC96" s="322">
        <v>457.31189031650393</v>
      </c>
      <c r="AD96" s="322">
        <v>310.29777985621797</v>
      </c>
      <c r="AE96" s="322">
        <v>212.72693783104481</v>
      </c>
      <c r="AF96" s="322">
        <v>390.00782523711922</v>
      </c>
      <c r="AG96" s="322">
        <v>274.23338379115614</v>
      </c>
      <c r="AH96" s="322">
        <v>389.31356535889637</v>
      </c>
      <c r="AI96" s="322">
        <v>464.19251898210092</v>
      </c>
      <c r="AJ96" s="322">
        <v>449.02909661971398</v>
      </c>
      <c r="AK96" s="322">
        <v>379.39343176986472</v>
      </c>
      <c r="AL96" s="322">
        <v>99.591930785018249</v>
      </c>
      <c r="AM96" s="322">
        <v>90.813033966837523</v>
      </c>
      <c r="AN96" s="322">
        <v>97.693562976923175</v>
      </c>
      <c r="AO96" s="322">
        <v>94.575412642263501</v>
      </c>
      <c r="AP96" s="322">
        <v>106.55726871035026</v>
      </c>
      <c r="AQ96" s="322">
        <v>112.70803605209022</v>
      </c>
      <c r="AR96" s="322">
        <v>113.88879655632084</v>
      </c>
      <c r="AS96" s="322">
        <v>122.75704828105783</v>
      </c>
      <c r="AT96" s="322">
        <v>148.01260777536029</v>
      </c>
      <c r="AU96" s="322">
        <v>190.38064286039739</v>
      </c>
      <c r="AV96" s="322">
        <v>227.97919688028003</v>
      </c>
      <c r="AW96" s="322">
        <v>195.17193145429837</v>
      </c>
      <c r="AX96" s="322">
        <v>159.43345053586819</v>
      </c>
      <c r="AY96" s="322">
        <v>114.1166807720076</v>
      </c>
    </row>
    <row r="97" spans="1:51" s="301" customFormat="1" x14ac:dyDescent="0.25">
      <c r="A97" s="132">
        <v>97</v>
      </c>
      <c r="B97" s="132" t="s">
        <v>234</v>
      </c>
      <c r="C97" s="143" t="s">
        <v>233</v>
      </c>
      <c r="D97" s="324">
        <v>144.75</v>
      </c>
      <c r="E97" s="324">
        <v>245.11</v>
      </c>
      <c r="F97" s="324">
        <v>216.16</v>
      </c>
      <c r="G97" s="324">
        <v>351.26</v>
      </c>
      <c r="H97" s="324">
        <v>357.05</v>
      </c>
      <c r="I97" s="324">
        <v>411.09000000000003</v>
      </c>
      <c r="J97" s="324">
        <v>580.93000000000006</v>
      </c>
      <c r="K97" s="324">
        <v>592.51</v>
      </c>
      <c r="L97" s="324">
        <v>594.44000000000005</v>
      </c>
      <c r="M97" s="324">
        <v>405.3</v>
      </c>
      <c r="N97" s="324">
        <v>301.08000000000004</v>
      </c>
      <c r="O97" s="324">
        <v>183.35</v>
      </c>
      <c r="P97" s="324">
        <v>183.35</v>
      </c>
      <c r="Q97" s="324">
        <v>30.880000000000003</v>
      </c>
      <c r="R97" s="324">
        <v>326.16999999999996</v>
      </c>
      <c r="S97" s="324">
        <v>503.73</v>
      </c>
      <c r="T97" s="329">
        <v>195.00000000000003</v>
      </c>
      <c r="U97" s="324">
        <v>188.00000000000003</v>
      </c>
      <c r="V97" s="328">
        <v>249.209</v>
      </c>
      <c r="W97" s="324">
        <v>519.16999999999996</v>
      </c>
      <c r="X97" s="324">
        <v>0</v>
      </c>
      <c r="Y97" s="324">
        <v>0</v>
      </c>
      <c r="Z97" s="324">
        <v>0</v>
      </c>
      <c r="AA97" s="324">
        <v>0</v>
      </c>
      <c r="AB97" s="322">
        <v>0</v>
      </c>
      <c r="AC97" s="322">
        <v>0</v>
      </c>
      <c r="AD97" s="322">
        <v>0</v>
      </c>
      <c r="AE97" s="322">
        <v>0</v>
      </c>
      <c r="AF97" s="322">
        <v>351.26</v>
      </c>
      <c r="AG97" s="322">
        <v>598.29999999999995</v>
      </c>
      <c r="AH97" s="322">
        <v>521.1</v>
      </c>
      <c r="AI97" s="322">
        <v>573.21</v>
      </c>
      <c r="AJ97" s="322">
        <v>341.61</v>
      </c>
      <c r="AK97" s="322">
        <v>264.40999999999997</v>
      </c>
      <c r="AL97" s="322">
        <v>210.37</v>
      </c>
      <c r="AM97" s="322">
        <v>181.42000000000002</v>
      </c>
      <c r="AN97" s="322">
        <v>113.87</v>
      </c>
      <c r="AO97" s="322">
        <v>183.35</v>
      </c>
      <c r="AP97" s="322">
        <v>220.01999999999998</v>
      </c>
      <c r="AQ97" s="322">
        <v>386</v>
      </c>
      <c r="AR97" s="322">
        <v>316.52</v>
      </c>
      <c r="AS97" s="322">
        <v>347.4</v>
      </c>
      <c r="AT97" s="322">
        <v>424.6</v>
      </c>
      <c r="AU97" s="322">
        <v>683.22</v>
      </c>
      <c r="AV97" s="322">
        <v>524.96</v>
      </c>
      <c r="AW97" s="322">
        <v>310.73</v>
      </c>
      <c r="AX97" s="322">
        <v>349</v>
      </c>
      <c r="AY97" s="322">
        <v>249</v>
      </c>
    </row>
    <row r="98" spans="1:51" s="301" customFormat="1" x14ac:dyDescent="0.25">
      <c r="A98" s="62">
        <v>352</v>
      </c>
      <c r="B98" s="327" t="s">
        <v>578</v>
      </c>
      <c r="C98" s="100" t="s">
        <v>577</v>
      </c>
      <c r="D98" s="324">
        <v>28.997210545912164</v>
      </c>
      <c r="E98" s="324">
        <v>47.326544531830216</v>
      </c>
      <c r="F98" s="324">
        <v>31.318181818181817</v>
      </c>
      <c r="G98" s="324">
        <v>12.998111659090908</v>
      </c>
      <c r="H98" s="324">
        <v>24.712611234124331</v>
      </c>
      <c r="I98" s="324">
        <v>13.497326203208557</v>
      </c>
      <c r="J98" s="324">
        <v>25.310160427807485</v>
      </c>
      <c r="K98" s="324">
        <v>34.88101604278075</v>
      </c>
      <c r="L98" s="324">
        <v>42.485294117647058</v>
      </c>
      <c r="M98" s="324">
        <v>39.303475935828878</v>
      </c>
      <c r="N98" s="324">
        <v>52.506684491978611</v>
      </c>
      <c r="O98" s="324">
        <v>36.609625668449198</v>
      </c>
      <c r="P98" s="324">
        <v>53.352941176470587</v>
      </c>
      <c r="Q98" s="324">
        <v>30.651069518716579</v>
      </c>
      <c r="R98" s="324">
        <v>39.324866310160431</v>
      </c>
      <c r="S98" s="324">
        <v>15.550848929950936</v>
      </c>
      <c r="T98" s="324">
        <v>15.550802139037433</v>
      </c>
      <c r="U98" s="324">
        <v>12.810160427807487</v>
      </c>
      <c r="V98" s="324">
        <v>18.593582887700535</v>
      </c>
      <c r="W98" s="324">
        <v>19.819745989304813</v>
      </c>
      <c r="X98" s="324">
        <v>38.040106951871657</v>
      </c>
      <c r="Y98" s="324">
        <v>42.102941176470587</v>
      </c>
      <c r="Z98" s="324">
        <v>8.872339572192514</v>
      </c>
      <c r="AA98" s="324">
        <v>8.5842379679144383</v>
      </c>
      <c r="AB98" s="322">
        <v>5.5240775401069522</v>
      </c>
      <c r="AC98" s="322">
        <v>11.066590909090909</v>
      </c>
      <c r="AD98" s="322">
        <v>5.5240775401069522</v>
      </c>
      <c r="AE98" s="322">
        <v>1.7409855643695689</v>
      </c>
      <c r="AF98" s="322">
        <v>3.9331550802139037</v>
      </c>
      <c r="AG98" s="322">
        <v>5.0054545454545449</v>
      </c>
      <c r="AH98" s="322">
        <v>2.8622994652406417</v>
      </c>
      <c r="AI98" s="322">
        <v>3.2270053475935829</v>
      </c>
      <c r="AJ98" s="322">
        <v>2.4131016042780749</v>
      </c>
      <c r="AK98" s="322">
        <v>2.7165775401069521</v>
      </c>
      <c r="AL98" s="322">
        <v>2.2366310160427809</v>
      </c>
      <c r="AM98" s="322">
        <v>6.5173796791443852</v>
      </c>
      <c r="AN98" s="322">
        <v>5.382352941176471</v>
      </c>
      <c r="AO98" s="322">
        <v>5.108288770053476</v>
      </c>
      <c r="AP98" s="322">
        <v>6.8983957219251337</v>
      </c>
      <c r="AQ98" s="322">
        <v>3.2245989304812834</v>
      </c>
      <c r="AR98" s="322">
        <v>1.6697860962566844</v>
      </c>
      <c r="AS98" s="322">
        <v>1.839572192513369</v>
      </c>
      <c r="AT98" s="322">
        <v>2.2834224598930479</v>
      </c>
      <c r="AU98" s="322">
        <v>13.053475935828876</v>
      </c>
      <c r="AV98" s="322">
        <v>27.347593582887701</v>
      </c>
      <c r="AW98" s="322">
        <v>29.177807486631018</v>
      </c>
      <c r="AX98" s="322">
        <v>37.87967914438503</v>
      </c>
      <c r="AY98" s="322">
        <v>11.852941176470589</v>
      </c>
    </row>
    <row r="99" spans="1:51" s="301" customFormat="1" x14ac:dyDescent="0.25">
      <c r="A99" s="132">
        <v>42</v>
      </c>
      <c r="B99" s="132" t="s">
        <v>114</v>
      </c>
      <c r="C99" s="143" t="s">
        <v>113</v>
      </c>
      <c r="D99" s="324">
        <v>0</v>
      </c>
      <c r="E99" s="324">
        <v>0</v>
      </c>
      <c r="F99" s="324">
        <v>0</v>
      </c>
      <c r="G99" s="324">
        <v>0</v>
      </c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24"/>
      <c r="S99" s="324"/>
      <c r="T99" s="324">
        <v>0</v>
      </c>
      <c r="U99" s="324">
        <v>0</v>
      </c>
      <c r="V99" s="324">
        <v>0</v>
      </c>
      <c r="W99" s="324">
        <v>0</v>
      </c>
      <c r="X99" s="324">
        <v>0</v>
      </c>
      <c r="Y99" s="324">
        <v>0</v>
      </c>
      <c r="Z99" s="324">
        <v>0</v>
      </c>
      <c r="AA99" s="324">
        <v>0</v>
      </c>
      <c r="AB99" s="301">
        <v>0</v>
      </c>
      <c r="AC99" s="322">
        <v>0</v>
      </c>
      <c r="AD99" s="322">
        <v>0</v>
      </c>
      <c r="AE99" s="322">
        <v>0</v>
      </c>
      <c r="AF99" s="322">
        <v>0</v>
      </c>
      <c r="AG99" s="322">
        <v>0</v>
      </c>
      <c r="AH99" s="322">
        <v>0</v>
      </c>
      <c r="AI99" s="322">
        <v>0</v>
      </c>
      <c r="AJ99" s="322">
        <v>0</v>
      </c>
      <c r="AK99" s="322">
        <v>0</v>
      </c>
      <c r="AL99" s="322">
        <v>0</v>
      </c>
      <c r="AM99" s="322">
        <v>0</v>
      </c>
      <c r="AN99" s="322">
        <v>0</v>
      </c>
      <c r="AO99" s="322">
        <v>0</v>
      </c>
      <c r="AP99" s="322">
        <v>0</v>
      </c>
      <c r="AQ99" s="322">
        <v>0</v>
      </c>
      <c r="AR99" s="322">
        <v>0</v>
      </c>
      <c r="AS99" s="322">
        <v>0</v>
      </c>
      <c r="AT99" s="322">
        <v>0</v>
      </c>
      <c r="AU99" s="322">
        <v>0</v>
      </c>
      <c r="AV99" s="322">
        <v>0</v>
      </c>
      <c r="AW99" s="322">
        <v>0</v>
      </c>
      <c r="AX99" s="322">
        <v>0</v>
      </c>
      <c r="AY99" s="322">
        <v>0</v>
      </c>
    </row>
    <row r="100" spans="1:51" s="301" customFormat="1" x14ac:dyDescent="0.25">
      <c r="A100" s="132">
        <v>228</v>
      </c>
      <c r="B100" s="132" t="s">
        <v>434</v>
      </c>
      <c r="C100" s="143" t="s">
        <v>3674</v>
      </c>
      <c r="D100" s="324">
        <v>33.325360797057769</v>
      </c>
      <c r="E100" s="324">
        <v>69.352262660427584</v>
      </c>
      <c r="F100" s="324">
        <v>32.872005484873519</v>
      </c>
      <c r="G100" s="324">
        <v>33.458469413007663</v>
      </c>
      <c r="H100" s="324">
        <v>51.937148926576441</v>
      </c>
      <c r="I100" s="324">
        <v>45.288432347455149</v>
      </c>
      <c r="J100" s="324">
        <v>42.089080608637055</v>
      </c>
      <c r="K100" s="324">
        <v>65.115440168975866</v>
      </c>
      <c r="L100" s="324">
        <v>62.6263136213067</v>
      </c>
      <c r="M100" s="324">
        <v>57.089917157891421</v>
      </c>
      <c r="N100" s="324">
        <v>55.329954984580439</v>
      </c>
      <c r="O100" s="324">
        <v>24.932837103345115</v>
      </c>
      <c r="P100" s="324">
        <v>36.197679656212358</v>
      </c>
      <c r="Q100" s="324">
        <v>33.430678882922685</v>
      </c>
      <c r="R100" s="324">
        <v>37.972568956141913</v>
      </c>
      <c r="S100" s="324">
        <v>66.08187248712953</v>
      </c>
      <c r="T100" s="324">
        <v>41.921137071317112</v>
      </c>
      <c r="U100" s="324">
        <v>45.431982419854108</v>
      </c>
      <c r="V100" s="324">
        <v>56.681101655694711</v>
      </c>
      <c r="W100" s="324">
        <v>52.293838073867562</v>
      </c>
      <c r="X100" s="324">
        <v>67.526578199071793</v>
      </c>
      <c r="Y100" s="324">
        <v>61.077355328947036</v>
      </c>
      <c r="Z100" s="324">
        <v>56.266934576435588</v>
      </c>
      <c r="AA100" s="324">
        <v>36.029956499369057</v>
      </c>
      <c r="AB100" s="322">
        <v>37.582842656320629</v>
      </c>
      <c r="AC100" s="322">
        <v>51.506903120254748</v>
      </c>
      <c r="AD100" s="322">
        <v>34.657474880282663</v>
      </c>
      <c r="AE100" s="322">
        <v>23.747521180256719</v>
      </c>
      <c r="AF100" s="322">
        <v>42.416939967209025</v>
      </c>
      <c r="AG100" s="322">
        <v>29.667240231530116</v>
      </c>
      <c r="AH100" s="322">
        <v>40.995156350148783</v>
      </c>
      <c r="AI100" s="322">
        <v>49.92375205798038</v>
      </c>
      <c r="AJ100" s="322">
        <v>48.496374182873303</v>
      </c>
      <c r="AK100" s="322">
        <v>41.432861451143317</v>
      </c>
      <c r="AL100" s="322">
        <v>27.582248404523273</v>
      </c>
      <c r="AM100" s="322">
        <v>27.932037160326121</v>
      </c>
      <c r="AN100" s="322">
        <v>17.619446413598844</v>
      </c>
      <c r="AO100" s="322">
        <v>22.20295843536195</v>
      </c>
      <c r="AP100" s="322">
        <v>24.990275142519437</v>
      </c>
      <c r="AQ100" s="322">
        <v>30.101101763139663</v>
      </c>
      <c r="AR100" s="322">
        <v>37.777930876086195</v>
      </c>
      <c r="AS100" s="322">
        <v>42.701132189616835</v>
      </c>
      <c r="AT100" s="322">
        <v>40.615603579811214</v>
      </c>
      <c r="AU100" s="322">
        <v>40.172194207092659</v>
      </c>
      <c r="AV100" s="322">
        <v>45.343704945967858</v>
      </c>
      <c r="AW100" s="322">
        <v>21.043634990710718</v>
      </c>
      <c r="AX100" s="322">
        <v>48.657111046111879</v>
      </c>
      <c r="AY100" s="322">
        <v>8.222548112548802</v>
      </c>
    </row>
    <row r="101" spans="1:51" s="301" customFormat="1" x14ac:dyDescent="0.25">
      <c r="A101" s="132">
        <v>228.1</v>
      </c>
      <c r="B101" s="132" t="s">
        <v>434</v>
      </c>
      <c r="C101" s="326" t="s">
        <v>3675</v>
      </c>
      <c r="D101" s="324">
        <v>40.730996529737283</v>
      </c>
      <c r="E101" s="324">
        <v>84.763876584967036</v>
      </c>
      <c r="F101" s="324">
        <v>40.176895592623197</v>
      </c>
      <c r="G101" s="324">
        <v>40.893684838120471</v>
      </c>
      <c r="H101" s="324">
        <v>63.478737576926761</v>
      </c>
      <c r="I101" s="324">
        <v>55.352528424667426</v>
      </c>
      <c r="J101" s="324">
        <v>51.442209632778621</v>
      </c>
      <c r="K101" s="324">
        <v>79.585537984303841</v>
      </c>
      <c r="L101" s="324">
        <v>76.543272203819285</v>
      </c>
      <c r="M101" s="324">
        <v>69.776565415200636</v>
      </c>
      <c r="N101" s="324">
        <v>67.625500536709424</v>
      </c>
      <c r="O101" s="324">
        <v>30.473467570755144</v>
      </c>
      <c r="P101" s="324">
        <v>44.241608468703994</v>
      </c>
      <c r="Q101" s="324">
        <v>40.859718634683283</v>
      </c>
      <c r="R101" s="324">
        <v>46.410917613062338</v>
      </c>
      <c r="S101" s="324">
        <v>80.766733039824985</v>
      </c>
      <c r="T101" s="324">
        <v>51.236945309387586</v>
      </c>
      <c r="U101" s="324">
        <v>55.52797851315502</v>
      </c>
      <c r="V101" s="324">
        <v>69.276902023626874</v>
      </c>
      <c r="W101" s="324">
        <v>63.914690979171461</v>
      </c>
      <c r="X101" s="324">
        <v>82.532484465532193</v>
      </c>
      <c r="Y101" s="324">
        <v>74.650100957601921</v>
      </c>
      <c r="Z101" s="324">
        <v>68.770697815643516</v>
      </c>
      <c r="AA101" s="324">
        <v>44.036613499228849</v>
      </c>
      <c r="AB101" s="322">
        <v>45.934585468836325</v>
      </c>
      <c r="AC101" s="322">
        <v>62.952881591422461</v>
      </c>
      <c r="AD101" s="322">
        <v>42.359135964789928</v>
      </c>
      <c r="AE101" s="322">
        <v>29.024748109202658</v>
      </c>
      <c r="AF101" s="322">
        <v>51.842926626588813</v>
      </c>
      <c r="AG101" s="322">
        <v>36.259960282981247</v>
      </c>
      <c r="AH101" s="322">
        <v>50.105191094626292</v>
      </c>
      <c r="AI101" s="322">
        <v>61.017919181976012</v>
      </c>
      <c r="AJ101" s="322">
        <v>59.273346223511808</v>
      </c>
      <c r="AK101" s="322">
        <v>50.640163995841831</v>
      </c>
      <c r="AL101" s="322">
        <v>33.71163693886178</v>
      </c>
      <c r="AM101" s="322">
        <v>34.139156529287483</v>
      </c>
      <c r="AN101" s="322">
        <v>21.534878949954141</v>
      </c>
      <c r="AO101" s="322">
        <v>27.136949198775721</v>
      </c>
      <c r="AP101" s="322">
        <v>30.543669618634873</v>
      </c>
      <c r="AQ101" s="322">
        <v>36.790235488281809</v>
      </c>
      <c r="AR101" s="322">
        <v>46.173026626327577</v>
      </c>
      <c r="AS101" s="322">
        <v>52.190272676198369</v>
      </c>
      <c r="AT101" s="322">
        <v>49.641293264213715</v>
      </c>
      <c r="AU101" s="322">
        <v>49.099348475335475</v>
      </c>
      <c r="AV101" s="322">
        <v>55.420083822849598</v>
      </c>
      <c r="AW101" s="322">
        <v>25.719998321979769</v>
      </c>
      <c r="AX101" s="322">
        <v>59.469802389692298</v>
      </c>
      <c r="AY101" s="322">
        <v>10.049781026448535</v>
      </c>
    </row>
    <row r="102" spans="1:51" s="301" customFormat="1" x14ac:dyDescent="0.25">
      <c r="A102" s="132">
        <v>7</v>
      </c>
      <c r="B102" s="132" t="s">
        <v>33</v>
      </c>
      <c r="C102" s="143" t="s">
        <v>32</v>
      </c>
      <c r="D102" s="324">
        <v>148.65935556361541</v>
      </c>
      <c r="E102" s="324">
        <v>194.68299553666523</v>
      </c>
      <c r="F102" s="324">
        <v>141.15577842329316</v>
      </c>
      <c r="G102" s="324">
        <v>107.08589532201132</v>
      </c>
      <c r="H102" s="324">
        <v>175.47211892481511</v>
      </c>
      <c r="I102" s="324">
        <v>154.53002257700956</v>
      </c>
      <c r="J102" s="324">
        <v>157.7731632020587</v>
      </c>
      <c r="K102" s="324">
        <v>201.42646613974651</v>
      </c>
      <c r="L102" s="324">
        <v>188.58069801578745</v>
      </c>
      <c r="M102" s="324">
        <v>187.96285618954968</v>
      </c>
      <c r="N102" s="324">
        <v>184.76050598686584</v>
      </c>
      <c r="O102" s="324">
        <v>134.24494298541114</v>
      </c>
      <c r="P102" s="324">
        <v>150.01060656176838</v>
      </c>
      <c r="Q102" s="324">
        <v>137.07127006441613</v>
      </c>
      <c r="R102" s="324">
        <v>148.06051461122055</v>
      </c>
      <c r="S102" s="324">
        <v>189.94883551624281</v>
      </c>
      <c r="T102" s="324">
        <v>156.83217376431011</v>
      </c>
      <c r="U102" s="324">
        <v>152.73680225096018</v>
      </c>
      <c r="V102" s="324">
        <v>178.59781460317851</v>
      </c>
      <c r="W102" s="324">
        <v>177.67488685232453</v>
      </c>
      <c r="X102" s="324">
        <v>194.31865059445897</v>
      </c>
      <c r="Y102" s="324">
        <v>192.56083367963564</v>
      </c>
      <c r="Z102" s="324">
        <v>185.67617971022955</v>
      </c>
      <c r="AA102" s="324">
        <v>147.37763903365234</v>
      </c>
      <c r="AB102" s="322">
        <v>150.56950686382331</v>
      </c>
      <c r="AC102" s="322">
        <v>165.62475318417586</v>
      </c>
      <c r="AD102" s="322">
        <v>139.09619838618963</v>
      </c>
      <c r="AE102" s="322">
        <v>117.01017443490979</v>
      </c>
      <c r="AF102" s="322">
        <v>156.3996702108565</v>
      </c>
      <c r="AG102" s="322">
        <v>123.90992078114029</v>
      </c>
      <c r="AH102" s="322">
        <v>152.63683618779447</v>
      </c>
      <c r="AI102" s="322">
        <v>172.60936945872169</v>
      </c>
      <c r="AJ102" s="322">
        <v>161.28769616034094</v>
      </c>
      <c r="AK102" s="322">
        <v>158.35320019978579</v>
      </c>
      <c r="AL102" s="322">
        <v>137.34259732433722</v>
      </c>
      <c r="AM102" s="322">
        <v>135.8934925357969</v>
      </c>
      <c r="AN102" s="322">
        <v>119.31844814329465</v>
      </c>
      <c r="AO102" s="322">
        <v>117.98954596871546</v>
      </c>
      <c r="AP102" s="322">
        <v>126.72320388781712</v>
      </c>
      <c r="AQ102" s="322">
        <v>131.99685808160496</v>
      </c>
      <c r="AR102" s="322">
        <v>155.90387787286434</v>
      </c>
      <c r="AS102" s="322">
        <v>153.20425871305412</v>
      </c>
      <c r="AT102" s="322">
        <v>130.56577063772869</v>
      </c>
      <c r="AU102" s="322">
        <v>152.68164815140727</v>
      </c>
      <c r="AV102" s="322">
        <v>135.33668741793869</v>
      </c>
      <c r="AW102" s="322">
        <v>126.88514762320706</v>
      </c>
      <c r="AX102" s="322">
        <v>107.57587001723954</v>
      </c>
      <c r="AY102" s="322">
        <v>101.67945853743458</v>
      </c>
    </row>
    <row r="103" spans="1:51" s="301" customFormat="1" x14ac:dyDescent="0.25">
      <c r="A103" s="132">
        <v>166</v>
      </c>
      <c r="B103" s="132" t="s">
        <v>366</v>
      </c>
      <c r="C103" s="143" t="s">
        <v>365</v>
      </c>
      <c r="D103" s="324">
        <v>112.51827327555908</v>
      </c>
      <c r="E103" s="324">
        <v>227.79799765130031</v>
      </c>
      <c r="F103" s="324">
        <v>109.96083802688449</v>
      </c>
      <c r="G103" s="324">
        <v>111.32580969444429</v>
      </c>
      <c r="H103" s="324">
        <v>175.35590190685593</v>
      </c>
      <c r="I103" s="324">
        <v>153.63449774455563</v>
      </c>
      <c r="J103" s="324">
        <v>147.11405780706318</v>
      </c>
      <c r="K103" s="324">
        <v>220.25701686754579</v>
      </c>
      <c r="L103" s="324">
        <v>211.58679148188403</v>
      </c>
      <c r="M103" s="324">
        <v>191.56500628077782</v>
      </c>
      <c r="N103" s="324">
        <v>183.77979381070884</v>
      </c>
      <c r="O103" s="324">
        <v>84.694273473287794</v>
      </c>
      <c r="P103" s="324">
        <v>121.83940544137097</v>
      </c>
      <c r="Q103" s="324">
        <v>109.8742850845567</v>
      </c>
      <c r="R103" s="324">
        <v>126.67397431026346</v>
      </c>
      <c r="S103" s="324">
        <v>219.26845924233695</v>
      </c>
      <c r="T103" s="324">
        <v>142.34497060573514</v>
      </c>
      <c r="U103" s="324">
        <v>153.98223894721622</v>
      </c>
      <c r="V103" s="324">
        <v>194.7423057731985</v>
      </c>
      <c r="W103" s="324">
        <v>177.96134264125189</v>
      </c>
      <c r="X103" s="324">
        <v>227.52380585792952</v>
      </c>
      <c r="Y103" s="324">
        <v>204.57503767925255</v>
      </c>
      <c r="Z103" s="324">
        <v>186.8422930839686</v>
      </c>
      <c r="AA103" s="324">
        <v>120.97884279600666</v>
      </c>
      <c r="AB103" s="322">
        <v>126.33143106831018</v>
      </c>
      <c r="AC103" s="322">
        <v>169.21441409376212</v>
      </c>
      <c r="AD103" s="322">
        <v>115.70719526468817</v>
      </c>
      <c r="AE103" s="322">
        <v>80.165245054564309</v>
      </c>
      <c r="AF103" s="322">
        <v>143.90716239843641</v>
      </c>
      <c r="AG103" s="322">
        <v>102.02508692423173</v>
      </c>
      <c r="AH103" s="322">
        <v>143.1872641949152</v>
      </c>
      <c r="AI103" s="322">
        <v>170.09737136112125</v>
      </c>
      <c r="AJ103" s="322">
        <v>164.89479156182387</v>
      </c>
      <c r="AK103" s="322">
        <v>139.97893728970584</v>
      </c>
      <c r="AL103" s="322">
        <v>92.631052019050486</v>
      </c>
      <c r="AM103" s="322">
        <v>94.443302500764361</v>
      </c>
      <c r="AN103" s="322">
        <v>60.828335156854031</v>
      </c>
      <c r="AO103" s="322">
        <v>73.014174304763145</v>
      </c>
      <c r="AP103" s="322">
        <v>84.04705598180216</v>
      </c>
      <c r="AQ103" s="322">
        <v>101.15534436940499</v>
      </c>
      <c r="AR103" s="322">
        <v>129.04947475572698</v>
      </c>
      <c r="AS103" s="322">
        <v>145.31499374860061</v>
      </c>
      <c r="AT103" s="322">
        <v>47.3358152191296</v>
      </c>
      <c r="AU103" s="322">
        <v>52.817137432656743</v>
      </c>
      <c r="AV103" s="322">
        <v>49.391885779168256</v>
      </c>
      <c r="AW103" s="322">
        <v>41.102249939986955</v>
      </c>
      <c r="AX103" s="322">
        <v>32.287504380093225</v>
      </c>
      <c r="AY103" s="322">
        <v>30.519886691199503</v>
      </c>
    </row>
    <row r="104" spans="1:51" s="301" customFormat="1" x14ac:dyDescent="0.25">
      <c r="A104" s="132">
        <v>40.1</v>
      </c>
      <c r="B104" s="132" t="s">
        <v>108</v>
      </c>
      <c r="C104" s="143" t="s">
        <v>107</v>
      </c>
      <c r="D104" s="324">
        <v>132.61635307819466</v>
      </c>
      <c r="E104" s="324">
        <v>320.79614223367844</v>
      </c>
      <c r="F104" s="324">
        <v>129.34068935124722</v>
      </c>
      <c r="G104" s="324">
        <v>148.57810327025345</v>
      </c>
      <c r="H104" s="324">
        <v>230.77811912344163</v>
      </c>
      <c r="I104" s="324">
        <v>195.70386429346152</v>
      </c>
      <c r="J104" s="324">
        <v>183.5014075465256</v>
      </c>
      <c r="K104" s="324">
        <v>299.15112523759251</v>
      </c>
      <c r="L104" s="324">
        <v>286.67309452181252</v>
      </c>
      <c r="M104" s="324">
        <v>256.39607029533715</v>
      </c>
      <c r="N104" s="324">
        <v>247.46279025029611</v>
      </c>
      <c r="O104" s="324">
        <v>89.528395931857204</v>
      </c>
      <c r="P104" s="324">
        <v>149.17604880944026</v>
      </c>
      <c r="Q104" s="324">
        <v>131.88373997231383</v>
      </c>
      <c r="R104" s="324">
        <v>156.79026937590214</v>
      </c>
      <c r="S104" s="324">
        <v>304.49039519138239</v>
      </c>
      <c r="T104" s="324">
        <v>179.29468784784382</v>
      </c>
      <c r="U104" s="324">
        <v>197.50798492121518</v>
      </c>
      <c r="V104" s="324">
        <v>261.3011313836318</v>
      </c>
      <c r="W104" s="324">
        <v>233.15564682696839</v>
      </c>
      <c r="X104" s="324">
        <v>313.46748099774055</v>
      </c>
      <c r="Y104" s="324">
        <v>278.17890425609966</v>
      </c>
      <c r="Z104" s="324">
        <v>252.65529906009999</v>
      </c>
      <c r="AA104" s="324">
        <v>149.93400944232809</v>
      </c>
      <c r="AB104" s="322">
        <v>157.20338993690859</v>
      </c>
      <c r="AC104" s="322">
        <v>227.17730087844566</v>
      </c>
      <c r="AD104" s="322">
        <v>141.15250243180563</v>
      </c>
      <c r="AE104" s="322">
        <v>84.44395923101257</v>
      </c>
      <c r="AF104" s="322">
        <v>182.46534498043252</v>
      </c>
      <c r="AG104" s="322">
        <v>116.43955288216213</v>
      </c>
      <c r="AH104" s="322">
        <v>179.1656556111916</v>
      </c>
      <c r="AI104" s="322">
        <v>221.25715445959506</v>
      </c>
      <c r="AJ104" s="322">
        <v>214.61167054614742</v>
      </c>
      <c r="AK104" s="322">
        <v>176.11268781479319</v>
      </c>
      <c r="AL104" s="322">
        <v>102.88210393534213</v>
      </c>
      <c r="AM104" s="322">
        <v>106.6923799314942</v>
      </c>
      <c r="AN104" s="322">
        <v>51.891791790354922</v>
      </c>
      <c r="AO104" s="322">
        <v>73.402502567712574</v>
      </c>
      <c r="AP104" s="322">
        <v>88.775549708589494</v>
      </c>
      <c r="AQ104" s="322">
        <v>115.39864135199302</v>
      </c>
      <c r="AR104" s="322">
        <v>154.88438967175153</v>
      </c>
      <c r="AS104" s="322">
        <v>180.63324691344857</v>
      </c>
      <c r="AT104" s="322">
        <v>166.11466859764923</v>
      </c>
      <c r="AU104" s="322">
        <v>152.60635239143278</v>
      </c>
      <c r="AV104" s="322">
        <v>182.57213758007737</v>
      </c>
      <c r="AW104" s="322">
        <v>61.029751418106116</v>
      </c>
      <c r="AX104" s="322">
        <v>213.6054213771354</v>
      </c>
      <c r="AY104" s="322">
        <v>4.3962297829382484</v>
      </c>
    </row>
    <row r="105" spans="1:51" s="301" customFormat="1" x14ac:dyDescent="0.25">
      <c r="A105" s="132">
        <v>250</v>
      </c>
      <c r="B105" s="132" t="s">
        <v>450</v>
      </c>
      <c r="C105" s="143" t="s">
        <v>449</v>
      </c>
      <c r="D105" s="324">
        <v>207.16906913863943</v>
      </c>
      <c r="E105" s="324">
        <v>401.27873275636506</v>
      </c>
      <c r="F105" s="324">
        <v>199.32370511818297</v>
      </c>
      <c r="G105" s="324">
        <v>193.46940073161318</v>
      </c>
      <c r="H105" s="324">
        <v>305.72147478284302</v>
      </c>
      <c r="I105" s="324">
        <v>265.29888596268955</v>
      </c>
      <c r="J105" s="324">
        <v>252.36767105757554</v>
      </c>
      <c r="K105" s="324">
        <v>375.65433747313074</v>
      </c>
      <c r="L105" s="324">
        <v>361.2334157564631</v>
      </c>
      <c r="M105" s="324">
        <v>335.70012654743545</v>
      </c>
      <c r="N105" s="324">
        <v>323.07102142889772</v>
      </c>
      <c r="O105" s="324">
        <v>159.5097824733563</v>
      </c>
      <c r="P105" s="324">
        <v>222.3617131024707</v>
      </c>
      <c r="Q105" s="324">
        <v>201.80019837701653</v>
      </c>
      <c r="R105" s="324">
        <v>227.40620179888259</v>
      </c>
      <c r="S105" s="324">
        <v>379.02504906931375</v>
      </c>
      <c r="T105" s="324">
        <v>249.61661366657043</v>
      </c>
      <c r="U105" s="324">
        <v>265.75535415267632</v>
      </c>
      <c r="V105" s="324">
        <v>332.86465839489085</v>
      </c>
      <c r="W105" s="324">
        <v>303.98532935826341</v>
      </c>
      <c r="X105" s="324">
        <v>388.12475157405396</v>
      </c>
      <c r="Y105" s="324">
        <v>357.494966957092</v>
      </c>
      <c r="Z105" s="324">
        <v>328.17799274307077</v>
      </c>
      <c r="AA105" s="324">
        <v>220.08737746166796</v>
      </c>
      <c r="AB105" s="322">
        <v>229.66674993031066</v>
      </c>
      <c r="AC105" s="322">
        <v>302.09579249876299</v>
      </c>
      <c r="AD105" s="322">
        <v>208.30474870769436</v>
      </c>
      <c r="AE105" s="322">
        <v>143.18720650853885</v>
      </c>
      <c r="AF105" s="322">
        <v>252.13947678705551</v>
      </c>
      <c r="AG105" s="322">
        <v>177.60958863216354</v>
      </c>
      <c r="AH105" s="322">
        <v>245.59452127170718</v>
      </c>
      <c r="AI105" s="322">
        <v>290.63968401577694</v>
      </c>
      <c r="AJ105" s="322">
        <v>282.05481070527429</v>
      </c>
      <c r="AK105" s="322">
        <v>247.88265313542055</v>
      </c>
      <c r="AL105" s="322">
        <v>168.49383701272595</v>
      </c>
      <c r="AM105" s="322">
        <v>175.45723374670445</v>
      </c>
      <c r="AN105" s="322">
        <v>118.99438174960652</v>
      </c>
      <c r="AO105" s="322">
        <v>139.24281134910618</v>
      </c>
      <c r="AP105" s="322">
        <v>155.21483786004828</v>
      </c>
      <c r="AQ105" s="322">
        <v>179.16033283862603</v>
      </c>
      <c r="AR105" s="322">
        <v>72.081767598252213</v>
      </c>
      <c r="AS105" s="322">
        <v>68.642849881473921</v>
      </c>
      <c r="AT105" s="322">
        <v>84.386571354069417</v>
      </c>
      <c r="AU105" s="322">
        <v>93.349323872651283</v>
      </c>
      <c r="AV105" s="322">
        <v>87.746785173056864</v>
      </c>
      <c r="AW105" s="322">
        <v>82.668521036651015</v>
      </c>
      <c r="AX105" s="322">
        <v>66.366423780686645</v>
      </c>
      <c r="AY105" s="322">
        <v>66.799385806882995</v>
      </c>
    </row>
    <row r="106" spans="1:51" s="301" customFormat="1" x14ac:dyDescent="0.25">
      <c r="A106" s="132">
        <v>276</v>
      </c>
      <c r="B106" s="132" t="s">
        <v>506</v>
      </c>
      <c r="C106" s="131" t="s">
        <v>3681</v>
      </c>
      <c r="D106" s="324">
        <v>14.287173916192923</v>
      </c>
      <c r="E106" s="324">
        <v>15.159286022350697</v>
      </c>
      <c r="F106" s="324">
        <v>13.614345373252396</v>
      </c>
      <c r="G106" s="324">
        <v>9.1462577163296537</v>
      </c>
      <c r="H106" s="324">
        <v>14.802699717683138</v>
      </c>
      <c r="I106" s="324">
        <v>14.050340307101564</v>
      </c>
      <c r="J106" s="324">
        <v>13.840738013497122</v>
      </c>
      <c r="K106" s="324">
        <v>15.625827192973709</v>
      </c>
      <c r="L106" s="324">
        <v>14.954685927594397</v>
      </c>
      <c r="M106" s="324">
        <v>14.772192111176738</v>
      </c>
      <c r="N106" s="324">
        <v>14.576271593062243</v>
      </c>
      <c r="O106" s="324">
        <v>13.523647010782931</v>
      </c>
      <c r="P106" s="324">
        <v>13.994704422806288</v>
      </c>
      <c r="Q106" s="324">
        <v>13.407633335830226</v>
      </c>
      <c r="R106" s="324">
        <v>13.690171480216849</v>
      </c>
      <c r="S106" s="324">
        <v>15.033050396633783</v>
      </c>
      <c r="T106" s="324">
        <v>13.970512238371031</v>
      </c>
      <c r="U106" s="324">
        <v>13.764699266371563</v>
      </c>
      <c r="V106" s="324">
        <v>14.217656015456685</v>
      </c>
      <c r="W106" s="324">
        <v>14.589672229376617</v>
      </c>
      <c r="X106" s="324">
        <v>14.907717184221921</v>
      </c>
      <c r="Y106" s="324">
        <v>14.74419388644538</v>
      </c>
      <c r="Z106" s="324">
        <v>14.549614799498512</v>
      </c>
      <c r="AA106" s="324">
        <v>13.457236106001613</v>
      </c>
      <c r="AB106" s="322">
        <v>13.841332878594928</v>
      </c>
      <c r="AC106" s="322">
        <v>14.227344997034967</v>
      </c>
      <c r="AD106" s="322">
        <v>13.032977469034087</v>
      </c>
      <c r="AE106" s="322">
        <v>12.259252916244494</v>
      </c>
      <c r="AF106" s="322">
        <v>13.831380624585194</v>
      </c>
      <c r="AG106" s="322">
        <v>12.484232554744594</v>
      </c>
      <c r="AH106" s="322">
        <v>13.345819675010439</v>
      </c>
      <c r="AI106" s="322">
        <v>14.311561213296567</v>
      </c>
      <c r="AJ106" s="322">
        <v>13.639532536049801</v>
      </c>
      <c r="AK106" s="322">
        <v>13.446558492930949</v>
      </c>
      <c r="AL106" s="322">
        <v>12.856887107385655</v>
      </c>
      <c r="AM106" s="322">
        <v>13.257562401968103</v>
      </c>
      <c r="AN106" s="322">
        <v>12.967765190616054</v>
      </c>
      <c r="AO106" s="322">
        <v>12.708496793241117</v>
      </c>
      <c r="AP106" s="322">
        <v>12.986179891727014</v>
      </c>
      <c r="AQ106" s="322">
        <v>13.243797116589352</v>
      </c>
      <c r="AR106" s="322">
        <v>14.528734260780588</v>
      </c>
      <c r="AS106" s="322">
        <v>14.332669614864075</v>
      </c>
      <c r="AT106" s="322">
        <v>16.774312498158487</v>
      </c>
      <c r="AU106" s="322">
        <v>18.835297210793311</v>
      </c>
      <c r="AV106" s="322">
        <v>17.798334240564284</v>
      </c>
      <c r="AW106" s="322">
        <v>14.601478633581532</v>
      </c>
      <c r="AX106" s="322">
        <v>13.913884607244929</v>
      </c>
      <c r="AY106" s="322">
        <v>11.898499399637309</v>
      </c>
    </row>
    <row r="107" spans="1:51" s="301" customFormat="1" x14ac:dyDescent="0.25">
      <c r="A107" s="132">
        <v>221</v>
      </c>
      <c r="B107" s="342" t="s">
        <v>423</v>
      </c>
      <c r="C107" s="143" t="s">
        <v>422</v>
      </c>
      <c r="D107" s="324">
        <v>0</v>
      </c>
      <c r="E107" s="324">
        <v>0</v>
      </c>
      <c r="F107" s="324">
        <v>0</v>
      </c>
      <c r="G107" s="324">
        <v>0</v>
      </c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>
        <v>0</v>
      </c>
      <c r="U107" s="324">
        <v>0</v>
      </c>
      <c r="V107" s="324">
        <v>0</v>
      </c>
      <c r="W107" s="324">
        <v>0</v>
      </c>
      <c r="X107" s="324">
        <v>0</v>
      </c>
      <c r="Y107" s="324">
        <v>0</v>
      </c>
      <c r="Z107" s="324">
        <v>0</v>
      </c>
      <c r="AA107" s="324">
        <v>0</v>
      </c>
      <c r="AB107" s="301">
        <v>0</v>
      </c>
      <c r="AC107" s="322">
        <v>0</v>
      </c>
      <c r="AD107" s="322">
        <v>0</v>
      </c>
      <c r="AE107" s="322">
        <v>0</v>
      </c>
      <c r="AF107" s="322">
        <v>0</v>
      </c>
      <c r="AG107" s="322">
        <v>0</v>
      </c>
      <c r="AH107" s="322">
        <v>0</v>
      </c>
      <c r="AI107" s="322">
        <v>0</v>
      </c>
      <c r="AJ107" s="322">
        <v>0</v>
      </c>
      <c r="AK107" s="322">
        <v>0</v>
      </c>
      <c r="AL107" s="322">
        <v>0</v>
      </c>
      <c r="AM107" s="322">
        <v>0</v>
      </c>
      <c r="AN107" s="322">
        <v>0</v>
      </c>
      <c r="AO107" s="322">
        <v>0</v>
      </c>
      <c r="AP107" s="322">
        <v>0</v>
      </c>
      <c r="AQ107" s="322">
        <v>0</v>
      </c>
      <c r="AR107" s="322">
        <v>0</v>
      </c>
      <c r="AS107" s="322">
        <v>0</v>
      </c>
      <c r="AT107" s="322">
        <v>0</v>
      </c>
      <c r="AU107" s="322">
        <v>0</v>
      </c>
      <c r="AV107" s="322">
        <v>0</v>
      </c>
      <c r="AW107" s="322">
        <v>0</v>
      </c>
      <c r="AX107" s="322">
        <v>0</v>
      </c>
      <c r="AY107" s="322">
        <v>0</v>
      </c>
    </row>
    <row r="108" spans="1:51" s="301" customFormat="1" x14ac:dyDescent="0.25">
      <c r="A108" s="132">
        <v>257</v>
      </c>
      <c r="B108" s="132" t="s">
        <v>477</v>
      </c>
      <c r="C108" s="143" t="s">
        <v>476</v>
      </c>
      <c r="D108" s="324">
        <v>66.554552881286853</v>
      </c>
      <c r="E108" s="324">
        <v>59.749140709328351</v>
      </c>
      <c r="F108" s="324">
        <v>65.281784832390869</v>
      </c>
      <c r="G108" s="324">
        <v>42.113055332651633</v>
      </c>
      <c r="H108" s="324">
        <v>73.033088393535067</v>
      </c>
      <c r="I108" s="324">
        <v>73.59190177610111</v>
      </c>
      <c r="J108" s="324">
        <v>78.300482826258602</v>
      </c>
      <c r="K108" s="324">
        <v>81.038368476869749</v>
      </c>
      <c r="L108" s="324">
        <v>77.659574889964333</v>
      </c>
      <c r="M108" s="324">
        <v>73.86147997792493</v>
      </c>
      <c r="N108" s="324">
        <v>66.480883664248694</v>
      </c>
      <c r="O108" s="324">
        <v>64.516469507908084</v>
      </c>
      <c r="P108" s="324">
        <v>64.244187389946575</v>
      </c>
      <c r="Q108" s="324">
        <v>60.069852763273566</v>
      </c>
      <c r="R108" s="324">
        <v>64.289091394845542</v>
      </c>
      <c r="S108" s="324">
        <v>66.055243251268976</v>
      </c>
      <c r="T108" s="324">
        <v>71.076313055388638</v>
      </c>
      <c r="U108" s="324">
        <v>71.759518442864049</v>
      </c>
      <c r="V108" s="324">
        <v>75.893974919563348</v>
      </c>
      <c r="W108" s="324">
        <v>78.485801152189737</v>
      </c>
      <c r="X108" s="324">
        <v>75.720302779715794</v>
      </c>
      <c r="Y108" s="324">
        <v>72.436394912263864</v>
      </c>
      <c r="Z108" s="324">
        <v>66.063445183733009</v>
      </c>
      <c r="AA108" s="324">
        <v>61.218836318195557</v>
      </c>
      <c r="AB108" s="322">
        <v>63.06491957825218</v>
      </c>
      <c r="AC108" s="322">
        <v>59.591983758375662</v>
      </c>
      <c r="AD108" s="322">
        <v>61.614476051495743</v>
      </c>
      <c r="AE108" s="322">
        <v>62.464892031049565</v>
      </c>
      <c r="AF108" s="322">
        <v>70.091880975476997</v>
      </c>
      <c r="AG108" s="322">
        <v>68.729846089924379</v>
      </c>
      <c r="AH108" s="322">
        <v>75.361834425301666</v>
      </c>
      <c r="AI108" s="322">
        <v>77.445265496843021</v>
      </c>
      <c r="AJ108" s="322">
        <v>73.698005939089413</v>
      </c>
      <c r="AK108" s="322">
        <v>70.538493715682961</v>
      </c>
      <c r="AL108" s="322">
        <v>64.686600798577714</v>
      </c>
      <c r="AM108" s="322">
        <v>62.319914640357084</v>
      </c>
      <c r="AN108" s="322">
        <v>63.776108346661715</v>
      </c>
      <c r="AO108" s="322">
        <v>59.39284297490228</v>
      </c>
      <c r="AP108" s="322">
        <v>64.025214024522057</v>
      </c>
      <c r="AQ108" s="322">
        <v>66.213143078048688</v>
      </c>
      <c r="AR108" s="322">
        <v>75.678353099581386</v>
      </c>
      <c r="AS108" s="322">
        <v>76.175716555728599</v>
      </c>
      <c r="AT108" s="322">
        <v>98.405196964261251</v>
      </c>
      <c r="AU108" s="322">
        <v>110.3951125106596</v>
      </c>
      <c r="AV108" s="322">
        <v>102.13623061686269</v>
      </c>
      <c r="AW108" s="322">
        <v>84.111164931992292</v>
      </c>
      <c r="AX108" s="322">
        <v>64.644904333518667</v>
      </c>
      <c r="AY108" s="322">
        <v>60.407030659042071</v>
      </c>
    </row>
    <row r="109" spans="1:51" s="301" customFormat="1" x14ac:dyDescent="0.25">
      <c r="A109" s="132">
        <v>128</v>
      </c>
      <c r="B109" s="342" t="s">
        <v>300</v>
      </c>
      <c r="C109" s="143" t="s">
        <v>299</v>
      </c>
      <c r="D109" s="324">
        <v>525.62810756025283</v>
      </c>
      <c r="E109" s="324">
        <v>693.95390117289821</v>
      </c>
      <c r="F109" s="324">
        <v>523.4869017035528</v>
      </c>
      <c r="G109" s="324">
        <v>380.36822809158235</v>
      </c>
      <c r="H109" s="324">
        <v>607.72691205570652</v>
      </c>
      <c r="I109" s="324">
        <v>573.63161268155466</v>
      </c>
      <c r="J109" s="324">
        <v>567.32498812385893</v>
      </c>
      <c r="K109" s="324">
        <v>671.99462237220621</v>
      </c>
      <c r="L109" s="324">
        <v>658.18776635440281</v>
      </c>
      <c r="M109" s="324">
        <v>633.16563262055502</v>
      </c>
      <c r="N109" s="324">
        <v>624.84768485920233</v>
      </c>
      <c r="O109" s="324">
        <v>517.39108160505259</v>
      </c>
      <c r="P109" s="324">
        <v>541.87033972926451</v>
      </c>
      <c r="Q109" s="324">
        <v>526.97665777541863</v>
      </c>
      <c r="R109" s="324">
        <v>544.31526591341424</v>
      </c>
      <c r="S109" s="324">
        <v>676.81933995569</v>
      </c>
      <c r="T109" s="324">
        <v>566.38883905955925</v>
      </c>
      <c r="U109" s="324">
        <v>577.76387135857794</v>
      </c>
      <c r="V109" s="324">
        <v>638.26493635846305</v>
      </c>
      <c r="W109" s="324">
        <v>613.10424647094624</v>
      </c>
      <c r="X109" s="324">
        <v>685.71962284832171</v>
      </c>
      <c r="Y109" s="324">
        <v>655.09150569289329</v>
      </c>
      <c r="Z109" s="324">
        <v>630.18092129218132</v>
      </c>
      <c r="AA109" s="324">
        <v>549.07917609256606</v>
      </c>
      <c r="AB109" s="322">
        <v>550.01994220185713</v>
      </c>
      <c r="AC109" s="322">
        <v>604.67138831940463</v>
      </c>
      <c r="AD109" s="322">
        <v>539.49962685237278</v>
      </c>
      <c r="AE109" s="322">
        <v>537.31256449396642</v>
      </c>
      <c r="AF109" s="322">
        <v>0</v>
      </c>
      <c r="AG109" s="322">
        <v>0</v>
      </c>
      <c r="AH109" s="322">
        <v>0</v>
      </c>
      <c r="AI109" s="322">
        <v>0</v>
      </c>
      <c r="AJ109" s="322">
        <v>0</v>
      </c>
      <c r="AK109" s="322">
        <v>0</v>
      </c>
      <c r="AL109" s="322">
        <v>0</v>
      </c>
      <c r="AM109" s="322">
        <v>0</v>
      </c>
      <c r="AN109" s="322">
        <v>0</v>
      </c>
      <c r="AO109" s="322">
        <v>0</v>
      </c>
      <c r="AP109" s="322">
        <v>0</v>
      </c>
      <c r="AQ109" s="322">
        <v>0</v>
      </c>
      <c r="AR109" s="322">
        <v>0</v>
      </c>
      <c r="AS109" s="322">
        <v>0</v>
      </c>
      <c r="AT109" s="322">
        <v>0</v>
      </c>
      <c r="AU109" s="322">
        <v>0</v>
      </c>
      <c r="AV109" s="322">
        <v>0</v>
      </c>
      <c r="AW109" s="322">
        <v>0</v>
      </c>
      <c r="AX109" s="322">
        <v>0</v>
      </c>
      <c r="AY109" s="322">
        <v>0</v>
      </c>
    </row>
    <row r="110" spans="1:51" s="301" customFormat="1" x14ac:dyDescent="0.25">
      <c r="A110" s="62">
        <v>350</v>
      </c>
      <c r="B110" s="327" t="s">
        <v>576</v>
      </c>
      <c r="C110" s="100" t="s">
        <v>3700</v>
      </c>
      <c r="D110" s="324">
        <v>610.2045454545455</v>
      </c>
      <c r="E110" s="324">
        <v>610.2045454545455</v>
      </c>
      <c r="F110" s="324">
        <v>610.2045454545455</v>
      </c>
      <c r="G110" s="324">
        <v>229.30614973262033</v>
      </c>
      <c r="H110" s="324">
        <v>715.169368315508</v>
      </c>
      <c r="I110" s="324">
        <v>1012.2692179144385</v>
      </c>
      <c r="J110" s="324">
        <v>561.41836564171126</v>
      </c>
      <c r="K110" s="324">
        <v>450.99740975935828</v>
      </c>
      <c r="L110" s="324">
        <v>765.80873997326205</v>
      </c>
      <c r="M110" s="324">
        <v>788.55264037433153</v>
      </c>
      <c r="N110" s="324">
        <v>296.12698445855614</v>
      </c>
      <c r="O110" s="324">
        <v>303.13732453208559</v>
      </c>
      <c r="P110" s="324">
        <v>411.36096256684493</v>
      </c>
      <c r="Q110" s="324">
        <v>505.89175055048759</v>
      </c>
      <c r="R110" s="324">
        <v>450.47771836007138</v>
      </c>
      <c r="S110" s="324">
        <v>467.98250148544264</v>
      </c>
      <c r="T110" s="324">
        <v>549.98772727272728</v>
      </c>
      <c r="U110" s="324">
        <v>877.16012032085564</v>
      </c>
      <c r="V110" s="324">
        <v>437.28985294117649</v>
      </c>
      <c r="W110" s="324">
        <v>411.89965240641709</v>
      </c>
      <c r="X110" s="324">
        <v>441.04338842975204</v>
      </c>
      <c r="Y110" s="324">
        <v>480.7348796791444</v>
      </c>
      <c r="Z110" s="324">
        <v>679.55644385026733</v>
      </c>
      <c r="AA110" s="324">
        <v>414.47288770053473</v>
      </c>
      <c r="AB110" s="322">
        <v>504.12128342245984</v>
      </c>
      <c r="AC110" s="322">
        <v>542.20772727272731</v>
      </c>
      <c r="AD110" s="322">
        <v>504.12128342245984</v>
      </c>
      <c r="AE110" s="322">
        <v>347.82507520053474</v>
      </c>
      <c r="AF110" s="322">
        <v>426.0625</v>
      </c>
      <c r="AG110" s="322">
        <v>479.2311580882353</v>
      </c>
      <c r="AH110" s="322">
        <v>644.7964141356116</v>
      </c>
      <c r="AI110" s="322">
        <v>594.56133689839578</v>
      </c>
      <c r="AJ110" s="322">
        <v>537.64810828877012</v>
      </c>
      <c r="AK110" s="322">
        <v>613.70165218360057</v>
      </c>
      <c r="AL110" s="322">
        <v>475.6895106951871</v>
      </c>
      <c r="AM110" s="322">
        <v>352.30195454545452</v>
      </c>
      <c r="AN110" s="322">
        <v>267.37967914438502</v>
      </c>
      <c r="AO110" s="322">
        <v>536.53045164884134</v>
      </c>
      <c r="AP110" s="322">
        <v>500.34832999108727</v>
      </c>
      <c r="AQ110" s="322">
        <v>351.86693218025846</v>
      </c>
      <c r="AR110" s="322">
        <v>467.91443850267382</v>
      </c>
      <c r="AS110" s="322">
        <v>467.91443850267382</v>
      </c>
      <c r="AT110" s="322">
        <v>736.3716577540107</v>
      </c>
      <c r="AU110" s="322">
        <v>775.46524064171126</v>
      </c>
      <c r="AV110" s="322">
        <v>653.73796791443851</v>
      </c>
      <c r="AW110" s="322">
        <v>741.69385026737973</v>
      </c>
      <c r="AX110" s="322">
        <v>577.58021390374336</v>
      </c>
      <c r="AY110" s="322">
        <v>687.79144385026734</v>
      </c>
    </row>
    <row r="111" spans="1:51" s="301" customFormat="1" x14ac:dyDescent="0.25">
      <c r="A111" s="132">
        <v>25</v>
      </c>
      <c r="B111" s="132" t="s">
        <v>81</v>
      </c>
      <c r="C111" s="143" t="s">
        <v>3658</v>
      </c>
      <c r="D111" s="324">
        <v>56.185420186737893</v>
      </c>
      <c r="E111" s="324">
        <v>92.16266952680256</v>
      </c>
      <c r="F111" s="324">
        <v>54.482267119207116</v>
      </c>
      <c r="G111" s="324">
        <v>47.313624964051911</v>
      </c>
      <c r="H111" s="324">
        <v>75.00048589936037</v>
      </c>
      <c r="I111" s="324">
        <v>66.700324789837097</v>
      </c>
      <c r="J111" s="324">
        <v>64.732383332298824</v>
      </c>
      <c r="K111" s="324">
        <v>89.22017686769891</v>
      </c>
      <c r="L111" s="324">
        <v>85.725048864342185</v>
      </c>
      <c r="M111" s="324">
        <v>80.698234350321925</v>
      </c>
      <c r="N111" s="324">
        <v>78.742660220580092</v>
      </c>
      <c r="O111" s="324">
        <v>46.877805086836688</v>
      </c>
      <c r="P111" s="324">
        <v>58.508370293555707</v>
      </c>
      <c r="Q111" s="324">
        <v>54.163897083385862</v>
      </c>
      <c r="R111" s="324">
        <v>59.593638459522161</v>
      </c>
      <c r="S111" s="324">
        <v>88.638320803742801</v>
      </c>
      <c r="T111" s="324">
        <v>63.843843576112612</v>
      </c>
      <c r="U111" s="324">
        <v>66.38777706283814</v>
      </c>
      <c r="V111" s="324">
        <v>79.591242598121497</v>
      </c>
      <c r="W111" s="324">
        <v>74.986555211879406</v>
      </c>
      <c r="X111" s="324">
        <v>90.440270273547441</v>
      </c>
      <c r="Y111" s="324">
        <v>84.538593256239494</v>
      </c>
      <c r="Z111" s="324">
        <v>79.610472128784139</v>
      </c>
      <c r="AA111" s="324">
        <v>57.603038996657411</v>
      </c>
      <c r="AB111" s="322">
        <v>59.608216427035075</v>
      </c>
      <c r="AC111" s="322">
        <v>73.186830800944009</v>
      </c>
      <c r="AD111" s="322">
        <v>55.273873161562754</v>
      </c>
      <c r="AE111" s="322">
        <v>42.729908092034108</v>
      </c>
      <c r="AF111" s="322">
        <v>64.101247139035266</v>
      </c>
      <c r="AG111" s="322">
        <v>48.899096792129086</v>
      </c>
      <c r="AH111" s="322">
        <v>62.818082982876554</v>
      </c>
      <c r="AI111" s="322">
        <v>72.213993704409859</v>
      </c>
      <c r="AJ111" s="322">
        <v>69.754054885244656</v>
      </c>
      <c r="AK111" s="322">
        <v>63.185804541264496</v>
      </c>
      <c r="AL111" s="322">
        <v>48.771882850545822</v>
      </c>
      <c r="AM111" s="322">
        <v>49.363074131250684</v>
      </c>
      <c r="AN111" s="322">
        <v>38.657613132650596</v>
      </c>
      <c r="AO111" s="322">
        <v>42.044872505646076</v>
      </c>
      <c r="AP111" s="322">
        <v>45.745240404806374</v>
      </c>
      <c r="AQ111" s="322">
        <v>50.52124316725952</v>
      </c>
      <c r="AR111" s="322">
        <v>60.70447927837774</v>
      </c>
      <c r="AS111" s="322">
        <v>64.611622599386024</v>
      </c>
      <c r="AT111" s="322">
        <v>68.328614367506432</v>
      </c>
      <c r="AU111" s="322">
        <v>70.067728027295971</v>
      </c>
      <c r="AV111" s="322">
        <v>73.478970134300795</v>
      </c>
      <c r="AW111" s="322">
        <v>45.263291884676349</v>
      </c>
      <c r="AX111" s="322">
        <v>71.111428759036684</v>
      </c>
      <c r="AY111" s="322">
        <v>27.853215140294239</v>
      </c>
    </row>
    <row r="112" spans="1:51" s="301" customFormat="1" x14ac:dyDescent="0.25">
      <c r="A112" s="62">
        <v>344</v>
      </c>
      <c r="B112" s="327" t="s">
        <v>3639</v>
      </c>
      <c r="C112" s="100" t="s">
        <v>3695</v>
      </c>
      <c r="D112" s="324">
        <v>1559</v>
      </c>
      <c r="E112" s="324">
        <v>2014.5550000000001</v>
      </c>
      <c r="F112" s="324">
        <v>1322</v>
      </c>
      <c r="G112" s="324">
        <v>397.88799999999998</v>
      </c>
      <c r="H112" s="324">
        <v>0</v>
      </c>
      <c r="I112" s="324">
        <v>736.55499999999995</v>
      </c>
      <c r="J112" s="324">
        <v>0</v>
      </c>
      <c r="K112" s="324">
        <v>1317.489</v>
      </c>
      <c r="L112" s="324">
        <v>0</v>
      </c>
      <c r="M112" s="324">
        <v>857.12699999999995</v>
      </c>
      <c r="N112" s="324">
        <v>0</v>
      </c>
      <c r="O112" s="324">
        <v>555.04</v>
      </c>
      <c r="P112" s="324">
        <v>0</v>
      </c>
      <c r="Q112" s="324">
        <v>22635.040000000001</v>
      </c>
      <c r="R112" s="324">
        <v>1479.3440000000001</v>
      </c>
      <c r="S112" s="324">
        <v>3431</v>
      </c>
      <c r="T112" s="325">
        <v>589</v>
      </c>
      <c r="U112" s="325">
        <v>400</v>
      </c>
      <c r="V112" s="325">
        <v>1254</v>
      </c>
      <c r="W112" s="325">
        <v>1573</v>
      </c>
      <c r="X112" s="325">
        <v>1297</v>
      </c>
      <c r="Y112" s="325">
        <v>2151</v>
      </c>
      <c r="Z112" s="325">
        <v>1327</v>
      </c>
      <c r="AA112" s="325">
        <v>1124</v>
      </c>
      <c r="AB112" s="322">
        <v>887</v>
      </c>
      <c r="AC112" s="322">
        <v>1780</v>
      </c>
      <c r="AD112" s="322">
        <v>642</v>
      </c>
      <c r="AE112" s="322">
        <v>181</v>
      </c>
      <c r="AF112" s="322">
        <v>1137.3909999999996</v>
      </c>
      <c r="AG112" s="322">
        <v>1713</v>
      </c>
      <c r="AH112" s="322">
        <v>834</v>
      </c>
      <c r="AI112" s="322">
        <v>335</v>
      </c>
      <c r="AJ112" s="322">
        <v>318</v>
      </c>
      <c r="AK112" s="322">
        <v>1030</v>
      </c>
      <c r="AL112" s="322">
        <v>612</v>
      </c>
      <c r="AM112" s="322">
        <v>760</v>
      </c>
      <c r="AN112" s="322">
        <v>392</v>
      </c>
      <c r="AO112" s="322">
        <v>1526</v>
      </c>
      <c r="AP112" s="322">
        <v>522</v>
      </c>
      <c r="AQ112" s="322">
        <v>1373</v>
      </c>
      <c r="AR112" s="321">
        <f t="shared" ref="AR112:AY112" si="3">AVERAGE(AM112:AQ112)</f>
        <v>914.6</v>
      </c>
      <c r="AS112" s="321">
        <f t="shared" si="3"/>
        <v>945.5200000000001</v>
      </c>
      <c r="AT112" s="321">
        <f t="shared" si="3"/>
        <v>1056.2240000000002</v>
      </c>
      <c r="AU112" s="321">
        <f t="shared" si="3"/>
        <v>962.26880000000006</v>
      </c>
      <c r="AV112" s="321">
        <f t="shared" si="3"/>
        <v>1050.3225600000001</v>
      </c>
      <c r="AW112" s="321">
        <f t="shared" si="3"/>
        <v>985.78707199999985</v>
      </c>
      <c r="AX112" s="321">
        <f t="shared" si="3"/>
        <v>1000.0244864</v>
      </c>
      <c r="AY112" s="321">
        <f t="shared" si="3"/>
        <v>1010.9253836800001</v>
      </c>
    </row>
    <row r="113" spans="1:51" s="301" customFormat="1" x14ac:dyDescent="0.25">
      <c r="A113" s="132">
        <v>45</v>
      </c>
      <c r="B113" s="132" t="s">
        <v>120</v>
      </c>
      <c r="C113" s="143" t="s">
        <v>119</v>
      </c>
      <c r="D113" s="324">
        <v>55.22465626026213</v>
      </c>
      <c r="E113" s="324">
        <v>92.665784135615979</v>
      </c>
      <c r="F113" s="324">
        <v>53.251267477519676</v>
      </c>
      <c r="G113" s="324">
        <v>47.147751030510754</v>
      </c>
      <c r="H113" s="324">
        <v>74.997586284735959</v>
      </c>
      <c r="I113" s="324">
        <v>65.761717701865365</v>
      </c>
      <c r="J113" s="324">
        <v>64.195831487795559</v>
      </c>
      <c r="K113" s="324">
        <v>90.154025685901473</v>
      </c>
      <c r="L113" s="324">
        <v>86.000730164678671</v>
      </c>
      <c r="M113" s="324">
        <v>81.212617551055558</v>
      </c>
      <c r="N113" s="324">
        <v>79.267877265089012</v>
      </c>
      <c r="O113" s="324">
        <v>45.678644795031914</v>
      </c>
      <c r="P113" s="324">
        <v>57.784451667057482</v>
      </c>
      <c r="Q113" s="324">
        <v>52.836689910505129</v>
      </c>
      <c r="R113" s="324">
        <v>58.664207474765661</v>
      </c>
      <c r="S113" s="324">
        <v>89.065090168016084</v>
      </c>
      <c r="T113" s="324">
        <v>63.405442864707624</v>
      </c>
      <c r="U113" s="324">
        <v>65.53674251778672</v>
      </c>
      <c r="V113" s="324">
        <v>79.87348421370109</v>
      </c>
      <c r="W113" s="324">
        <v>75.347020771286068</v>
      </c>
      <c r="X113" s="324">
        <v>91.035538845274417</v>
      </c>
      <c r="Y113" s="324">
        <v>85.300068719914023</v>
      </c>
      <c r="Z113" s="324">
        <v>80.197260010547453</v>
      </c>
      <c r="AA113" s="324">
        <v>57.089995307807996</v>
      </c>
      <c r="AB113" s="322">
        <v>59.001101646499762</v>
      </c>
      <c r="AC113" s="322">
        <v>72.796554214358039</v>
      </c>
      <c r="AD113" s="322">
        <v>54.295466639677514</v>
      </c>
      <c r="AE113" s="322">
        <v>41.17678635406768</v>
      </c>
      <c r="AF113" s="322">
        <v>63.723283355523861</v>
      </c>
      <c r="AG113" s="322">
        <v>47.384668860457055</v>
      </c>
      <c r="AH113" s="322">
        <v>62.326198231882657</v>
      </c>
      <c r="AI113" s="322">
        <v>72.48499379470222</v>
      </c>
      <c r="AJ113" s="322">
        <v>69.463387935495135</v>
      </c>
      <c r="AK113" s="322">
        <v>63.016004892857332</v>
      </c>
      <c r="AL113" s="322">
        <v>47.95694572389089</v>
      </c>
      <c r="AM113" s="322">
        <v>48.399088122991124</v>
      </c>
      <c r="AN113" s="322">
        <v>37.013994220788121</v>
      </c>
      <c r="AO113" s="322">
        <v>40.184595973556888</v>
      </c>
      <c r="AP113" s="322">
        <v>44.171824625402223</v>
      </c>
      <c r="AQ113" s="322">
        <v>49.123844093638887</v>
      </c>
      <c r="AR113" s="322">
        <v>59.891354133134911</v>
      </c>
      <c r="AS113" s="322">
        <v>63.42908224305426</v>
      </c>
      <c r="AT113" s="322">
        <v>67.034072253004197</v>
      </c>
      <c r="AU113" s="322">
        <v>68.888769815980524</v>
      </c>
      <c r="AV113" s="322">
        <v>71.971787908158902</v>
      </c>
      <c r="AW113" s="322">
        <v>43.628419483949763</v>
      </c>
      <c r="AX113" s="322">
        <v>71.362301880699434</v>
      </c>
      <c r="AY113" s="322">
        <v>25.966690670862409</v>
      </c>
    </row>
    <row r="114" spans="1:51" s="301" customFormat="1" x14ac:dyDescent="0.25">
      <c r="A114" s="62">
        <v>347</v>
      </c>
      <c r="B114" s="327" t="s">
        <v>3643</v>
      </c>
      <c r="C114" s="100" t="s">
        <v>3697</v>
      </c>
      <c r="D114" s="324">
        <v>332</v>
      </c>
      <c r="E114" s="324">
        <v>1653.547</v>
      </c>
      <c r="F114" s="324">
        <v>312</v>
      </c>
      <c r="G114" s="324">
        <v>665.88799999999992</v>
      </c>
      <c r="H114" s="324">
        <v>363</v>
      </c>
      <c r="I114" s="324">
        <v>529.55500000000006</v>
      </c>
      <c r="J114" s="324">
        <v>275</v>
      </c>
      <c r="K114" s="324">
        <v>899.09300000000007</v>
      </c>
      <c r="L114" s="324">
        <v>507</v>
      </c>
      <c r="M114" s="324">
        <v>875.44200000000001</v>
      </c>
      <c r="N114" s="324">
        <v>621</v>
      </c>
      <c r="O114" s="324">
        <v>749.48599999999999</v>
      </c>
      <c r="P114" s="324">
        <v>528</v>
      </c>
      <c r="Q114" s="324">
        <v>608.43399999999997</v>
      </c>
      <c r="R114" s="324">
        <v>361.54500000000002</v>
      </c>
      <c r="S114" s="324">
        <v>1426</v>
      </c>
      <c r="T114" s="325">
        <v>315</v>
      </c>
      <c r="U114" s="325">
        <v>463</v>
      </c>
      <c r="V114" s="325">
        <v>345</v>
      </c>
      <c r="W114" s="325">
        <v>683</v>
      </c>
      <c r="X114" s="325">
        <v>532</v>
      </c>
      <c r="Y114" s="325">
        <v>726</v>
      </c>
      <c r="Z114" s="325">
        <v>393</v>
      </c>
      <c r="AA114" s="325">
        <v>341</v>
      </c>
      <c r="AB114" s="322">
        <v>288</v>
      </c>
      <c r="AC114" s="322">
        <v>575</v>
      </c>
      <c r="AD114" s="322">
        <v>255</v>
      </c>
      <c r="AE114" s="322">
        <v>0</v>
      </c>
      <c r="AF114" s="322">
        <v>608</v>
      </c>
      <c r="AG114" s="322">
        <v>758</v>
      </c>
      <c r="AH114" s="322">
        <v>645.99900000000002</v>
      </c>
      <c r="AI114" s="322">
        <v>-386.99900000000002</v>
      </c>
      <c r="AJ114" s="322">
        <v>340</v>
      </c>
      <c r="AK114" s="322">
        <v>485</v>
      </c>
      <c r="AL114" s="322">
        <v>476</v>
      </c>
      <c r="AM114" s="322">
        <v>933</v>
      </c>
      <c r="AN114" s="322">
        <v>992</v>
      </c>
      <c r="AO114" s="322">
        <v>1088</v>
      </c>
      <c r="AP114" s="322">
        <v>568</v>
      </c>
      <c r="AQ114" s="322">
        <v>775</v>
      </c>
      <c r="AR114" s="321">
        <f t="shared" ref="AR114:AY114" si="4">AVERAGE(AM114:AQ114)</f>
        <v>871.2</v>
      </c>
      <c r="AS114" s="321">
        <f t="shared" si="4"/>
        <v>858.83999999999992</v>
      </c>
      <c r="AT114" s="321">
        <f t="shared" si="4"/>
        <v>832.20799999999997</v>
      </c>
      <c r="AU114" s="321">
        <f t="shared" si="4"/>
        <v>781.04960000000005</v>
      </c>
      <c r="AV114" s="321">
        <f t="shared" si="4"/>
        <v>823.65951999999993</v>
      </c>
      <c r="AW114" s="321">
        <f t="shared" si="4"/>
        <v>833.39142400000003</v>
      </c>
      <c r="AX114" s="321">
        <f t="shared" si="4"/>
        <v>825.82970880000016</v>
      </c>
      <c r="AY114" s="321">
        <f t="shared" si="4"/>
        <v>819.22765056000003</v>
      </c>
    </row>
    <row r="115" spans="1:51" s="301" customFormat="1" x14ac:dyDescent="0.25">
      <c r="A115" s="132">
        <v>41</v>
      </c>
      <c r="B115" s="132" t="s">
        <v>111</v>
      </c>
      <c r="C115" s="143" t="s">
        <v>3771</v>
      </c>
      <c r="D115" s="324">
        <v>59.421803329382783</v>
      </c>
      <c r="E115" s="324">
        <v>112.00852919436515</v>
      </c>
      <c r="F115" s="324">
        <v>57.14708150659429</v>
      </c>
      <c r="G115" s="324">
        <v>55.198144158468409</v>
      </c>
      <c r="H115" s="324">
        <v>86.618585384857766</v>
      </c>
      <c r="I115" s="324">
        <v>75.476051224078006</v>
      </c>
      <c r="J115" s="324">
        <v>71.659166562177063</v>
      </c>
      <c r="K115" s="324">
        <v>106.38257776270504</v>
      </c>
      <c r="L115" s="324">
        <v>101.61588554148837</v>
      </c>
      <c r="M115" s="324">
        <v>93.353928062900337</v>
      </c>
      <c r="N115" s="324">
        <v>90.909788149674128</v>
      </c>
      <c r="O115" s="324">
        <v>46.450266843481756</v>
      </c>
      <c r="P115" s="324">
        <v>63.463847353988953</v>
      </c>
      <c r="Q115" s="324">
        <v>57.619081348197263</v>
      </c>
      <c r="R115" s="324">
        <v>64.763578447221235</v>
      </c>
      <c r="S115" s="324">
        <v>107.1878767802729</v>
      </c>
      <c r="T115" s="324">
        <v>71.230450278455137</v>
      </c>
      <c r="U115" s="324">
        <v>75.522811823653456</v>
      </c>
      <c r="V115" s="324">
        <v>93.525862620485114</v>
      </c>
      <c r="W115" s="324">
        <v>86.712652557776764</v>
      </c>
      <c r="X115" s="324">
        <v>108.87253262994227</v>
      </c>
      <c r="Y115" s="324">
        <v>99.263258784492507</v>
      </c>
      <c r="Z115" s="324">
        <v>92.28502017638894</v>
      </c>
      <c r="AA115" s="324">
        <v>62.820768358888017</v>
      </c>
      <c r="AB115" s="322">
        <v>65.404370842195462</v>
      </c>
      <c r="AC115" s="322">
        <v>84.951879537623299</v>
      </c>
      <c r="AD115" s="322">
        <v>59.439945030891813</v>
      </c>
      <c r="AE115" s="322">
        <v>42.660974626145659</v>
      </c>
      <c r="AF115" s="322">
        <v>71.874831032010249</v>
      </c>
      <c r="AG115" s="322">
        <v>51.354537196536377</v>
      </c>
      <c r="AH115" s="322">
        <v>69.705672066865333</v>
      </c>
      <c r="AI115" s="322">
        <v>83.022451845566792</v>
      </c>
      <c r="AJ115" s="322">
        <v>79.863701663087667</v>
      </c>
      <c r="AK115" s="322">
        <v>69.322756387022508</v>
      </c>
      <c r="AL115" s="322">
        <v>48.67681697820246</v>
      </c>
      <c r="AM115" s="322">
        <v>50.699216543927655</v>
      </c>
      <c r="AN115" s="322">
        <v>35.252212512058904</v>
      </c>
      <c r="AO115" s="322">
        <v>40.528868206832549</v>
      </c>
      <c r="AP115" s="322">
        <v>45.063762988336286</v>
      </c>
      <c r="AQ115" s="322">
        <v>52.688443021752938</v>
      </c>
      <c r="AR115" s="322">
        <v>65.452302763644454</v>
      </c>
      <c r="AS115" s="322">
        <v>71.796656554669184</v>
      </c>
      <c r="AT115" s="322">
        <v>71.451933857456922</v>
      </c>
      <c r="AU115" s="322">
        <v>71.387429078289927</v>
      </c>
      <c r="AV115" s="322">
        <v>77.550490503985927</v>
      </c>
      <c r="AW115" s="322">
        <v>39.689479298108758</v>
      </c>
      <c r="AX115" s="322">
        <v>80.603988682718395</v>
      </c>
      <c r="AY115" s="322">
        <v>20.579196701025687</v>
      </c>
    </row>
    <row r="116" spans="1:51" s="301" customFormat="1" x14ac:dyDescent="0.25">
      <c r="A116" s="132">
        <v>93</v>
      </c>
      <c r="B116" s="132" t="s">
        <v>3772</v>
      </c>
      <c r="C116" s="143" t="s">
        <v>227</v>
      </c>
      <c r="D116" s="324">
        <v>49.081851146592271</v>
      </c>
      <c r="E116" s="324">
        <v>94.981436101356365</v>
      </c>
      <c r="F116" s="324">
        <v>47.199925142754331</v>
      </c>
      <c r="G116" s="324">
        <v>45.777854916074837</v>
      </c>
      <c r="H116" s="324">
        <v>72.35582290330106</v>
      </c>
      <c r="I116" s="324">
        <v>62.790611536711538</v>
      </c>
      <c r="J116" s="324">
        <v>59.731522420984277</v>
      </c>
      <c r="K116" s="324">
        <v>88.877813035081715</v>
      </c>
      <c r="L116" s="324">
        <v>85.469298949297311</v>
      </c>
      <c r="M116" s="324">
        <v>79.465272221068588</v>
      </c>
      <c r="N116" s="324">
        <v>76.470207976091075</v>
      </c>
      <c r="O116" s="324">
        <v>37.812604065181624</v>
      </c>
      <c r="P116" s="324">
        <v>52.668860934356218</v>
      </c>
      <c r="Q116" s="324">
        <v>47.83268218408552</v>
      </c>
      <c r="R116" s="324">
        <v>53.836282478561998</v>
      </c>
      <c r="S116" s="324">
        <v>89.664163264394304</v>
      </c>
      <c r="T116" s="324">
        <v>59.092145097757466</v>
      </c>
      <c r="U116" s="324">
        <v>62.89642238751528</v>
      </c>
      <c r="V116" s="324">
        <v>78.755594142311708</v>
      </c>
      <c r="W116" s="324">
        <v>71.935131997636603</v>
      </c>
      <c r="X116" s="324">
        <v>91.823263969000152</v>
      </c>
      <c r="Y116" s="324">
        <v>84.614503846464942</v>
      </c>
      <c r="Z116" s="324">
        <v>77.676632356622832</v>
      </c>
      <c r="AA116" s="324">
        <v>52.125307346819817</v>
      </c>
      <c r="AB116" s="322">
        <v>54.393475132014352</v>
      </c>
      <c r="AC116" s="322">
        <v>71.537843914717243</v>
      </c>
      <c r="AD116" s="322">
        <v>49.317827125197624</v>
      </c>
      <c r="AE116" s="322">
        <v>33.916519250992479</v>
      </c>
      <c r="AF116" s="322">
        <v>59.687185980331108</v>
      </c>
      <c r="AG116" s="322">
        <v>42.058526940142258</v>
      </c>
      <c r="AH116" s="322">
        <v>58.12755682155467</v>
      </c>
      <c r="AI116" s="322">
        <v>68.779592376116042</v>
      </c>
      <c r="AJ116" s="322">
        <v>66.749925279893645</v>
      </c>
      <c r="AK116" s="322">
        <v>58.703107484254552</v>
      </c>
      <c r="AL116" s="322">
        <v>39.930868610281202</v>
      </c>
      <c r="AM116" s="322">
        <v>41.578246596346581</v>
      </c>
      <c r="AN116" s="322">
        <v>28.235776514376148</v>
      </c>
      <c r="AO116" s="322">
        <v>33.04487536360957</v>
      </c>
      <c r="AP116" s="322">
        <v>36.772517319108374</v>
      </c>
      <c r="AQ116" s="322">
        <v>42.4235948417817</v>
      </c>
      <c r="AR116" s="322">
        <v>53.913423830834645</v>
      </c>
      <c r="AS116" s="322">
        <v>59.509745479521278</v>
      </c>
      <c r="AT116" s="322">
        <v>58.942597962954139</v>
      </c>
      <c r="AU116" s="322">
        <v>57.345837277240044</v>
      </c>
      <c r="AV116" s="322">
        <v>63.793851042056957</v>
      </c>
      <c r="AW116" s="322">
        <v>32.756052550668535</v>
      </c>
      <c r="AX116" s="322">
        <v>67.60253809762618</v>
      </c>
      <c r="AY116" s="322">
        <v>15.546701600716622</v>
      </c>
    </row>
    <row r="117" spans="1:51" s="301" customFormat="1" x14ac:dyDescent="0.25">
      <c r="A117" s="132">
        <v>85</v>
      </c>
      <c r="B117" s="132" t="s">
        <v>201</v>
      </c>
      <c r="C117" s="143" t="s">
        <v>200</v>
      </c>
      <c r="D117" s="324">
        <v>48.882482892604635</v>
      </c>
      <c r="E117" s="324">
        <v>79.015625714060661</v>
      </c>
      <c r="F117" s="324">
        <v>46.992464354344548</v>
      </c>
      <c r="G117" s="324">
        <v>40.637898619345641</v>
      </c>
      <c r="H117" s="324">
        <v>64.952540483189253</v>
      </c>
      <c r="I117" s="324">
        <v>56.934861932342976</v>
      </c>
      <c r="J117" s="324">
        <v>55.998662736065661</v>
      </c>
      <c r="K117" s="324">
        <v>77.591277910903401</v>
      </c>
      <c r="L117" s="324">
        <v>73.775021438057522</v>
      </c>
      <c r="M117" s="324">
        <v>70.248642991370417</v>
      </c>
      <c r="N117" s="324">
        <v>68.640566860495468</v>
      </c>
      <c r="O117" s="324">
        <v>41.053452483654901</v>
      </c>
      <c r="P117" s="324">
        <v>50.848465724838768</v>
      </c>
      <c r="Q117" s="324">
        <v>46.445351597431383</v>
      </c>
      <c r="R117" s="324">
        <v>51.369178595530791</v>
      </c>
      <c r="S117" s="324">
        <v>76.10646012413126</v>
      </c>
      <c r="T117" s="324">
        <v>55.37184909251534</v>
      </c>
      <c r="U117" s="324">
        <v>56.672861144808728</v>
      </c>
      <c r="V117" s="324">
        <v>68.71903770017839</v>
      </c>
      <c r="W117" s="324">
        <v>65.355852245678818</v>
      </c>
      <c r="X117" s="324">
        <v>77.809238048422472</v>
      </c>
      <c r="Y117" s="324">
        <v>73.519566197210324</v>
      </c>
      <c r="Z117" s="324">
        <v>69.377204430484653</v>
      </c>
      <c r="AA117" s="324">
        <v>50.201915180337814</v>
      </c>
      <c r="AB117" s="322">
        <v>51.778370510389315</v>
      </c>
      <c r="AC117" s="322">
        <v>62.75057098024444</v>
      </c>
      <c r="AD117" s="322">
        <v>47.65450282619868</v>
      </c>
      <c r="AE117" s="322">
        <v>36.749284973105432</v>
      </c>
      <c r="AF117" s="322">
        <v>55.58349800725162</v>
      </c>
      <c r="AG117" s="322">
        <v>41.692314337887247</v>
      </c>
      <c r="AH117" s="322">
        <v>54.338552144369892</v>
      </c>
      <c r="AI117" s="322">
        <v>62.965030678911411</v>
      </c>
      <c r="AJ117" s="322">
        <v>60.070477660989511</v>
      </c>
      <c r="AK117" s="322">
        <v>55.189457513410233</v>
      </c>
      <c r="AL117" s="322">
        <v>42.920376038848431</v>
      </c>
      <c r="AM117" s="322">
        <v>43.15397838448353</v>
      </c>
      <c r="AN117" s="322">
        <v>33.828442269681226</v>
      </c>
      <c r="AO117" s="322">
        <v>36.057400371215792</v>
      </c>
      <c r="AP117" s="322">
        <v>39.497937247432844</v>
      </c>
      <c r="AQ117" s="322">
        <v>43.434991856102577</v>
      </c>
      <c r="AR117" s="322">
        <v>52.722957939105811</v>
      </c>
      <c r="AS117" s="322">
        <v>55.136230130079234</v>
      </c>
      <c r="AT117" s="322">
        <v>59.213062052290269</v>
      </c>
      <c r="AU117" s="322">
        <v>61.579476897161562</v>
      </c>
      <c r="AV117" s="322">
        <v>63.371804099648273</v>
      </c>
      <c r="AW117" s="322">
        <v>40.025529164559281</v>
      </c>
      <c r="AX117" s="322">
        <v>62.067838942680588</v>
      </c>
      <c r="AY117" s="322">
        <v>24.691087854998894</v>
      </c>
    </row>
    <row r="118" spans="1:51" s="301" customFormat="1" x14ac:dyDescent="0.25">
      <c r="A118" s="62">
        <v>348</v>
      </c>
      <c r="B118" s="327" t="s">
        <v>3645</v>
      </c>
      <c r="C118" s="100" t="s">
        <v>3698</v>
      </c>
      <c r="D118" s="324">
        <v>623</v>
      </c>
      <c r="E118" s="324">
        <v>681.55499999999995</v>
      </c>
      <c r="F118" s="324">
        <v>554</v>
      </c>
      <c r="G118" s="324">
        <v>691.88800000000003</v>
      </c>
      <c r="H118" s="324">
        <v>412</v>
      </c>
      <c r="I118" s="324">
        <v>319.55500000000001</v>
      </c>
      <c r="J118" s="324">
        <v>470</v>
      </c>
      <c r="K118" s="324">
        <v>565.43499999999995</v>
      </c>
      <c r="L118" s="324">
        <v>764</v>
      </c>
      <c r="M118" s="324">
        <v>812.21</v>
      </c>
      <c r="N118" s="324">
        <v>919</v>
      </c>
      <c r="O118" s="324">
        <v>576.53099999999995</v>
      </c>
      <c r="P118" s="324">
        <v>719</v>
      </c>
      <c r="Q118" s="324">
        <v>796.99</v>
      </c>
      <c r="R118" s="324">
        <v>1303.8339999999998</v>
      </c>
      <c r="S118" s="324">
        <v>1861</v>
      </c>
      <c r="T118" s="325">
        <v>647</v>
      </c>
      <c r="U118" s="325">
        <v>550</v>
      </c>
      <c r="V118" s="325">
        <v>709</v>
      </c>
      <c r="W118" s="325">
        <v>1134</v>
      </c>
      <c r="X118" s="325">
        <v>1795</v>
      </c>
      <c r="Y118" s="325">
        <v>1437</v>
      </c>
      <c r="Z118" s="325">
        <v>1115</v>
      </c>
      <c r="AA118" s="325">
        <v>795</v>
      </c>
      <c r="AB118" s="322">
        <v>862</v>
      </c>
      <c r="AC118" s="322">
        <v>1205</v>
      </c>
      <c r="AD118" s="322">
        <v>631</v>
      </c>
      <c r="AE118" s="322">
        <v>117</v>
      </c>
      <c r="AF118" s="322">
        <v>1252</v>
      </c>
      <c r="AG118" s="322">
        <v>1145</v>
      </c>
      <c r="AH118" s="322">
        <v>1329.999</v>
      </c>
      <c r="AI118" s="322">
        <v>-1920</v>
      </c>
      <c r="AJ118" s="322">
        <v>526</v>
      </c>
      <c r="AK118" s="322">
        <v>567</v>
      </c>
      <c r="AL118" s="322">
        <v>620</v>
      </c>
      <c r="AM118" s="322">
        <v>384</v>
      </c>
      <c r="AN118" s="322">
        <v>340</v>
      </c>
      <c r="AO118" s="322">
        <v>405</v>
      </c>
      <c r="AP118" s="322">
        <v>544</v>
      </c>
      <c r="AQ118" s="322">
        <v>892</v>
      </c>
      <c r="AR118" s="321">
        <f t="shared" ref="AR118:AY118" si="5">AVERAGE(AM118:AQ118)</f>
        <v>513</v>
      </c>
      <c r="AS118" s="321">
        <f t="shared" si="5"/>
        <v>538.79999999999995</v>
      </c>
      <c r="AT118" s="321">
        <f t="shared" si="5"/>
        <v>578.56000000000006</v>
      </c>
      <c r="AU118" s="321">
        <f t="shared" si="5"/>
        <v>613.27200000000005</v>
      </c>
      <c r="AV118" s="321">
        <f t="shared" si="5"/>
        <v>627.12639999999999</v>
      </c>
      <c r="AW118" s="321">
        <f t="shared" si="5"/>
        <v>574.15168000000006</v>
      </c>
      <c r="AX118" s="321">
        <f t="shared" si="5"/>
        <v>586.38201600000002</v>
      </c>
      <c r="AY118" s="321">
        <f t="shared" si="5"/>
        <v>595.89841920000003</v>
      </c>
    </row>
    <row r="119" spans="1:51" s="301" customFormat="1" x14ac:dyDescent="0.25">
      <c r="A119" s="132">
        <v>76</v>
      </c>
      <c r="B119" s="132" t="s">
        <v>183</v>
      </c>
      <c r="C119" s="143" t="s">
        <v>182</v>
      </c>
      <c r="D119" s="324">
        <v>42.620418816261804</v>
      </c>
      <c r="E119" s="324">
        <v>84.500923559153833</v>
      </c>
      <c r="F119" s="324">
        <v>42.182527921669354</v>
      </c>
      <c r="G119" s="324">
        <v>41.40023649969082</v>
      </c>
      <c r="H119" s="324">
        <v>64.33509355810051</v>
      </c>
      <c r="I119" s="324">
        <v>56.621892430415571</v>
      </c>
      <c r="J119" s="324">
        <v>52.549486377550465</v>
      </c>
      <c r="K119" s="324">
        <v>79.855143389904541</v>
      </c>
      <c r="L119" s="324">
        <v>76.837060970864911</v>
      </c>
      <c r="M119" s="324">
        <v>70.481402638213424</v>
      </c>
      <c r="N119" s="324">
        <v>68.304692374838865</v>
      </c>
      <c r="O119" s="324">
        <v>32.780679197042787</v>
      </c>
      <c r="P119" s="324">
        <v>45.821249443177443</v>
      </c>
      <c r="Q119" s="324">
        <v>42.794980956447787</v>
      </c>
      <c r="R119" s="324">
        <v>48.046632054556611</v>
      </c>
      <c r="S119" s="324">
        <v>80.73693485437019</v>
      </c>
      <c r="T119" s="324">
        <v>52.593051490470017</v>
      </c>
      <c r="U119" s="324">
        <v>56.688693990384778</v>
      </c>
      <c r="V119" s="324">
        <v>69.387383910589676</v>
      </c>
      <c r="W119" s="324">
        <v>64.828566663440157</v>
      </c>
      <c r="X119" s="324">
        <v>82.427171181886209</v>
      </c>
      <c r="Y119" s="324">
        <v>75.032918894425109</v>
      </c>
      <c r="Z119" s="324">
        <v>69.3677824994096</v>
      </c>
      <c r="AA119" s="324">
        <v>45.476107871302005</v>
      </c>
      <c r="AB119" s="322">
        <v>47.361011822108999</v>
      </c>
      <c r="AC119" s="322">
        <v>63.76110164152896</v>
      </c>
      <c r="AD119" s="322">
        <v>44.031970993800037</v>
      </c>
      <c r="AE119" s="322">
        <v>31.344603063547076</v>
      </c>
      <c r="AF119" s="322">
        <v>53.115012349783157</v>
      </c>
      <c r="AG119" s="322">
        <v>38.210859259110784</v>
      </c>
      <c r="AH119" s="322">
        <v>51.141475194693825</v>
      </c>
      <c r="AI119" s="322">
        <v>62.021302901647253</v>
      </c>
      <c r="AJ119" s="322">
        <v>60.214890483007089</v>
      </c>
      <c r="AK119" s="322">
        <v>52.106540237728964</v>
      </c>
      <c r="AL119" s="322">
        <v>35.963672377752019</v>
      </c>
      <c r="AM119" s="322">
        <v>36.134599256524183</v>
      </c>
      <c r="AN119" s="322">
        <v>24.212980413498087</v>
      </c>
      <c r="AO119" s="322">
        <v>29.708033366427163</v>
      </c>
      <c r="AP119" s="322">
        <v>32.950029820531483</v>
      </c>
      <c r="AQ119" s="322">
        <v>38.950592388130971</v>
      </c>
      <c r="AR119" s="322">
        <v>48.032544501953666</v>
      </c>
      <c r="AS119" s="322">
        <v>53.757378586431287</v>
      </c>
      <c r="AT119" s="322">
        <v>51.777146318042092</v>
      </c>
      <c r="AU119" s="322">
        <v>52.407941164023406</v>
      </c>
      <c r="AV119" s="322">
        <v>58.05017152743973</v>
      </c>
      <c r="AW119" s="322">
        <v>29.187408376382102</v>
      </c>
      <c r="AX119" s="322">
        <v>60.442044248922855</v>
      </c>
      <c r="AY119" s="322">
        <v>13.126527600387487</v>
      </c>
    </row>
    <row r="120" spans="1:51" s="301" customFormat="1" x14ac:dyDescent="0.25">
      <c r="A120" s="132">
        <v>40</v>
      </c>
      <c r="B120" s="132" t="s">
        <v>105</v>
      </c>
      <c r="C120" s="143" t="s">
        <v>104</v>
      </c>
      <c r="D120" s="324">
        <v>133.71004289714642</v>
      </c>
      <c r="E120" s="324">
        <v>314.51929331406035</v>
      </c>
      <c r="F120" s="324">
        <v>130.48267720246963</v>
      </c>
      <c r="G120" s="324">
        <v>146.57631436021492</v>
      </c>
      <c r="H120" s="324">
        <v>227.69140045946378</v>
      </c>
      <c r="I120" s="324">
        <v>193.98219840775906</v>
      </c>
      <c r="J120" s="324">
        <v>181.97405100559499</v>
      </c>
      <c r="K120" s="324">
        <v>293.17303169671845</v>
      </c>
      <c r="L120" s="324">
        <v>281.31600223069177</v>
      </c>
      <c r="M120" s="324">
        <v>252.2778940735914</v>
      </c>
      <c r="N120" s="324">
        <v>243.78223569391412</v>
      </c>
      <c r="O120" s="324">
        <v>92.099302460938588</v>
      </c>
      <c r="P120" s="324">
        <v>149.41779853345943</v>
      </c>
      <c r="Q120" s="324">
        <v>132.90528845394948</v>
      </c>
      <c r="R120" s="324">
        <v>156.78349293291376</v>
      </c>
      <c r="S120" s="324">
        <v>298.60276079972255</v>
      </c>
      <c r="T120" s="324">
        <v>178.03298677320072</v>
      </c>
      <c r="U120" s="324">
        <v>195.5723795161455</v>
      </c>
      <c r="V120" s="324">
        <v>256.61150529487969</v>
      </c>
      <c r="W120" s="324">
        <v>229.54172740680042</v>
      </c>
      <c r="X120" s="324">
        <v>306.93827733167689</v>
      </c>
      <c r="Y120" s="324">
        <v>273.1121170833307</v>
      </c>
      <c r="Z120" s="324">
        <v>248.73838012456241</v>
      </c>
      <c r="AA120" s="324">
        <v>149.87421363363302</v>
      </c>
      <c r="AB120" s="322">
        <v>157.02663978266798</v>
      </c>
      <c r="AC120" s="322">
        <v>224.48523328008145</v>
      </c>
      <c r="AD120" s="322">
        <v>141.49657831086736</v>
      </c>
      <c r="AE120" s="322">
        <v>86.703118260762878</v>
      </c>
      <c r="AF120" s="322">
        <v>181.00365922021049</v>
      </c>
      <c r="AG120" s="322">
        <v>117.38296391760676</v>
      </c>
      <c r="AH120" s="322">
        <v>177.59750101766414</v>
      </c>
      <c r="AI120" s="322">
        <v>218.02989324478327</v>
      </c>
      <c r="AJ120" s="322">
        <v>211.73699495904606</v>
      </c>
      <c r="AK120" s="322">
        <v>174.82395017303199</v>
      </c>
      <c r="AL120" s="322">
        <v>104.60480093917035</v>
      </c>
      <c r="AM120" s="322">
        <v>108.39836762441023</v>
      </c>
      <c r="AN120" s="322">
        <v>55.831678982172299</v>
      </c>
      <c r="AO120" s="322">
        <v>76.604647743414489</v>
      </c>
      <c r="AP120" s="322">
        <v>91.359999817916417</v>
      </c>
      <c r="AQ120" s="322">
        <v>116.79768742169716</v>
      </c>
      <c r="AR120" s="322">
        <v>154.92635181916077</v>
      </c>
      <c r="AS120" s="322">
        <v>179.69504820121321</v>
      </c>
      <c r="AT120" s="322">
        <v>17.080243777121016</v>
      </c>
      <c r="AU120" s="322">
        <v>19.023882678200803</v>
      </c>
      <c r="AV120" s="322">
        <v>17.853798763209888</v>
      </c>
      <c r="AW120" s="322">
        <v>14.907720294612405</v>
      </c>
      <c r="AX120" s="322">
        <v>11.793006745943053</v>
      </c>
      <c r="AY120" s="322">
        <v>11.18725116385707</v>
      </c>
    </row>
    <row r="121" spans="1:51" s="301" customFormat="1" x14ac:dyDescent="0.25">
      <c r="A121" s="132">
        <v>145</v>
      </c>
      <c r="B121" s="132" t="s">
        <v>332</v>
      </c>
      <c r="C121" s="143" t="s">
        <v>331</v>
      </c>
      <c r="D121" s="324">
        <v>100.32278477043123</v>
      </c>
      <c r="E121" s="324">
        <v>195.79516182528323</v>
      </c>
      <c r="F121" s="324">
        <v>96.157260388192256</v>
      </c>
      <c r="G121" s="324">
        <v>95.099545291698163</v>
      </c>
      <c r="H121" s="324">
        <v>150.65928611457633</v>
      </c>
      <c r="I121" s="324">
        <v>127.87978474083637</v>
      </c>
      <c r="J121" s="324">
        <v>124.13403903272345</v>
      </c>
      <c r="K121" s="324">
        <v>188.31385326970235</v>
      </c>
      <c r="L121" s="324">
        <v>178.20642085360114</v>
      </c>
      <c r="M121" s="324">
        <v>166.0569271361442</v>
      </c>
      <c r="N121" s="324">
        <v>161.77379430287098</v>
      </c>
      <c r="O121" s="324">
        <v>77.476229922746015</v>
      </c>
      <c r="P121" s="324">
        <v>108.03233468117359</v>
      </c>
      <c r="Q121" s="324">
        <v>96.029892675188322</v>
      </c>
      <c r="R121" s="324">
        <v>110.25180055654975</v>
      </c>
      <c r="S121" s="324">
        <v>186.94774823617649</v>
      </c>
      <c r="T121" s="324">
        <v>122.6658390344966</v>
      </c>
      <c r="U121" s="324">
        <v>128.22677975998326</v>
      </c>
      <c r="V121" s="324">
        <v>164.44553169317328</v>
      </c>
      <c r="W121" s="324">
        <v>152.46401949796098</v>
      </c>
      <c r="X121" s="324">
        <v>191.71227712179953</v>
      </c>
      <c r="Y121" s="324">
        <v>176.98894415017693</v>
      </c>
      <c r="Z121" s="324">
        <v>164.32578375934162</v>
      </c>
      <c r="AA121" s="324">
        <v>107.88149673449239</v>
      </c>
      <c r="AB121" s="322">
        <v>111.74264743644378</v>
      </c>
      <c r="AC121" s="322">
        <v>146.21643330930354</v>
      </c>
      <c r="AD121" s="322">
        <v>100.84465825909679</v>
      </c>
      <c r="AE121" s="322">
        <v>69.168232205994684</v>
      </c>
      <c r="AF121" s="322">
        <v>123.95694453167593</v>
      </c>
      <c r="AG121" s="322">
        <v>84.350256943626732</v>
      </c>
      <c r="AH121" s="322">
        <v>120.82439382116571</v>
      </c>
      <c r="AI121" s="322">
        <v>145.78494777927079</v>
      </c>
      <c r="AJ121" s="322">
        <v>138.74007184987445</v>
      </c>
      <c r="AK121" s="322">
        <v>122.22886261208147</v>
      </c>
      <c r="AL121" s="322">
        <v>84.478770950427318</v>
      </c>
      <c r="AM121" s="322">
        <v>85.527535821309712</v>
      </c>
      <c r="AN121" s="322">
        <v>56.371608933855327</v>
      </c>
      <c r="AO121" s="322">
        <v>64.806088216711629</v>
      </c>
      <c r="AP121" s="322">
        <v>74.17028459942054</v>
      </c>
      <c r="AQ121" s="322">
        <v>87.009259226246115</v>
      </c>
      <c r="AR121" s="322">
        <v>111.55955049114355</v>
      </c>
      <c r="AS121" s="322">
        <v>120.76581902210857</v>
      </c>
      <c r="AT121" s="322">
        <v>39.617176045891824</v>
      </c>
      <c r="AU121" s="322">
        <v>47.337651515245774</v>
      </c>
      <c r="AV121" s="322">
        <v>40.703434062427682</v>
      </c>
      <c r="AW121" s="322">
        <v>39.292292641997555</v>
      </c>
      <c r="AX121" s="322">
        <v>33.414914884178202</v>
      </c>
      <c r="AY121" s="322">
        <v>31.266173123110054</v>
      </c>
    </row>
    <row r="122" spans="1:51" s="301" customFormat="1" x14ac:dyDescent="0.25">
      <c r="A122" s="132">
        <v>158</v>
      </c>
      <c r="B122" s="132" t="s">
        <v>349</v>
      </c>
      <c r="C122" s="326" t="s">
        <v>348</v>
      </c>
      <c r="D122" s="324">
        <v>65.62</v>
      </c>
      <c r="E122" s="324">
        <v>61.760000000000005</v>
      </c>
      <c r="F122" s="324">
        <v>17.670000000000002</v>
      </c>
      <c r="G122" s="324">
        <v>73.34</v>
      </c>
      <c r="H122" s="324">
        <v>113.87</v>
      </c>
      <c r="I122" s="324">
        <v>100.36</v>
      </c>
      <c r="J122" s="324">
        <v>306.87</v>
      </c>
      <c r="K122" s="324">
        <v>449.69</v>
      </c>
      <c r="L122" s="324">
        <v>250.9</v>
      </c>
      <c r="M122" s="324">
        <v>256.69</v>
      </c>
      <c r="N122" s="324">
        <v>167.91</v>
      </c>
      <c r="O122" s="324">
        <v>233.53</v>
      </c>
      <c r="P122" s="324">
        <v>233.53</v>
      </c>
      <c r="Q122" s="324">
        <v>11.58</v>
      </c>
      <c r="R122" s="324">
        <v>55.97</v>
      </c>
      <c r="S122" s="324">
        <v>104.22</v>
      </c>
      <c r="T122" s="329">
        <v>56.999999999999993</v>
      </c>
      <c r="U122" s="324">
        <v>65</v>
      </c>
      <c r="V122" s="328">
        <v>77.998999999999995</v>
      </c>
      <c r="W122" s="324">
        <v>110.00999999999999</v>
      </c>
      <c r="X122" s="324">
        <v>169.84</v>
      </c>
      <c r="Y122" s="324">
        <v>78.000000000000014</v>
      </c>
      <c r="Z122" s="324">
        <v>69.000000000000014</v>
      </c>
      <c r="AA122" s="324">
        <v>60.999999999999993</v>
      </c>
      <c r="AB122" s="322">
        <v>39.000000000000007</v>
      </c>
      <c r="AC122" s="322">
        <v>96.5</v>
      </c>
      <c r="AD122" s="322">
        <v>57.9</v>
      </c>
      <c r="AE122" s="322">
        <v>73.34</v>
      </c>
      <c r="AF122" s="322">
        <v>106.15</v>
      </c>
      <c r="AG122" s="322">
        <v>52.110000000000007</v>
      </c>
      <c r="AH122" s="322">
        <v>86.85</v>
      </c>
      <c r="AI122" s="322">
        <v>75.27000000000001</v>
      </c>
      <c r="AJ122" s="322">
        <v>115.8</v>
      </c>
      <c r="AK122" s="322">
        <v>194.93</v>
      </c>
      <c r="AL122" s="322">
        <v>200.72</v>
      </c>
      <c r="AM122" s="322">
        <v>198.79000000000002</v>
      </c>
      <c r="AN122" s="322">
        <v>135.1</v>
      </c>
      <c r="AO122" s="322">
        <v>81.06</v>
      </c>
      <c r="AP122" s="322">
        <v>57.9</v>
      </c>
      <c r="AQ122" s="322">
        <v>179.49</v>
      </c>
      <c r="AR122" s="322">
        <v>171.76999999999998</v>
      </c>
      <c r="AS122" s="322">
        <v>165.98000000000002</v>
      </c>
      <c r="AT122" s="322">
        <v>181.42000000000002</v>
      </c>
      <c r="AU122" s="322">
        <v>220.01999999999998</v>
      </c>
      <c r="AV122" s="322">
        <v>218.09</v>
      </c>
      <c r="AW122" s="322">
        <v>142.82</v>
      </c>
      <c r="AX122" s="322">
        <v>237</v>
      </c>
      <c r="AY122" s="322">
        <v>100</v>
      </c>
    </row>
    <row r="123" spans="1:51" s="301" customFormat="1" x14ac:dyDescent="0.25">
      <c r="A123" s="132">
        <v>121</v>
      </c>
      <c r="B123" s="132" t="s">
        <v>292</v>
      </c>
      <c r="C123" s="143" t="s">
        <v>291</v>
      </c>
      <c r="D123" s="324">
        <v>212.74148802553736</v>
      </c>
      <c r="E123" s="324">
        <v>501.84924172652876</v>
      </c>
      <c r="F123" s="324">
        <v>207.57527444056717</v>
      </c>
      <c r="G123" s="324">
        <v>233.89462536867822</v>
      </c>
      <c r="H123" s="324">
        <v>363.62019959967438</v>
      </c>
      <c r="I123" s="324">
        <v>309.69811368304369</v>
      </c>
      <c r="J123" s="324">
        <v>290.84234414261698</v>
      </c>
      <c r="K123" s="324">
        <v>468.87119188529283</v>
      </c>
      <c r="L123" s="324">
        <v>449.678563602488</v>
      </c>
      <c r="M123" s="324">
        <v>403.02012549577125</v>
      </c>
      <c r="N123" s="324">
        <v>389.07578479457891</v>
      </c>
      <c r="O123" s="324">
        <v>146.19488723955573</v>
      </c>
      <c r="P123" s="324">
        <v>237.91536554877044</v>
      </c>
      <c r="Q123" s="324">
        <v>211.25941786683259</v>
      </c>
      <c r="R123" s="324">
        <v>249.67478167076874</v>
      </c>
      <c r="S123" s="324">
        <v>476.78020500424878</v>
      </c>
      <c r="T123" s="324">
        <v>284.18511879992508</v>
      </c>
      <c r="U123" s="324">
        <v>312.25917070684892</v>
      </c>
      <c r="V123" s="324">
        <v>410.27198725861513</v>
      </c>
      <c r="W123" s="324">
        <v>367.06758291600619</v>
      </c>
      <c r="X123" s="324">
        <v>490.68486757079256</v>
      </c>
      <c r="Y123" s="324">
        <v>436.36693152537629</v>
      </c>
      <c r="Z123" s="324">
        <v>397.01174295713133</v>
      </c>
      <c r="AA123" s="324">
        <v>238.69424053111715</v>
      </c>
      <c r="AB123" s="322">
        <v>250.11067810036542</v>
      </c>
      <c r="AC123" s="322">
        <v>357.79837973910662</v>
      </c>
      <c r="AD123" s="322">
        <v>225.26476011570711</v>
      </c>
      <c r="AE123" s="322">
        <v>137.79427258540326</v>
      </c>
      <c r="AF123" s="322">
        <v>288.94744204284859</v>
      </c>
      <c r="AG123" s="322">
        <v>187.18382881019224</v>
      </c>
      <c r="AH123" s="322">
        <v>283.85172892733391</v>
      </c>
      <c r="AI123" s="322">
        <v>348.65128892377271</v>
      </c>
      <c r="AJ123" s="322">
        <v>338.37393612357465</v>
      </c>
      <c r="AK123" s="322">
        <v>279.12191138305207</v>
      </c>
      <c r="AL123" s="322">
        <v>166.41822529048184</v>
      </c>
      <c r="AM123" s="322">
        <v>172.31302142246514</v>
      </c>
      <c r="AN123" s="322">
        <v>88.185975767807435</v>
      </c>
      <c r="AO123" s="322">
        <v>121.19404777340836</v>
      </c>
      <c r="AP123" s="322">
        <v>145.00203115143793</v>
      </c>
      <c r="AQ123" s="322">
        <v>185.88973491792331</v>
      </c>
      <c r="AR123" s="322">
        <v>247.17127330660546</v>
      </c>
      <c r="AS123" s="322">
        <v>286.81503011778534</v>
      </c>
      <c r="AT123" s="322">
        <v>266.28434694119682</v>
      </c>
      <c r="AU123" s="322">
        <v>246.54712463459327</v>
      </c>
      <c r="AV123" s="322">
        <v>292.24734663601629</v>
      </c>
      <c r="AW123" s="322">
        <v>103.64506365583344</v>
      </c>
      <c r="AX123" s="322">
        <v>336.75654485374309</v>
      </c>
      <c r="AY123" s="322">
        <v>14.683526540780006</v>
      </c>
    </row>
    <row r="124" spans="1:51" s="301" customFormat="1" x14ac:dyDescent="0.25">
      <c r="A124" s="132">
        <v>65</v>
      </c>
      <c r="B124" s="132" t="s">
        <v>165</v>
      </c>
      <c r="C124" s="143" t="s">
        <v>164</v>
      </c>
      <c r="D124" s="324">
        <v>376.80312620045396</v>
      </c>
      <c r="E124" s="324">
        <v>770.54617170824918</v>
      </c>
      <c r="F124" s="324">
        <v>368.16236820576637</v>
      </c>
      <c r="G124" s="324">
        <v>375.7015918097818</v>
      </c>
      <c r="H124" s="324">
        <v>591.90926871054683</v>
      </c>
      <c r="I124" s="324">
        <v>517.65484357403341</v>
      </c>
      <c r="J124" s="324">
        <v>495.76699749139846</v>
      </c>
      <c r="K124" s="324">
        <v>745.58202594712895</v>
      </c>
      <c r="L124" s="324">
        <v>715.75035461998402</v>
      </c>
      <c r="M124" s="324">
        <v>647.32562124080869</v>
      </c>
      <c r="N124" s="324">
        <v>620.57404736107014</v>
      </c>
      <c r="O124" s="324">
        <v>281.99111559710849</v>
      </c>
      <c r="P124" s="324">
        <v>408.89838626577489</v>
      </c>
      <c r="Q124" s="324">
        <v>367.75123311146098</v>
      </c>
      <c r="R124" s="324">
        <v>425.35662526079227</v>
      </c>
      <c r="S124" s="324">
        <v>741.79818286068075</v>
      </c>
      <c r="T124" s="324">
        <v>479.35175476358495</v>
      </c>
      <c r="U124" s="324">
        <v>519.0184530495336</v>
      </c>
      <c r="V124" s="324">
        <v>658.64121352520885</v>
      </c>
      <c r="W124" s="324">
        <v>601.33645187883315</v>
      </c>
      <c r="X124" s="324">
        <v>770.35368928087621</v>
      </c>
      <c r="Y124" s="324">
        <v>691.89383211985944</v>
      </c>
      <c r="Z124" s="324">
        <v>631.07827079005472</v>
      </c>
      <c r="AA124" s="324">
        <v>406.2885900991551</v>
      </c>
      <c r="AB124" s="322">
        <v>424.37309635280297</v>
      </c>
      <c r="AC124" s="322">
        <v>570.48035412227205</v>
      </c>
      <c r="AD124" s="322">
        <v>388.2038809163821</v>
      </c>
      <c r="AE124" s="322">
        <v>267.09246137528083</v>
      </c>
      <c r="AF124" s="322">
        <v>484.78157627885417</v>
      </c>
      <c r="AG124" s="322">
        <v>341.85569471251404</v>
      </c>
      <c r="AH124" s="322">
        <v>482.60634365305418</v>
      </c>
      <c r="AI124" s="322">
        <v>574.56374194795558</v>
      </c>
      <c r="AJ124" s="322">
        <v>556.63119492557325</v>
      </c>
      <c r="AK124" s="322">
        <v>471.45169642591452</v>
      </c>
      <c r="AL124" s="322">
        <v>1277.2292820574085</v>
      </c>
      <c r="AM124" s="322">
        <v>1192.7591709769858</v>
      </c>
      <c r="AN124" s="322">
        <v>1308.7208322038136</v>
      </c>
      <c r="AO124" s="322">
        <v>1075.476817619644</v>
      </c>
      <c r="AP124" s="322">
        <v>1171.5198100301202</v>
      </c>
      <c r="AQ124" s="322">
        <v>1167.0940490709295</v>
      </c>
      <c r="AR124" s="322">
        <v>1600.7363850956674</v>
      </c>
      <c r="AS124" s="322">
        <v>1695.0097331532643</v>
      </c>
      <c r="AT124" s="322">
        <v>4221.2964291612216</v>
      </c>
      <c r="AU124" s="322">
        <v>4221.8973653183766</v>
      </c>
      <c r="AV124" s="322">
        <v>3318.1657891462869</v>
      </c>
      <c r="AW124" s="322">
        <v>3048.757449105658</v>
      </c>
      <c r="AX124" s="322">
        <v>3319.6626103019353</v>
      </c>
      <c r="AY124" s="322">
        <v>1924.7006984429079</v>
      </c>
    </row>
    <row r="125" spans="1:51" s="301" customFormat="1" x14ac:dyDescent="0.25">
      <c r="A125" s="132">
        <v>27</v>
      </c>
      <c r="B125" s="132" t="s">
        <v>84</v>
      </c>
      <c r="C125" s="143" t="s">
        <v>83</v>
      </c>
      <c r="D125" s="324">
        <v>95.818096756386012</v>
      </c>
      <c r="E125" s="324">
        <v>202.73653900126129</v>
      </c>
      <c r="F125" s="324">
        <v>92.437737425708505</v>
      </c>
      <c r="G125" s="324">
        <v>96.758909660007347</v>
      </c>
      <c r="H125" s="324">
        <v>150.9560568603678</v>
      </c>
      <c r="I125" s="324">
        <v>129.45490141669188</v>
      </c>
      <c r="J125" s="324">
        <v>121.94521137394189</v>
      </c>
      <c r="K125" s="324">
        <v>190.15585177252581</v>
      </c>
      <c r="L125" s="324">
        <v>181.66781618578298</v>
      </c>
      <c r="M125" s="324">
        <v>164.93186064092293</v>
      </c>
      <c r="N125" s="324">
        <v>160.26293922032687</v>
      </c>
      <c r="O125" s="324">
        <v>70.490710673268538</v>
      </c>
      <c r="P125" s="324">
        <v>104.70148915362486</v>
      </c>
      <c r="Q125" s="324">
        <v>93.843417079045864</v>
      </c>
      <c r="R125" s="324">
        <v>108.00308634756973</v>
      </c>
      <c r="S125" s="324">
        <v>192.98522852317805</v>
      </c>
      <c r="T125" s="324">
        <v>120.77676447176891</v>
      </c>
      <c r="U125" s="324">
        <v>130.08368684914316</v>
      </c>
      <c r="V125" s="324">
        <v>166.33549071049066</v>
      </c>
      <c r="W125" s="324">
        <v>151.52815501381107</v>
      </c>
      <c r="X125" s="324">
        <v>196.71959356167864</v>
      </c>
      <c r="Y125" s="324">
        <v>177.1706686336305</v>
      </c>
      <c r="Z125" s="324">
        <v>163.1487590231286</v>
      </c>
      <c r="AA125" s="324">
        <v>104.3771479894535</v>
      </c>
      <c r="AB125" s="322">
        <v>108.9905208808957</v>
      </c>
      <c r="AC125" s="322">
        <v>148.67921340559045</v>
      </c>
      <c r="AD125" s="322">
        <v>98.251284174419595</v>
      </c>
      <c r="AE125" s="322">
        <v>65.094079802715541</v>
      </c>
      <c r="AF125" s="322">
        <v>122.3658589346804</v>
      </c>
      <c r="AG125" s="322">
        <v>82.632146326287696</v>
      </c>
      <c r="AH125" s="322">
        <v>118.84036418102193</v>
      </c>
      <c r="AI125" s="322">
        <v>144.4380578877082</v>
      </c>
      <c r="AJ125" s="322">
        <v>139.26346853982858</v>
      </c>
      <c r="AK125" s="322">
        <v>117.84920702547531</v>
      </c>
      <c r="AL125" s="322">
        <v>76.378798779231218</v>
      </c>
      <c r="AM125" s="322">
        <v>79.751584337897029</v>
      </c>
      <c r="AN125" s="322">
        <v>48.440158182890443</v>
      </c>
      <c r="AO125" s="322">
        <v>59.904117610123336</v>
      </c>
      <c r="AP125" s="322">
        <v>68.691801913026424</v>
      </c>
      <c r="AQ125" s="322">
        <v>83.935228650372196</v>
      </c>
      <c r="AR125" s="322">
        <v>107.8164677670778</v>
      </c>
      <c r="AS125" s="322">
        <v>121.34134444169179</v>
      </c>
      <c r="AT125" s="322">
        <v>26.28543109290008</v>
      </c>
      <c r="AU125" s="322">
        <v>30.829265877350533</v>
      </c>
      <c r="AV125" s="322">
        <v>27.649435087686289</v>
      </c>
      <c r="AW125" s="322">
        <v>24.392175320748937</v>
      </c>
      <c r="AX125" s="322">
        <v>20.682945551408306</v>
      </c>
      <c r="AY125" s="322">
        <v>20.973318407411163</v>
      </c>
    </row>
    <row r="126" spans="1:51" s="301" customFormat="1" x14ac:dyDescent="0.25">
      <c r="A126" s="132">
        <v>2</v>
      </c>
      <c r="B126" s="342" t="s">
        <v>15</v>
      </c>
      <c r="C126" s="143" t="s">
        <v>3652</v>
      </c>
      <c r="D126" s="324">
        <v>0</v>
      </c>
      <c r="E126" s="324">
        <v>0</v>
      </c>
      <c r="F126" s="324">
        <v>0</v>
      </c>
      <c r="G126" s="324">
        <v>0</v>
      </c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>
        <v>0</v>
      </c>
      <c r="U126" s="324">
        <v>0</v>
      </c>
      <c r="V126" s="324">
        <v>0</v>
      </c>
      <c r="W126" s="324">
        <v>0</v>
      </c>
      <c r="X126" s="324">
        <v>0</v>
      </c>
      <c r="Y126" s="324">
        <v>0</v>
      </c>
      <c r="Z126" s="324">
        <v>0</v>
      </c>
      <c r="AA126" s="324">
        <v>0</v>
      </c>
      <c r="AB126" s="143">
        <v>0</v>
      </c>
      <c r="AC126" s="322">
        <v>0</v>
      </c>
      <c r="AD126" s="322">
        <v>0</v>
      </c>
      <c r="AE126" s="322">
        <v>0</v>
      </c>
      <c r="AF126" s="322">
        <v>0</v>
      </c>
      <c r="AG126" s="322">
        <v>0</v>
      </c>
      <c r="AH126" s="322">
        <v>0</v>
      </c>
      <c r="AI126" s="322">
        <v>0</v>
      </c>
      <c r="AJ126" s="322">
        <v>0</v>
      </c>
      <c r="AK126" s="322">
        <v>0</v>
      </c>
      <c r="AL126" s="322">
        <v>0</v>
      </c>
      <c r="AM126" s="322">
        <v>0</v>
      </c>
      <c r="AN126" s="322">
        <v>0</v>
      </c>
      <c r="AO126" s="322">
        <v>0</v>
      </c>
      <c r="AP126" s="322">
        <v>0</v>
      </c>
      <c r="AQ126" s="322">
        <v>0</v>
      </c>
      <c r="AR126" s="322">
        <v>0</v>
      </c>
      <c r="AS126" s="322">
        <v>0</v>
      </c>
      <c r="AT126" s="322">
        <v>0</v>
      </c>
      <c r="AU126" s="322">
        <v>0</v>
      </c>
      <c r="AV126" s="322">
        <v>0</v>
      </c>
      <c r="AW126" s="322">
        <v>0</v>
      </c>
      <c r="AX126" s="322">
        <v>0</v>
      </c>
      <c r="AY126" s="322">
        <v>0</v>
      </c>
    </row>
    <row r="127" spans="1:51" s="301" customFormat="1" x14ac:dyDescent="0.25">
      <c r="A127" s="132">
        <v>117.1</v>
      </c>
      <c r="B127" s="132" t="s">
        <v>3572</v>
      </c>
      <c r="C127" s="143" t="s">
        <v>3663</v>
      </c>
      <c r="D127" s="324">
        <v>230.04378098792694</v>
      </c>
      <c r="E127" s="324">
        <v>484.35489486622117</v>
      </c>
      <c r="F127" s="324">
        <v>224.67733366218408</v>
      </c>
      <c r="G127" s="324">
        <v>234.18726035951519</v>
      </c>
      <c r="H127" s="324">
        <v>368.42986227775901</v>
      </c>
      <c r="I127" s="324">
        <v>320.5016530331124</v>
      </c>
      <c r="J127" s="324">
        <v>306.28557119691675</v>
      </c>
      <c r="K127" s="324">
        <v>466.95202249453138</v>
      </c>
      <c r="L127" s="324">
        <v>447.87118339527416</v>
      </c>
      <c r="M127" s="324">
        <v>404.09790353603682</v>
      </c>
      <c r="N127" s="324">
        <v>387.42141656121964</v>
      </c>
      <c r="O127" s="324">
        <v>169.34904672417011</v>
      </c>
      <c r="P127" s="324">
        <v>251.15764005051324</v>
      </c>
      <c r="Q127" s="324">
        <v>224.83254706064065</v>
      </c>
      <c r="R127" s="324">
        <v>261.70833677222521</v>
      </c>
      <c r="S127" s="324">
        <v>465.56112332656352</v>
      </c>
      <c r="T127" s="324">
        <v>296.27075556349735</v>
      </c>
      <c r="U127" s="324">
        <v>321.70227722531735</v>
      </c>
      <c r="V127" s="324">
        <v>411.60142820102516</v>
      </c>
      <c r="W127" s="324">
        <v>374.45633104979026</v>
      </c>
      <c r="X127" s="324">
        <v>483.37260590670019</v>
      </c>
      <c r="Y127" s="324">
        <v>433.0546295628539</v>
      </c>
      <c r="Z127" s="324">
        <v>394.26499447719254</v>
      </c>
      <c r="AA127" s="324">
        <v>250.04291464792527</v>
      </c>
      <c r="AB127" s="322">
        <v>261.35011226325867</v>
      </c>
      <c r="AC127" s="322">
        <v>355.51520157943872</v>
      </c>
      <c r="AD127" s="322">
        <v>238.28760813055879</v>
      </c>
      <c r="AE127" s="322">
        <v>160.44879810841653</v>
      </c>
      <c r="AF127" s="322">
        <v>299.94148477163776</v>
      </c>
      <c r="AG127" s="322">
        <v>208.11675546200019</v>
      </c>
      <c r="AH127" s="322">
        <v>298.29835399740529</v>
      </c>
      <c r="AI127" s="322">
        <v>357.38175113007924</v>
      </c>
      <c r="AJ127" s="322">
        <v>346.04760236815821</v>
      </c>
      <c r="AK127" s="322">
        <v>291.38889846955828</v>
      </c>
      <c r="AL127" s="322">
        <v>187.35014798828541</v>
      </c>
      <c r="AM127" s="322">
        <v>191.37496280013093</v>
      </c>
      <c r="AN127" s="322">
        <v>117.05633797743891</v>
      </c>
      <c r="AO127" s="322">
        <v>143.93066990424313</v>
      </c>
      <c r="AP127" s="322">
        <v>167.99878863984279</v>
      </c>
      <c r="AQ127" s="322">
        <v>205.67204105048168</v>
      </c>
      <c r="AR127" s="322">
        <v>265.92719098571331</v>
      </c>
      <c r="AS127" s="322">
        <v>301.58452066632253</v>
      </c>
      <c r="AT127" s="322">
        <v>132.51651778148135</v>
      </c>
      <c r="AU127" s="322">
        <v>235.23311072577349</v>
      </c>
      <c r="AV127" s="322">
        <v>300.19222433404542</v>
      </c>
      <c r="AW127" s="322">
        <v>300.72902541927903</v>
      </c>
      <c r="AX127" s="322">
        <v>249.66509952089552</v>
      </c>
      <c r="AY127" s="322">
        <v>184.12385386887371</v>
      </c>
    </row>
    <row r="128" spans="1:51" s="301" customFormat="1" x14ac:dyDescent="0.25">
      <c r="A128" s="132">
        <v>90</v>
      </c>
      <c r="B128" s="342" t="s">
        <v>216</v>
      </c>
      <c r="C128" s="143" t="s">
        <v>215</v>
      </c>
      <c r="D128" s="324">
        <v>0</v>
      </c>
      <c r="E128" s="324">
        <v>0</v>
      </c>
      <c r="F128" s="324">
        <v>0</v>
      </c>
      <c r="G128" s="324">
        <v>0</v>
      </c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>
        <v>0</v>
      </c>
      <c r="U128" s="324">
        <v>0</v>
      </c>
      <c r="V128" s="324">
        <v>0</v>
      </c>
      <c r="W128" s="324">
        <v>0</v>
      </c>
      <c r="X128" s="324">
        <v>0</v>
      </c>
      <c r="Y128" s="324">
        <v>0</v>
      </c>
      <c r="Z128" s="324">
        <v>0</v>
      </c>
      <c r="AA128" s="324">
        <v>0</v>
      </c>
      <c r="AB128" s="301">
        <v>0</v>
      </c>
      <c r="AC128" s="322">
        <v>0</v>
      </c>
      <c r="AD128" s="322">
        <v>0</v>
      </c>
      <c r="AE128" s="322">
        <v>0</v>
      </c>
      <c r="AF128" s="322">
        <v>0</v>
      </c>
      <c r="AG128" s="322">
        <v>0</v>
      </c>
      <c r="AH128" s="322">
        <v>0</v>
      </c>
      <c r="AI128" s="322">
        <v>0</v>
      </c>
      <c r="AJ128" s="322">
        <v>0</v>
      </c>
      <c r="AK128" s="322">
        <v>0</v>
      </c>
      <c r="AL128" s="322">
        <v>0</v>
      </c>
      <c r="AM128" s="322">
        <v>0</v>
      </c>
      <c r="AN128" s="322">
        <v>0</v>
      </c>
      <c r="AO128" s="322">
        <v>0</v>
      </c>
      <c r="AP128" s="322">
        <v>0</v>
      </c>
      <c r="AQ128" s="322">
        <v>0</v>
      </c>
      <c r="AR128" s="322">
        <v>0</v>
      </c>
      <c r="AS128" s="322">
        <v>0</v>
      </c>
      <c r="AT128" s="322">
        <v>0</v>
      </c>
      <c r="AU128" s="322">
        <v>0</v>
      </c>
      <c r="AV128" s="322">
        <v>0</v>
      </c>
      <c r="AW128" s="322">
        <v>0</v>
      </c>
      <c r="AX128" s="322">
        <v>0</v>
      </c>
      <c r="AY128" s="322">
        <v>0</v>
      </c>
    </row>
    <row r="129" spans="1:51" s="301" customFormat="1" x14ac:dyDescent="0.25">
      <c r="A129" s="132">
        <v>139</v>
      </c>
      <c r="B129" s="132" t="s">
        <v>317</v>
      </c>
      <c r="C129" s="143" t="s">
        <v>3664</v>
      </c>
      <c r="D129" s="324">
        <v>554.68929439856913</v>
      </c>
      <c r="E129" s="324">
        <v>608.84849591708598</v>
      </c>
      <c r="F129" s="324">
        <v>605.42892119166959</v>
      </c>
      <c r="G129" s="324">
        <v>222.39712374173618</v>
      </c>
      <c r="H129" s="324">
        <v>130.95403617788813</v>
      </c>
      <c r="I129" s="324">
        <v>226.74287579535093</v>
      </c>
      <c r="J129" s="324">
        <v>359.29596241629383</v>
      </c>
      <c r="K129" s="324">
        <v>616.09589832449137</v>
      </c>
      <c r="L129" s="324">
        <v>420.07315763150189</v>
      </c>
      <c r="M129" s="324">
        <v>350.73076146694729</v>
      </c>
      <c r="N129" s="324">
        <v>586.38220836813321</v>
      </c>
      <c r="O129" s="324">
        <v>569.32607003568955</v>
      </c>
      <c r="P129" s="324">
        <v>558.08307230358469</v>
      </c>
      <c r="Q129" s="324">
        <v>596.9347016919495</v>
      </c>
      <c r="R129" s="324">
        <v>255.4419660604392</v>
      </c>
      <c r="S129" s="324">
        <v>133.53343364376263</v>
      </c>
      <c r="T129" s="328">
        <v>256.36707939983501</v>
      </c>
      <c r="U129" s="324">
        <v>128.81026267271321</v>
      </c>
      <c r="V129" s="328">
        <v>230.94508660560734</v>
      </c>
      <c r="W129" s="324">
        <v>332.80664309267007</v>
      </c>
      <c r="X129" s="324">
        <v>579.30216259624115</v>
      </c>
      <c r="Y129" s="324">
        <v>597.61267101058161</v>
      </c>
      <c r="Z129" s="324">
        <v>531.9232786922073</v>
      </c>
      <c r="AA129" s="324">
        <v>281.1848052770913</v>
      </c>
      <c r="AB129" s="322">
        <v>441.78516191321626</v>
      </c>
      <c r="AC129" s="322">
        <v>571.1763857837517</v>
      </c>
      <c r="AD129" s="322">
        <v>437.23336685319748</v>
      </c>
      <c r="AE129" s="322">
        <v>141.79912264917721</v>
      </c>
      <c r="AF129" s="322">
        <v>252.21568608771844</v>
      </c>
      <c r="AG129" s="322">
        <v>124.32656271752839</v>
      </c>
      <c r="AH129" s="322">
        <v>227.12195598594246</v>
      </c>
      <c r="AI129" s="322">
        <v>182.9729506677902</v>
      </c>
      <c r="AJ129" s="322">
        <v>244.51187666780993</v>
      </c>
      <c r="AK129" s="322">
        <v>261.66136200211713</v>
      </c>
      <c r="AL129" s="322">
        <v>92.8205502641826</v>
      </c>
      <c r="AM129" s="322">
        <v>100.85844891812464</v>
      </c>
      <c r="AN129" s="322">
        <v>88.856979770667976</v>
      </c>
      <c r="AO129" s="322">
        <v>84.592071411154592</v>
      </c>
      <c r="AP129" s="322">
        <v>142.64658126823713</v>
      </c>
      <c r="AQ129" s="322">
        <v>108.90802068453344</v>
      </c>
      <c r="AR129" s="322">
        <v>78.996015266112423</v>
      </c>
      <c r="AS129" s="322">
        <v>75.507224454073352</v>
      </c>
      <c r="AT129" s="322">
        <v>197.52870776871839</v>
      </c>
      <c r="AU129" s="322">
        <v>389.50667725698179</v>
      </c>
      <c r="AV129" s="322">
        <v>616.04584921041658</v>
      </c>
      <c r="AW129" s="322">
        <v>612.54810507105981</v>
      </c>
      <c r="AX129" s="322">
        <v>538.89208937184765</v>
      </c>
      <c r="AY129" s="322">
        <v>385.3235892796767</v>
      </c>
    </row>
    <row r="130" spans="1:51" s="301" customFormat="1" x14ac:dyDescent="0.25">
      <c r="A130" s="132">
        <v>191</v>
      </c>
      <c r="B130" s="132" t="s">
        <v>387</v>
      </c>
      <c r="C130" s="326" t="s">
        <v>3668</v>
      </c>
      <c r="D130" s="324">
        <v>143.8345383831948</v>
      </c>
      <c r="E130" s="324">
        <v>165.3912206179692</v>
      </c>
      <c r="F130" s="324">
        <v>141.58075844619452</v>
      </c>
      <c r="G130" s="324">
        <v>97.384673426127037</v>
      </c>
      <c r="H130" s="324">
        <v>155.85471693116651</v>
      </c>
      <c r="I130" s="324">
        <v>150.18302347226899</v>
      </c>
      <c r="J130" s="324">
        <v>147.1284718621115</v>
      </c>
      <c r="K130" s="324">
        <v>166.14172148679421</v>
      </c>
      <c r="L130" s="324">
        <v>164.00605171593756</v>
      </c>
      <c r="M130" s="324">
        <v>159.48620943119454</v>
      </c>
      <c r="N130" s="324">
        <v>155.36643713415441</v>
      </c>
      <c r="O130" s="324">
        <v>133.57070173770202</v>
      </c>
      <c r="P130" s="324">
        <v>142.0973818191074</v>
      </c>
      <c r="Q130" s="324">
        <v>136.95062449700285</v>
      </c>
      <c r="R130" s="324">
        <v>143.9534366616264</v>
      </c>
      <c r="S130" s="324">
        <v>163.74111818142632</v>
      </c>
      <c r="T130" s="324">
        <v>144.70964134713211</v>
      </c>
      <c r="U130" s="324">
        <v>147.47080932302288</v>
      </c>
      <c r="V130" s="324">
        <v>155.44343312054497</v>
      </c>
      <c r="W130" s="324">
        <v>152.20504852601709</v>
      </c>
      <c r="X130" s="324">
        <v>165.13412589372234</v>
      </c>
      <c r="Y130" s="324">
        <v>160.52134744321907</v>
      </c>
      <c r="Z130" s="324">
        <v>155.4287789970939</v>
      </c>
      <c r="AA130" s="324">
        <v>136.74067839920949</v>
      </c>
      <c r="AB130" s="322">
        <v>141.1452882016759</v>
      </c>
      <c r="AC130" s="322">
        <v>150.68310963820164</v>
      </c>
      <c r="AD130" s="322">
        <v>136.5622685708428</v>
      </c>
      <c r="AE130" s="322">
        <v>123.53405851248911</v>
      </c>
      <c r="AF130" s="322">
        <v>143.57520038892881</v>
      </c>
      <c r="AG130" s="322">
        <v>130.0554392968086</v>
      </c>
      <c r="AH130" s="322">
        <v>141.99916295132991</v>
      </c>
      <c r="AI130" s="322">
        <v>148.83218561249916</v>
      </c>
      <c r="AJ130" s="322">
        <v>146.80321451380206</v>
      </c>
      <c r="AK130" s="322">
        <v>141.73435832552269</v>
      </c>
      <c r="AL130" s="322">
        <v>129.95751997525295</v>
      </c>
      <c r="AM130" s="322">
        <v>132.13265210645932</v>
      </c>
      <c r="AN130" s="322">
        <v>126.26247401369655</v>
      </c>
      <c r="AO130" s="322">
        <v>126.63869983773721</v>
      </c>
      <c r="AP130" s="322">
        <v>132.99777857064669</v>
      </c>
      <c r="AQ130" s="322">
        <v>134.92951081448331</v>
      </c>
      <c r="AR130" s="322">
        <v>148.53786000295128</v>
      </c>
      <c r="AS130" s="322">
        <v>152.08029602786905</v>
      </c>
      <c r="AT130" s="322">
        <v>174.98213593919195</v>
      </c>
      <c r="AU130" s="322">
        <v>187.11017011360383</v>
      </c>
      <c r="AV130" s="322">
        <v>185.78125187723015</v>
      </c>
      <c r="AW130" s="322">
        <v>146.08777706355556</v>
      </c>
      <c r="AX130" s="322">
        <v>115.03465171404142</v>
      </c>
      <c r="AY130" s="322">
        <v>113.05547529859854</v>
      </c>
    </row>
    <row r="131" spans="1:51" x14ac:dyDescent="0.25">
      <c r="A131" s="132">
        <v>192</v>
      </c>
      <c r="B131" s="132" t="s">
        <v>396</v>
      </c>
      <c r="C131" s="326" t="s">
        <v>3669</v>
      </c>
      <c r="D131" s="324">
        <v>129.41506999978222</v>
      </c>
      <c r="E131" s="324">
        <v>148.92738080633464</v>
      </c>
      <c r="F131" s="324">
        <v>127.39231708984718</v>
      </c>
      <c r="G131" s="324">
        <v>87.545113827570503</v>
      </c>
      <c r="H131" s="324">
        <v>139.84952003786069</v>
      </c>
      <c r="I131" s="324">
        <v>135.17418461217494</v>
      </c>
      <c r="J131" s="324">
        <v>132.17636752790278</v>
      </c>
      <c r="K131" s="324">
        <v>148.84962329287526</v>
      </c>
      <c r="L131" s="324">
        <v>147.26708890389406</v>
      </c>
      <c r="M131" s="324">
        <v>143.01883648338946</v>
      </c>
      <c r="N131" s="324">
        <v>139.61845477016294</v>
      </c>
      <c r="O131" s="324">
        <v>120.32932537198803</v>
      </c>
      <c r="P131" s="324">
        <v>127.77148190614413</v>
      </c>
      <c r="Q131" s="324">
        <v>124.06445731421542</v>
      </c>
      <c r="R131" s="324">
        <v>129.41504934024022</v>
      </c>
      <c r="S131" s="324">
        <v>146.9336624663508</v>
      </c>
      <c r="T131" s="324">
        <v>130.00442922283261</v>
      </c>
      <c r="U131" s="324">
        <v>132.70727547282746</v>
      </c>
      <c r="V131" s="324">
        <v>139.3462648803629</v>
      </c>
      <c r="W131" s="324">
        <v>136.54555857634227</v>
      </c>
      <c r="X131" s="324">
        <v>148.16021637128358</v>
      </c>
      <c r="Y131" s="324">
        <v>143.85766279350463</v>
      </c>
      <c r="Z131" s="324">
        <v>139.64994197225909</v>
      </c>
      <c r="AA131" s="324">
        <v>122.92646135681821</v>
      </c>
      <c r="AB131" s="322">
        <v>126.87532368645245</v>
      </c>
      <c r="AC131" s="322">
        <v>136.04671005647668</v>
      </c>
      <c r="AD131" s="322">
        <v>122.8040061356415</v>
      </c>
      <c r="AE131" s="322">
        <v>111.55354046905215</v>
      </c>
      <c r="AF131" s="322">
        <v>128.96493080879299</v>
      </c>
      <c r="AG131" s="322">
        <v>117.31386664528509</v>
      </c>
      <c r="AH131" s="322">
        <v>127.55915688917062</v>
      </c>
      <c r="AI131" s="322">
        <v>133.54967647599611</v>
      </c>
      <c r="AJ131" s="322">
        <v>132.02270979639465</v>
      </c>
      <c r="AK131" s="322">
        <v>127.32992526374869</v>
      </c>
      <c r="AL131" s="322">
        <v>117.28652478190233</v>
      </c>
      <c r="AM131" s="322">
        <v>118.95340287672866</v>
      </c>
      <c r="AN131" s="322">
        <v>113.89090111230624</v>
      </c>
      <c r="AO131" s="322">
        <v>114.99381956048263</v>
      </c>
      <c r="AP131" s="322">
        <v>119.8146640610706</v>
      </c>
      <c r="AQ131" s="322">
        <v>121.73225540034348</v>
      </c>
      <c r="AR131" s="322">
        <v>133.57319452236055</v>
      </c>
      <c r="AS131" s="322">
        <v>136.96645366919108</v>
      </c>
      <c r="AT131" s="322">
        <v>157.43132198370009</v>
      </c>
      <c r="AU131" s="322">
        <v>168.45608361761438</v>
      </c>
      <c r="AV131" s="322">
        <v>167.50602685307496</v>
      </c>
      <c r="AW131" s="322">
        <v>131.77651506786285</v>
      </c>
      <c r="AX131" s="322">
        <v>132.12491207607749</v>
      </c>
      <c r="AY131" s="322">
        <v>101.97239084167538</v>
      </c>
    </row>
    <row r="132" spans="1:51" x14ac:dyDescent="0.25">
      <c r="A132" s="132">
        <v>162</v>
      </c>
      <c r="B132" s="132" t="s">
        <v>357</v>
      </c>
      <c r="C132" s="143" t="s">
        <v>359</v>
      </c>
      <c r="D132" s="324">
        <v>108.26944720812469</v>
      </c>
      <c r="E132" s="324">
        <v>124.46510552818665</v>
      </c>
      <c r="F132" s="324">
        <v>106.57350784147538</v>
      </c>
      <c r="G132" s="324">
        <v>73.287239923589752</v>
      </c>
      <c r="H132" s="324">
        <v>117.27538262501719</v>
      </c>
      <c r="I132" s="324">
        <v>113.03848373778217</v>
      </c>
      <c r="J132" s="324">
        <v>110.72653238410744</v>
      </c>
      <c r="K132" s="324">
        <v>124.99052264654644</v>
      </c>
      <c r="L132" s="324">
        <v>123.40551557675653</v>
      </c>
      <c r="M132" s="324">
        <v>119.9980911192837</v>
      </c>
      <c r="N132" s="324">
        <v>116.91632101119976</v>
      </c>
      <c r="O132" s="324">
        <v>100.55997434135776</v>
      </c>
      <c r="P132" s="324">
        <v>106.95291837349173</v>
      </c>
      <c r="Q132" s="324">
        <v>103.13692191916516</v>
      </c>
      <c r="R132" s="324">
        <v>108.34711739187706</v>
      </c>
      <c r="S132" s="324">
        <v>123.19598466456117</v>
      </c>
      <c r="T132" s="324">
        <v>108.90627818442003</v>
      </c>
      <c r="U132" s="324">
        <v>110.99433314409067</v>
      </c>
      <c r="V132" s="324">
        <v>116.95106882097731</v>
      </c>
      <c r="W132" s="324">
        <v>114.5259153025924</v>
      </c>
      <c r="X132" s="324">
        <v>124.24155823865635</v>
      </c>
      <c r="Y132" s="324">
        <v>120.76704664314632</v>
      </c>
      <c r="Z132" s="324">
        <v>116.96061919333442</v>
      </c>
      <c r="AA132" s="324">
        <v>102.91793431034564</v>
      </c>
      <c r="AB132" s="322">
        <v>106.23187503734121</v>
      </c>
      <c r="AC132" s="322">
        <v>113.43291313055074</v>
      </c>
      <c r="AD132" s="322">
        <v>102.78784734015187</v>
      </c>
      <c r="AE132" s="322">
        <v>93.019484007005644</v>
      </c>
      <c r="AF132" s="322">
        <v>108.05026678008304</v>
      </c>
      <c r="AG132" s="322">
        <v>97.916288135438293</v>
      </c>
      <c r="AH132" s="322">
        <v>106.86528245050586</v>
      </c>
      <c r="AI132" s="322">
        <v>111.9913345703466</v>
      </c>
      <c r="AJ132" s="322">
        <v>110.48293305378007</v>
      </c>
      <c r="AK132" s="322">
        <v>106.66695230889486</v>
      </c>
      <c r="AL132" s="322">
        <v>97.849066954702636</v>
      </c>
      <c r="AM132" s="322">
        <v>99.468433154308414</v>
      </c>
      <c r="AN132" s="322">
        <v>95.073969723394256</v>
      </c>
      <c r="AO132" s="322">
        <v>95.398200309113278</v>
      </c>
      <c r="AP132" s="322">
        <v>100.12880572428301</v>
      </c>
      <c r="AQ132" s="322">
        <v>101.58821175253171</v>
      </c>
      <c r="AR132" s="322">
        <v>111.80166093496074</v>
      </c>
      <c r="AS132" s="322">
        <v>114.47552486987821</v>
      </c>
      <c r="AT132" s="322">
        <v>131.71439644040461</v>
      </c>
      <c r="AU132" s="322">
        <v>140.85604981027842</v>
      </c>
      <c r="AV132" s="322">
        <v>139.86329510235711</v>
      </c>
      <c r="AW132" s="322">
        <v>110.00247560910033</v>
      </c>
      <c r="AX132" s="322">
        <v>110.56941358585766</v>
      </c>
      <c r="AY132" s="322">
        <v>84.989759423962397</v>
      </c>
    </row>
    <row r="133" spans="1:51" x14ac:dyDescent="0.25">
      <c r="A133" s="132">
        <v>133</v>
      </c>
      <c r="B133" s="132" t="s">
        <v>306</v>
      </c>
      <c r="C133" s="143" t="s">
        <v>308</v>
      </c>
      <c r="D133" s="324">
        <v>131.34128156943055</v>
      </c>
      <c r="E133" s="324">
        <v>154.53792748655835</v>
      </c>
      <c r="F133" s="324">
        <v>129.26541689779688</v>
      </c>
      <c r="G133" s="324">
        <v>90.023570469107597</v>
      </c>
      <c r="H133" s="324">
        <v>143.6534714759139</v>
      </c>
      <c r="I133" s="324">
        <v>138.30936274529913</v>
      </c>
      <c r="J133" s="324">
        <v>135.05949235558018</v>
      </c>
      <c r="K133" s="324">
        <v>153.94407582555183</v>
      </c>
      <c r="L133" s="324">
        <v>152.13947417074334</v>
      </c>
      <c r="M133" s="324">
        <v>147.31388039683227</v>
      </c>
      <c r="N133" s="324">
        <v>143.78051977778998</v>
      </c>
      <c r="O133" s="324">
        <v>121.44554685535579</v>
      </c>
      <c r="P133" s="324">
        <v>130.03781418463126</v>
      </c>
      <c r="Q133" s="324">
        <v>126.03907476322215</v>
      </c>
      <c r="R133" s="324">
        <v>131.825365708964</v>
      </c>
      <c r="S133" s="324">
        <v>152.1950680888186</v>
      </c>
      <c r="T133" s="324">
        <v>132.83530382808587</v>
      </c>
      <c r="U133" s="324">
        <v>135.89279387081172</v>
      </c>
      <c r="V133" s="324">
        <v>143.74538484661738</v>
      </c>
      <c r="W133" s="324">
        <v>140.39160743772092</v>
      </c>
      <c r="X133" s="324">
        <v>153.56387398397112</v>
      </c>
      <c r="Y133" s="324">
        <v>148.5838716006202</v>
      </c>
      <c r="Z133" s="324">
        <v>143.91561048927133</v>
      </c>
      <c r="AA133" s="324">
        <v>125.23527710033437</v>
      </c>
      <c r="AB133" s="322">
        <v>129.30708627376507</v>
      </c>
      <c r="AC133" s="322">
        <v>139.85836370322033</v>
      </c>
      <c r="AD133" s="322">
        <v>124.93876105112736</v>
      </c>
      <c r="AE133" s="322">
        <v>112.61557972229896</v>
      </c>
      <c r="AF133" s="322">
        <v>131.86532664521008</v>
      </c>
      <c r="AG133" s="322">
        <v>118.96624531495613</v>
      </c>
      <c r="AH133" s="322">
        <v>130.38313706715036</v>
      </c>
      <c r="AI133" s="322">
        <v>137.17536274666179</v>
      </c>
      <c r="AJ133" s="322">
        <v>135.54197462623478</v>
      </c>
      <c r="AK133" s="322">
        <v>130.10965549866086</v>
      </c>
      <c r="AL133" s="322">
        <v>118.68430022231676</v>
      </c>
      <c r="AM133" s="322">
        <v>120.42031534915573</v>
      </c>
      <c r="AN133" s="322">
        <v>114.29077161824218</v>
      </c>
      <c r="AO133" s="322">
        <v>115.850127365199</v>
      </c>
      <c r="AP133" s="322">
        <v>120.91948781242552</v>
      </c>
      <c r="AQ133" s="322">
        <v>123.35586080368775</v>
      </c>
      <c r="AR133" s="322">
        <v>135.89468439408566</v>
      </c>
      <c r="AS133" s="322">
        <v>139.78975057127272</v>
      </c>
      <c r="AT133" s="322">
        <v>159.81428176218603</v>
      </c>
      <c r="AU133" s="322">
        <v>170.49383774602481</v>
      </c>
      <c r="AV133" s="322">
        <v>170.1745800340463</v>
      </c>
      <c r="AW133" s="322">
        <v>132.22630589723568</v>
      </c>
      <c r="AX133" s="322">
        <v>135.65235641437101</v>
      </c>
      <c r="AY133" s="322">
        <v>101.49002181774982</v>
      </c>
    </row>
    <row r="134" spans="1:51" x14ac:dyDescent="0.25">
      <c r="A134" s="132">
        <v>189</v>
      </c>
      <c r="B134" s="132" t="s">
        <v>381</v>
      </c>
      <c r="C134" s="143" t="s">
        <v>380</v>
      </c>
      <c r="D134" s="324">
        <v>223.928715610708</v>
      </c>
      <c r="E134" s="324">
        <v>503.78178704851234</v>
      </c>
      <c r="F134" s="324">
        <v>218.55339259795161</v>
      </c>
      <c r="G134" s="324">
        <v>238.59312554100171</v>
      </c>
      <c r="H134" s="324">
        <v>373.20123204594324</v>
      </c>
      <c r="I134" s="324">
        <v>320.76475312317524</v>
      </c>
      <c r="J134" s="324">
        <v>303.96472987271613</v>
      </c>
      <c r="K134" s="324">
        <v>478.36468576312933</v>
      </c>
      <c r="L134" s="324">
        <v>458.54026861370295</v>
      </c>
      <c r="M134" s="324">
        <v>411.88996869764355</v>
      </c>
      <c r="N134" s="324">
        <v>396.01016861902349</v>
      </c>
      <c r="O134" s="324">
        <v>158.53496162147479</v>
      </c>
      <c r="P134" s="324">
        <v>247.90026737294889</v>
      </c>
      <c r="Q134" s="324">
        <v>220.53442568720126</v>
      </c>
      <c r="R134" s="324">
        <v>259.35456453139034</v>
      </c>
      <c r="S134" s="324">
        <v>481.40211977004674</v>
      </c>
      <c r="T134" s="324">
        <v>295.25176181458056</v>
      </c>
      <c r="U134" s="324">
        <v>322.79345138617703</v>
      </c>
      <c r="V134" s="324">
        <v>419.78185435769745</v>
      </c>
      <c r="W134" s="324">
        <v>378.43792288403444</v>
      </c>
      <c r="X134" s="324">
        <v>498.0193972360247</v>
      </c>
      <c r="Y134" s="324">
        <v>444.03757263563847</v>
      </c>
      <c r="Z134" s="324">
        <v>403.6431104040679</v>
      </c>
      <c r="AA134" s="324">
        <v>247.90428066213579</v>
      </c>
      <c r="AB134" s="322">
        <v>259.49823451763854</v>
      </c>
      <c r="AC134" s="322">
        <v>363.29411337945118</v>
      </c>
      <c r="AD134" s="322">
        <v>234.8924059330667</v>
      </c>
      <c r="AE134" s="322">
        <v>149.99174719925378</v>
      </c>
      <c r="AF134" s="322">
        <v>299.64334844498939</v>
      </c>
      <c r="AG134" s="322">
        <v>200.07064986199504</v>
      </c>
      <c r="AH134" s="322">
        <v>296.38350592493634</v>
      </c>
      <c r="AI134" s="322">
        <v>360.2096313411671</v>
      </c>
      <c r="AJ134" s="322">
        <v>348.99272878580382</v>
      </c>
      <c r="AK134" s="322">
        <v>290.23686950755319</v>
      </c>
      <c r="AL134" s="322">
        <v>178.46936926577061</v>
      </c>
      <c r="AM134" s="322">
        <v>183.45557176891475</v>
      </c>
      <c r="AN134" s="322">
        <v>101.79802707629636</v>
      </c>
      <c r="AO134" s="322">
        <v>132.55663270308975</v>
      </c>
      <c r="AP134" s="322">
        <v>157.23328166063146</v>
      </c>
      <c r="AQ134" s="322">
        <v>197.82345238988859</v>
      </c>
      <c r="AR134" s="322">
        <v>260.33981359258541</v>
      </c>
      <c r="AS134" s="322">
        <v>299.11413467150811</v>
      </c>
      <c r="AT134" s="322">
        <v>285.25697685927821</v>
      </c>
      <c r="AU134" s="322">
        <v>269.28410886314742</v>
      </c>
      <c r="AV134" s="322">
        <v>311.38108343687702</v>
      </c>
      <c r="AW134" s="322">
        <v>122.62831048766216</v>
      </c>
      <c r="AX134" s="322">
        <v>33.673117168579935</v>
      </c>
      <c r="AY134" s="322">
        <v>31.365636372179154</v>
      </c>
    </row>
    <row r="135" spans="1:51" x14ac:dyDescent="0.25">
      <c r="A135" s="132">
        <v>104</v>
      </c>
      <c r="B135" s="342" t="s">
        <v>250</v>
      </c>
      <c r="C135" s="143" t="s">
        <v>249</v>
      </c>
      <c r="D135" s="324">
        <v>0</v>
      </c>
      <c r="E135" s="324">
        <v>0</v>
      </c>
      <c r="F135" s="324">
        <v>0</v>
      </c>
      <c r="G135" s="324">
        <v>0</v>
      </c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>
        <v>0</v>
      </c>
      <c r="U135" s="324">
        <v>0</v>
      </c>
      <c r="V135" s="324">
        <v>0</v>
      </c>
      <c r="W135" s="324">
        <v>0</v>
      </c>
      <c r="X135" s="324">
        <v>0</v>
      </c>
      <c r="Y135" s="324">
        <v>0</v>
      </c>
      <c r="Z135" s="324">
        <v>0</v>
      </c>
      <c r="AA135" s="324">
        <v>0</v>
      </c>
      <c r="AB135" s="301">
        <v>0</v>
      </c>
      <c r="AC135" s="322">
        <v>0</v>
      </c>
      <c r="AD135" s="322">
        <v>0</v>
      </c>
      <c r="AE135" s="322">
        <v>0</v>
      </c>
      <c r="AF135" s="322">
        <v>0</v>
      </c>
      <c r="AG135" s="322">
        <v>0</v>
      </c>
      <c r="AH135" s="322">
        <v>0</v>
      </c>
      <c r="AI135" s="322">
        <v>0</v>
      </c>
      <c r="AJ135" s="322">
        <v>0</v>
      </c>
      <c r="AK135" s="322">
        <v>0</v>
      </c>
      <c r="AL135" s="322">
        <v>0</v>
      </c>
      <c r="AM135" s="322">
        <v>0</v>
      </c>
      <c r="AN135" s="322">
        <v>0</v>
      </c>
      <c r="AO135" s="322">
        <v>0</v>
      </c>
      <c r="AP135" s="322">
        <v>0</v>
      </c>
      <c r="AQ135" s="322">
        <v>0</v>
      </c>
      <c r="AR135" s="322">
        <v>0</v>
      </c>
      <c r="AS135" s="322">
        <v>0</v>
      </c>
      <c r="AT135" s="322">
        <v>0</v>
      </c>
      <c r="AU135" s="322">
        <v>0</v>
      </c>
      <c r="AV135" s="322">
        <v>0</v>
      </c>
      <c r="AW135" s="322">
        <v>0</v>
      </c>
      <c r="AX135" s="322">
        <v>0</v>
      </c>
      <c r="AY135" s="322">
        <v>0</v>
      </c>
    </row>
    <row r="136" spans="1:51" x14ac:dyDescent="0.25">
      <c r="A136" s="132">
        <v>153</v>
      </c>
      <c r="B136" s="132" t="s">
        <v>343</v>
      </c>
      <c r="C136" s="326" t="s">
        <v>3665</v>
      </c>
      <c r="D136" s="324">
        <v>111.94</v>
      </c>
      <c r="E136" s="324">
        <v>94.57</v>
      </c>
      <c r="F136" s="324">
        <v>90.710000000000008</v>
      </c>
      <c r="G136" s="324">
        <v>96.5</v>
      </c>
      <c r="H136" s="324">
        <v>102.29</v>
      </c>
      <c r="I136" s="324">
        <v>110.01</v>
      </c>
      <c r="J136" s="324">
        <v>129.309</v>
      </c>
      <c r="K136" s="324">
        <v>110.01</v>
      </c>
      <c r="L136" s="324">
        <v>111.94000000000001</v>
      </c>
      <c r="M136" s="324">
        <v>117.73</v>
      </c>
      <c r="N136" s="324">
        <v>94.570000000000007</v>
      </c>
      <c r="O136" s="324">
        <v>57.9</v>
      </c>
      <c r="P136" s="324">
        <v>57.9</v>
      </c>
      <c r="Q136" s="324">
        <v>50.18</v>
      </c>
      <c r="R136" s="324">
        <v>75.27</v>
      </c>
      <c r="S136" s="324">
        <v>86.850000000000009</v>
      </c>
      <c r="T136" s="329">
        <v>48</v>
      </c>
      <c r="U136" s="324">
        <v>44.099999999999994</v>
      </c>
      <c r="V136" s="324">
        <v>42</v>
      </c>
      <c r="W136" s="324">
        <v>82.99</v>
      </c>
      <c r="X136" s="324">
        <v>36</v>
      </c>
      <c r="Y136" s="324">
        <v>51</v>
      </c>
      <c r="Z136" s="324">
        <v>37</v>
      </c>
      <c r="AA136" s="324">
        <v>23</v>
      </c>
      <c r="AB136" s="322">
        <v>41.000000000000007</v>
      </c>
      <c r="AC136" s="322">
        <v>77.2</v>
      </c>
      <c r="AD136" s="322">
        <v>44.39</v>
      </c>
      <c r="AE136" s="322">
        <v>48.25</v>
      </c>
      <c r="AF136" s="322">
        <v>73.34</v>
      </c>
      <c r="AG136" s="322">
        <v>65.61699999999999</v>
      </c>
      <c r="AH136" s="322">
        <v>73.34</v>
      </c>
      <c r="AI136" s="322">
        <v>73.34</v>
      </c>
      <c r="AJ136" s="322">
        <v>61.76</v>
      </c>
      <c r="AK136" s="322">
        <v>48.25</v>
      </c>
      <c r="AL136" s="322">
        <v>34.74</v>
      </c>
      <c r="AM136" s="322">
        <v>40.53</v>
      </c>
      <c r="AN136" s="322">
        <v>88.779999999999987</v>
      </c>
      <c r="AO136" s="322">
        <v>44.39</v>
      </c>
      <c r="AP136" s="322">
        <v>65.62</v>
      </c>
      <c r="AQ136" s="322">
        <v>54.04</v>
      </c>
      <c r="AR136" s="321">
        <f t="shared" ref="AR136:AY136" si="6">AVERAGE(AM136:AQ136)</f>
        <v>58.672000000000004</v>
      </c>
      <c r="AS136" s="321">
        <f t="shared" si="6"/>
        <v>62.300400000000003</v>
      </c>
      <c r="AT136" s="321">
        <f t="shared" si="6"/>
        <v>57.004480000000001</v>
      </c>
      <c r="AU136" s="321">
        <f t="shared" si="6"/>
        <v>59.527376000000004</v>
      </c>
      <c r="AV136" s="321">
        <f t="shared" si="6"/>
        <v>58.308851200000007</v>
      </c>
      <c r="AW136" s="321">
        <f t="shared" si="6"/>
        <v>59.162621439999995</v>
      </c>
      <c r="AX136" s="321">
        <f t="shared" si="6"/>
        <v>59.260745728000003</v>
      </c>
      <c r="AY136" s="321">
        <f t="shared" si="6"/>
        <v>58.652814873600008</v>
      </c>
    </row>
    <row r="137" spans="1:51" x14ac:dyDescent="0.25">
      <c r="A137" s="132">
        <v>141</v>
      </c>
      <c r="B137" s="342" t="s">
        <v>320</v>
      </c>
      <c r="C137" s="1" t="s">
        <v>319</v>
      </c>
      <c r="D137" s="324">
        <v>33.80516689558123</v>
      </c>
      <c r="E137" s="324">
        <v>79.089437526858077</v>
      </c>
      <c r="F137" s="324">
        <v>33.002741167806221</v>
      </c>
      <c r="G137" s="324">
        <v>36.819310438138388</v>
      </c>
      <c r="H137" s="324">
        <v>57.049548837159534</v>
      </c>
      <c r="I137" s="324">
        <v>48.607552314197747</v>
      </c>
      <c r="J137" s="324">
        <v>45.436231054623676</v>
      </c>
      <c r="K137" s="324">
        <v>73.178009641811897</v>
      </c>
      <c r="L137" s="324">
        <v>70.317023321949677</v>
      </c>
      <c r="M137" s="324">
        <v>63.16568982345995</v>
      </c>
      <c r="N137" s="324">
        <v>61.215408977470261</v>
      </c>
      <c r="O137" s="324">
        <v>23.393678623735639</v>
      </c>
      <c r="P137" s="324">
        <v>37.71899590085912</v>
      </c>
      <c r="Q137" s="324">
        <v>33.688403356742171</v>
      </c>
      <c r="R137" s="324">
        <v>39.572135206643637</v>
      </c>
      <c r="S137" s="324">
        <v>74.925545164956816</v>
      </c>
      <c r="T137" s="324">
        <v>0</v>
      </c>
      <c r="U137" s="324">
        <v>0</v>
      </c>
      <c r="V137" s="324">
        <v>0</v>
      </c>
      <c r="W137" s="324">
        <v>0</v>
      </c>
      <c r="X137" s="324">
        <v>0</v>
      </c>
      <c r="Y137" s="324">
        <v>0</v>
      </c>
      <c r="Z137" s="324">
        <v>0</v>
      </c>
      <c r="AA137" s="324">
        <v>0</v>
      </c>
      <c r="AB137" s="322">
        <v>0</v>
      </c>
      <c r="AC137" s="322">
        <v>0</v>
      </c>
      <c r="AD137" s="322">
        <v>0</v>
      </c>
      <c r="AE137" s="322">
        <v>0</v>
      </c>
      <c r="AF137" s="322">
        <v>0</v>
      </c>
      <c r="AG137" s="322">
        <v>0</v>
      </c>
      <c r="AH137" s="322">
        <v>0</v>
      </c>
      <c r="AI137" s="322">
        <v>0</v>
      </c>
      <c r="AJ137" s="322">
        <v>0</v>
      </c>
      <c r="AK137" s="322">
        <v>0</v>
      </c>
      <c r="AL137" s="322">
        <v>0</v>
      </c>
      <c r="AM137" s="322">
        <v>0</v>
      </c>
      <c r="AN137" s="322">
        <v>0</v>
      </c>
      <c r="AO137" s="322">
        <v>0</v>
      </c>
      <c r="AP137" s="322">
        <v>0</v>
      </c>
      <c r="AQ137" s="322">
        <v>0</v>
      </c>
      <c r="AR137" s="322">
        <v>0</v>
      </c>
      <c r="AS137" s="322">
        <v>0</v>
      </c>
      <c r="AT137" s="322">
        <v>0</v>
      </c>
      <c r="AU137" s="322">
        <v>0</v>
      </c>
      <c r="AV137" s="322">
        <v>0</v>
      </c>
      <c r="AW137" s="322">
        <v>0</v>
      </c>
      <c r="AX137" s="322">
        <v>0</v>
      </c>
      <c r="AY137" s="322">
        <v>0</v>
      </c>
    </row>
    <row r="138" spans="1:51" x14ac:dyDescent="0.25">
      <c r="A138" s="132">
        <v>262</v>
      </c>
      <c r="B138" s="132" t="s">
        <v>3609</v>
      </c>
      <c r="C138" s="143" t="s">
        <v>3677</v>
      </c>
      <c r="D138" s="324">
        <v>125.20901052926979</v>
      </c>
      <c r="E138" s="324">
        <v>254.44643330351425</v>
      </c>
      <c r="F138" s="324">
        <v>121.17595470751857</v>
      </c>
      <c r="G138" s="324">
        <v>122.55801814714401</v>
      </c>
      <c r="H138" s="324">
        <v>192.33748790591736</v>
      </c>
      <c r="I138" s="324">
        <v>165.04225305825312</v>
      </c>
      <c r="J138" s="324">
        <v>157.69280103167441</v>
      </c>
      <c r="K138" s="324">
        <v>240.83377267650729</v>
      </c>
      <c r="L138" s="324">
        <v>230.08676780827616</v>
      </c>
      <c r="M138" s="324">
        <v>211.42953630746106</v>
      </c>
      <c r="N138" s="324">
        <v>205.60506355393761</v>
      </c>
      <c r="O138" s="324">
        <v>94.558955543774559</v>
      </c>
      <c r="P138" s="324">
        <v>135.71754600463743</v>
      </c>
      <c r="Q138" s="324">
        <v>122.00158145432844</v>
      </c>
      <c r="R138" s="324">
        <v>139.98134853080379</v>
      </c>
      <c r="S138" s="324">
        <v>242.38199239616563</v>
      </c>
      <c r="T138" s="324">
        <v>155.38693872825883</v>
      </c>
      <c r="U138" s="324">
        <v>165.61956510804669</v>
      </c>
      <c r="V138" s="324">
        <v>211.41434254584954</v>
      </c>
      <c r="W138" s="324">
        <v>193.53821732299863</v>
      </c>
      <c r="X138" s="324">
        <v>248.17358243309241</v>
      </c>
      <c r="Y138" s="324">
        <v>226.11243528662791</v>
      </c>
      <c r="Z138" s="324">
        <v>209.0494700304578</v>
      </c>
      <c r="AA138" s="324">
        <v>135.33790188577595</v>
      </c>
      <c r="AB138" s="322">
        <v>140.78294878694672</v>
      </c>
      <c r="AC138" s="322">
        <v>188.65621400094557</v>
      </c>
      <c r="AD138" s="322">
        <v>127.75980276260546</v>
      </c>
      <c r="AE138" s="322">
        <v>86.36891399962623</v>
      </c>
      <c r="AF138" s="322">
        <v>157.20341403232024</v>
      </c>
      <c r="AG138" s="322">
        <v>107.57649638487908</v>
      </c>
      <c r="AH138" s="322">
        <v>153.565223667666</v>
      </c>
      <c r="AI138" s="322">
        <v>184.79024121013248</v>
      </c>
      <c r="AJ138" s="322">
        <v>178.03276580039363</v>
      </c>
      <c r="AK138" s="322">
        <v>153.66144501533421</v>
      </c>
      <c r="AL138" s="322">
        <v>37.785109134760511</v>
      </c>
      <c r="AM138" s="322">
        <v>36.559368930809129</v>
      </c>
      <c r="AN138" s="322">
        <v>38.409263696723578</v>
      </c>
      <c r="AO138" s="322">
        <v>34.652958765445796</v>
      </c>
      <c r="AP138" s="322">
        <v>37.567815272298112</v>
      </c>
      <c r="AQ138" s="322">
        <v>35.960759614196931</v>
      </c>
      <c r="AR138" s="322">
        <v>39.711032473271118</v>
      </c>
      <c r="AS138" s="322">
        <v>38.291638055178922</v>
      </c>
      <c r="AT138" s="322">
        <v>47.310970717792621</v>
      </c>
      <c r="AU138" s="322">
        <v>64.724528361554263</v>
      </c>
      <c r="AV138" s="322">
        <v>68.413461321584407</v>
      </c>
      <c r="AW138" s="322">
        <v>61.451795517219566</v>
      </c>
      <c r="AX138" s="322">
        <v>52.067030971913177</v>
      </c>
      <c r="AY138" s="322">
        <v>40.971823864084499</v>
      </c>
    </row>
    <row r="139" spans="1:51" x14ac:dyDescent="0.25">
      <c r="A139" s="132">
        <v>83</v>
      </c>
      <c r="B139" s="132" t="s">
        <v>195</v>
      </c>
      <c r="C139" s="143" t="s">
        <v>194</v>
      </c>
      <c r="D139" s="324">
        <v>40.629255388930233</v>
      </c>
      <c r="E139" s="324">
        <v>87.031952223571309</v>
      </c>
      <c r="F139" s="324">
        <v>39.392416206539679</v>
      </c>
      <c r="G139" s="324">
        <v>41.355997709322224</v>
      </c>
      <c r="H139" s="324">
        <v>64.644433949597129</v>
      </c>
      <c r="I139" s="324">
        <v>55.207156609786679</v>
      </c>
      <c r="J139" s="324">
        <v>52.396635582037618</v>
      </c>
      <c r="K139" s="324">
        <v>81.764621651192812</v>
      </c>
      <c r="L139" s="324">
        <v>78.194112948997031</v>
      </c>
      <c r="M139" s="324">
        <v>71.312407480279674</v>
      </c>
      <c r="N139" s="324">
        <v>69.271130205277217</v>
      </c>
      <c r="O139" s="324">
        <v>29.771614851500662</v>
      </c>
      <c r="P139" s="324">
        <v>44.509687410115006</v>
      </c>
      <c r="Q139" s="324">
        <v>39.840528315201311</v>
      </c>
      <c r="R139" s="324">
        <v>46.147496749815652</v>
      </c>
      <c r="S139" s="324">
        <v>82.728384059888185</v>
      </c>
      <c r="T139" s="324">
        <v>51.587367367259034</v>
      </c>
      <c r="U139" s="324">
        <v>55.501789818500534</v>
      </c>
      <c r="V139" s="324">
        <v>71.646139670261249</v>
      </c>
      <c r="W139" s="324">
        <v>65.045993741197961</v>
      </c>
      <c r="X139" s="324">
        <v>84.729749904546082</v>
      </c>
      <c r="Y139" s="324">
        <v>76.618940662426937</v>
      </c>
      <c r="Z139" s="324">
        <v>70.522758137869744</v>
      </c>
      <c r="AA139" s="324">
        <v>44.495317574233567</v>
      </c>
      <c r="AB139" s="322">
        <v>46.384071588499403</v>
      </c>
      <c r="AC139" s="322">
        <v>63.609269402875327</v>
      </c>
      <c r="AD139" s="322">
        <v>41.94891750351168</v>
      </c>
      <c r="AE139" s="322">
        <v>27.357725764869777</v>
      </c>
      <c r="AF139" s="322">
        <v>52.286352076304809</v>
      </c>
      <c r="AG139" s="322">
        <v>34.976094262384144</v>
      </c>
      <c r="AH139" s="322">
        <v>51.067951215908941</v>
      </c>
      <c r="AI139" s="322">
        <v>61.981787760733546</v>
      </c>
      <c r="AJ139" s="322">
        <v>59.845860947610042</v>
      </c>
      <c r="AK139" s="322">
        <v>50.917035522863728</v>
      </c>
      <c r="AL139" s="322">
        <v>32.926090030164623</v>
      </c>
      <c r="AM139" s="322">
        <v>33.811024284852834</v>
      </c>
      <c r="AN139" s="322">
        <v>20.13605020695536</v>
      </c>
      <c r="AO139" s="322">
        <v>25.142796068750503</v>
      </c>
      <c r="AP139" s="322">
        <v>29.115290545622745</v>
      </c>
      <c r="AQ139" s="322">
        <v>35.471236206467822</v>
      </c>
      <c r="AR139" s="322">
        <v>45.922727709892889</v>
      </c>
      <c r="AS139" s="322">
        <v>51.660035129813068</v>
      </c>
      <c r="AT139" s="322">
        <v>49.72437914687481</v>
      </c>
      <c r="AU139" s="322">
        <v>47.655840083399667</v>
      </c>
      <c r="AV139" s="322">
        <v>54.225680263887249</v>
      </c>
      <c r="AW139" s="322">
        <v>23.471822785902521</v>
      </c>
      <c r="AX139" s="322">
        <v>60.602274741709159</v>
      </c>
      <c r="AY139" s="322">
        <v>8.0178909626776935</v>
      </c>
    </row>
    <row r="140" spans="1:51" x14ac:dyDescent="0.25">
      <c r="A140" s="132">
        <v>239</v>
      </c>
      <c r="B140" s="132" t="s">
        <v>447</v>
      </c>
      <c r="C140" s="143" t="s">
        <v>446</v>
      </c>
      <c r="D140" s="324">
        <v>0</v>
      </c>
      <c r="E140" s="324">
        <v>0</v>
      </c>
      <c r="F140" s="324">
        <v>0</v>
      </c>
      <c r="G140" s="324">
        <v>0</v>
      </c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>
        <v>0</v>
      </c>
      <c r="U140" s="324">
        <v>0</v>
      </c>
      <c r="V140" s="324">
        <v>0</v>
      </c>
      <c r="W140" s="324">
        <v>0</v>
      </c>
      <c r="X140" s="324">
        <v>0</v>
      </c>
      <c r="Y140" s="324">
        <v>0</v>
      </c>
      <c r="Z140" s="324">
        <v>0</v>
      </c>
      <c r="AA140" s="324">
        <v>0</v>
      </c>
      <c r="AB140" s="143">
        <v>0</v>
      </c>
      <c r="AC140" s="322">
        <v>0</v>
      </c>
      <c r="AD140" s="322">
        <v>0</v>
      </c>
      <c r="AE140" s="322">
        <v>0</v>
      </c>
      <c r="AF140" s="322">
        <v>0</v>
      </c>
      <c r="AG140" s="322">
        <v>0</v>
      </c>
      <c r="AH140" s="322">
        <v>0</v>
      </c>
      <c r="AI140" s="322">
        <v>0</v>
      </c>
      <c r="AJ140" s="322">
        <v>0</v>
      </c>
      <c r="AK140" s="322">
        <v>0</v>
      </c>
      <c r="AL140" s="322">
        <v>0</v>
      </c>
      <c r="AM140" s="322">
        <v>0</v>
      </c>
      <c r="AN140" s="322">
        <v>0</v>
      </c>
      <c r="AO140" s="322">
        <v>0</v>
      </c>
      <c r="AP140" s="322">
        <v>0</v>
      </c>
      <c r="AQ140" s="322">
        <v>0</v>
      </c>
      <c r="AR140" s="322">
        <v>0</v>
      </c>
      <c r="AS140" s="322">
        <v>0</v>
      </c>
      <c r="AT140" s="322">
        <v>0</v>
      </c>
      <c r="AU140" s="322">
        <v>0</v>
      </c>
      <c r="AV140" s="322">
        <v>0</v>
      </c>
      <c r="AW140" s="322">
        <v>0</v>
      </c>
      <c r="AX140" s="322">
        <v>0</v>
      </c>
      <c r="AY140" s="322">
        <v>0</v>
      </c>
    </row>
    <row r="141" spans="1:51" x14ac:dyDescent="0.25">
      <c r="A141" s="132">
        <v>119</v>
      </c>
      <c r="B141" s="132" t="s">
        <v>283</v>
      </c>
      <c r="C141" s="143" t="s">
        <v>282</v>
      </c>
      <c r="D141" s="324">
        <v>67.024606309755683</v>
      </c>
      <c r="E141" s="324">
        <v>123.1263926630628</v>
      </c>
      <c r="F141" s="324">
        <v>65.586072451494118</v>
      </c>
      <c r="G141" s="324">
        <v>61.950701214468062</v>
      </c>
      <c r="H141" s="324">
        <v>98.030678435695691</v>
      </c>
      <c r="I141" s="324">
        <v>87.400530257668436</v>
      </c>
      <c r="J141" s="324">
        <v>84.258440126123674</v>
      </c>
      <c r="K141" s="324">
        <v>120.47455965565115</v>
      </c>
      <c r="L141" s="324">
        <v>116.09914089956126</v>
      </c>
      <c r="M141" s="324">
        <v>106.02550404514407</v>
      </c>
      <c r="N141" s="324">
        <v>101.72907271528945</v>
      </c>
      <c r="O141" s="324">
        <v>52.98065362374647</v>
      </c>
      <c r="P141" s="324">
        <v>71.209714638552171</v>
      </c>
      <c r="Q141" s="324">
        <v>65.130576895815494</v>
      </c>
      <c r="R141" s="324">
        <v>73.639943139773195</v>
      </c>
      <c r="S141" s="324">
        <v>119.15330186481896</v>
      </c>
      <c r="T141" s="324">
        <v>81.465621579011312</v>
      </c>
      <c r="U141" s="324">
        <v>87.278784101003467</v>
      </c>
      <c r="V141" s="324">
        <v>107.34251261834081</v>
      </c>
      <c r="W141" s="324">
        <v>99.272824290874667</v>
      </c>
      <c r="X141" s="324">
        <v>123.64706298195523</v>
      </c>
      <c r="Y141" s="324">
        <v>112.20438266117146</v>
      </c>
      <c r="Z141" s="324">
        <v>103.16610706789773</v>
      </c>
      <c r="AA141" s="324">
        <v>70.267014926478709</v>
      </c>
      <c r="AB141" s="322">
        <v>73.215085962394838</v>
      </c>
      <c r="AC141" s="322">
        <v>94.256364189378104</v>
      </c>
      <c r="AD141" s="322">
        <v>67.771741636537087</v>
      </c>
      <c r="AE141" s="322">
        <v>50.062644637844464</v>
      </c>
      <c r="AF141" s="322">
        <v>82.076971435141914</v>
      </c>
      <c r="AG141" s="322">
        <v>61.215526916441938</v>
      </c>
      <c r="AH141" s="322">
        <v>81.88115003750967</v>
      </c>
      <c r="AI141" s="322">
        <v>95.24673237742617</v>
      </c>
      <c r="AJ141" s="322">
        <v>92.503567037888303</v>
      </c>
      <c r="AK141" s="322">
        <v>80.102163244592688</v>
      </c>
      <c r="AL141" s="322">
        <v>56.552137244147758</v>
      </c>
      <c r="AM141" s="322">
        <v>57.395961363427695</v>
      </c>
      <c r="AN141" s="322">
        <v>41.091694482230132</v>
      </c>
      <c r="AO141" s="322">
        <v>46.859651415674875</v>
      </c>
      <c r="AP141" s="322">
        <v>52.608094887090424</v>
      </c>
      <c r="AQ141" s="322">
        <v>61.032093314676551</v>
      </c>
      <c r="AR141" s="322">
        <v>75.6575017878762</v>
      </c>
      <c r="AS141" s="322">
        <v>83.717847083062267</v>
      </c>
      <c r="AT141" s="322">
        <v>86.045795735335744</v>
      </c>
      <c r="AU141" s="322">
        <v>85.68213364528701</v>
      </c>
      <c r="AV141" s="322">
        <v>92.859056786455398</v>
      </c>
      <c r="AW141" s="322">
        <v>49.678205315452502</v>
      </c>
      <c r="AX141" s="322">
        <v>90.604802473000973</v>
      </c>
      <c r="AY141" s="322">
        <v>25.166132485273014</v>
      </c>
    </row>
    <row r="142" spans="1:51" x14ac:dyDescent="0.25">
      <c r="A142" s="132">
        <v>291</v>
      </c>
      <c r="B142" s="132" t="s">
        <v>528</v>
      </c>
      <c r="C142" s="134" t="s">
        <v>527</v>
      </c>
      <c r="D142" s="324">
        <v>493.51943897985831</v>
      </c>
      <c r="E142" s="324">
        <v>545.66486213039434</v>
      </c>
      <c r="F142" s="324">
        <v>528.77005347593581</v>
      </c>
      <c r="G142" s="324">
        <v>546.3992270053476</v>
      </c>
      <c r="H142" s="324">
        <v>528.77005347593581</v>
      </c>
      <c r="I142" s="324">
        <v>546.39572192513367</v>
      </c>
      <c r="J142" s="324">
        <v>546.39572192513367</v>
      </c>
      <c r="K142" s="324">
        <v>528.77005347593581</v>
      </c>
      <c r="L142" s="324">
        <v>546.39572192513367</v>
      </c>
      <c r="M142" s="324">
        <v>529.50442847593581</v>
      </c>
      <c r="N142" s="324">
        <v>546.39572192513367</v>
      </c>
      <c r="O142" s="324">
        <v>546.39572192513367</v>
      </c>
      <c r="P142" s="324">
        <v>493.51871657754009</v>
      </c>
      <c r="Q142" s="324">
        <v>545.66131016042777</v>
      </c>
      <c r="R142" s="324">
        <v>545.66131016042777</v>
      </c>
      <c r="S142" s="324">
        <v>546.39597593582891</v>
      </c>
      <c r="T142" s="324">
        <v>546.39597593582891</v>
      </c>
      <c r="U142" s="324">
        <v>528.77026737967913</v>
      </c>
      <c r="V142" s="324">
        <v>489.6631016042781</v>
      </c>
      <c r="W142" s="324">
        <v>536.66588781881012</v>
      </c>
      <c r="X142" s="324">
        <v>635.62533422459899</v>
      </c>
      <c r="Y142" s="324">
        <v>418.31729946524069</v>
      </c>
      <c r="Z142" s="324">
        <v>382.7420187165776</v>
      </c>
      <c r="AA142" s="324">
        <v>409.55744652406412</v>
      </c>
      <c r="AB142" s="322">
        <v>265.34224598930479</v>
      </c>
      <c r="AC142" s="322">
        <v>463.23350267379675</v>
      </c>
      <c r="AD142" s="322">
        <v>265.34224598930479</v>
      </c>
      <c r="AE142" s="322">
        <v>264.65418198529414</v>
      </c>
      <c r="AF142" s="322">
        <v>259.03743315508024</v>
      </c>
      <c r="AG142" s="322">
        <v>317.56853693181819</v>
      </c>
      <c r="AH142" s="322">
        <v>506.09375</v>
      </c>
      <c r="AI142" s="322">
        <v>390.1283422459893</v>
      </c>
      <c r="AJ142" s="322">
        <v>423.07846256684491</v>
      </c>
      <c r="AK142" s="322">
        <v>570.44117647058829</v>
      </c>
      <c r="AL142" s="322">
        <v>722.60394385026734</v>
      </c>
      <c r="AM142" s="322">
        <v>663.12299465240642</v>
      </c>
      <c r="AN142" s="322">
        <v>598.11764705882354</v>
      </c>
      <c r="AO142" s="322">
        <v>702.0320855614973</v>
      </c>
      <c r="AP142" s="322">
        <v>510.47058823529414</v>
      </c>
      <c r="AQ142" s="322">
        <v>533.42245989304809</v>
      </c>
      <c r="AR142" s="322">
        <v>467.91443850267382</v>
      </c>
      <c r="AS142" s="322">
        <v>467.91443850267382</v>
      </c>
      <c r="AT142" s="322">
        <v>467.91443850267382</v>
      </c>
      <c r="AU142" s="322">
        <v>647.41176470588232</v>
      </c>
      <c r="AV142" s="322">
        <v>588.66844919786092</v>
      </c>
      <c r="AW142" s="322">
        <v>400.83422459893046</v>
      </c>
      <c r="AX142" s="322">
        <v>0</v>
      </c>
      <c r="AY142" s="322">
        <v>751.2954545454545</v>
      </c>
    </row>
    <row r="143" spans="1:51" x14ac:dyDescent="0.25">
      <c r="A143" s="132">
        <v>290</v>
      </c>
      <c r="B143" s="132" t="s">
        <v>526</v>
      </c>
      <c r="C143" s="131" t="s">
        <v>3686</v>
      </c>
      <c r="D143" s="324">
        <v>390.91157535175296</v>
      </c>
      <c r="E143" s="324">
        <v>897.68578238803741</v>
      </c>
      <c r="F143" s="324">
        <v>381.40545461461704</v>
      </c>
      <c r="G143" s="324">
        <v>422.82496867148075</v>
      </c>
      <c r="H143" s="324">
        <v>660.75077738400125</v>
      </c>
      <c r="I143" s="324">
        <v>565.94035121039531</v>
      </c>
      <c r="J143" s="324">
        <v>535.49857468040045</v>
      </c>
      <c r="K143" s="324">
        <v>850.53427096327198</v>
      </c>
      <c r="L143" s="324">
        <v>814.83854127566281</v>
      </c>
      <c r="M143" s="324">
        <v>730.6806139108254</v>
      </c>
      <c r="N143" s="324">
        <v>702.51274043950093</v>
      </c>
      <c r="O143" s="324">
        <v>273.11193868547002</v>
      </c>
      <c r="P143" s="324">
        <v>434.72668515590277</v>
      </c>
      <c r="Q143" s="324">
        <v>385.59194454962665</v>
      </c>
      <c r="R143" s="324">
        <v>455.36931703999085</v>
      </c>
      <c r="S143" s="324">
        <v>856.92899861327726</v>
      </c>
      <c r="T143" s="324">
        <v>520.21406591406321</v>
      </c>
      <c r="U143" s="324">
        <v>569.95380333717685</v>
      </c>
      <c r="V143" s="324">
        <v>745.28984579418909</v>
      </c>
      <c r="W143" s="324">
        <v>670.34476520506746</v>
      </c>
      <c r="X143" s="324">
        <v>886.55578631600235</v>
      </c>
      <c r="Y143" s="324">
        <v>789.06157871872665</v>
      </c>
      <c r="Z143" s="324">
        <v>716.39458751766995</v>
      </c>
      <c r="AA143" s="324">
        <v>435.35268711550128</v>
      </c>
      <c r="AB143" s="322">
        <v>455.93822510202068</v>
      </c>
      <c r="AC143" s="322">
        <v>643.7614802711372</v>
      </c>
      <c r="AD143" s="322">
        <v>411.70940038763342</v>
      </c>
      <c r="AE143" s="322">
        <v>258.56380892408532</v>
      </c>
      <c r="AF143" s="322">
        <v>528.33982534143604</v>
      </c>
      <c r="AG143" s="322">
        <v>348.68113123657935</v>
      </c>
      <c r="AH143" s="322">
        <v>522.31858418386071</v>
      </c>
      <c r="AI143" s="322">
        <v>637.5759756173486</v>
      </c>
      <c r="AJ143" s="322">
        <v>617.52758463216605</v>
      </c>
      <c r="AK143" s="322">
        <v>511.39413269035623</v>
      </c>
      <c r="AL143" s="322">
        <v>309.62626852308904</v>
      </c>
      <c r="AM143" s="322">
        <v>318.61935598851369</v>
      </c>
      <c r="AN143" s="322">
        <v>170.7164260335712</v>
      </c>
      <c r="AO143" s="322">
        <v>226.702428611806</v>
      </c>
      <c r="AP143" s="322">
        <v>270.82072284617675</v>
      </c>
      <c r="AQ143" s="322">
        <v>344.27423536351506</v>
      </c>
      <c r="AR143" s="322">
        <v>57.328170947630326</v>
      </c>
      <c r="AS143" s="322">
        <v>57.776587111173569</v>
      </c>
      <c r="AT143" s="322">
        <v>76.232019118782347</v>
      </c>
      <c r="AU143" s="322">
        <v>86.050440382399856</v>
      </c>
      <c r="AV143" s="322">
        <v>78.660113457269603</v>
      </c>
      <c r="AW143" s="322">
        <v>63.968992235718368</v>
      </c>
      <c r="AX143" s="322">
        <v>47.887571600909858</v>
      </c>
      <c r="AY143" s="322">
        <v>44.086943654516745</v>
      </c>
    </row>
    <row r="144" spans="1:51" x14ac:dyDescent="0.25">
      <c r="A144" s="132">
        <v>197</v>
      </c>
      <c r="B144" s="132" t="s">
        <v>407</v>
      </c>
      <c r="C144" s="131" t="s">
        <v>406</v>
      </c>
      <c r="D144" s="324">
        <v>129.31</v>
      </c>
      <c r="E144" s="324">
        <v>148.61000000000001</v>
      </c>
      <c r="F144" s="324">
        <v>129.31</v>
      </c>
      <c r="G144" s="324">
        <v>218.09</v>
      </c>
      <c r="H144" s="324">
        <v>210.37</v>
      </c>
      <c r="I144" s="324">
        <v>158.26</v>
      </c>
      <c r="J144" s="324">
        <v>285.64</v>
      </c>
      <c r="K144" s="324">
        <v>339.68</v>
      </c>
      <c r="L144" s="324">
        <v>331.96000000000004</v>
      </c>
      <c r="M144" s="324">
        <v>289.5</v>
      </c>
      <c r="N144" s="324">
        <v>237.39</v>
      </c>
      <c r="O144" s="324">
        <v>208.44</v>
      </c>
      <c r="P144" s="324">
        <v>208.44</v>
      </c>
      <c r="Q144" s="324">
        <v>183.35</v>
      </c>
      <c r="R144" s="324">
        <v>532.68000000000006</v>
      </c>
      <c r="S144" s="324">
        <v>360.90999999999997</v>
      </c>
      <c r="T144" s="324">
        <v>60.999999999999993</v>
      </c>
      <c r="U144" s="324">
        <v>76</v>
      </c>
      <c r="V144" s="324">
        <v>113.009</v>
      </c>
      <c r="W144" s="324">
        <v>208.44</v>
      </c>
      <c r="X144" s="324">
        <v>258.62</v>
      </c>
      <c r="Y144" s="324">
        <v>116</v>
      </c>
      <c r="Z144" s="324">
        <v>154.4</v>
      </c>
      <c r="AA144" s="324">
        <v>38</v>
      </c>
      <c r="AB144" s="322">
        <v>37</v>
      </c>
      <c r="AC144" s="322">
        <v>129.31</v>
      </c>
      <c r="AD144" s="322">
        <v>110.00999999999999</v>
      </c>
      <c r="AE144" s="322">
        <v>123.52000000000001</v>
      </c>
      <c r="AF144" s="322">
        <v>113.87</v>
      </c>
      <c r="AG144" s="322">
        <v>262.48</v>
      </c>
      <c r="AH144" s="322">
        <v>160.19</v>
      </c>
      <c r="AI144" s="322">
        <v>185.28</v>
      </c>
      <c r="AJ144" s="322">
        <v>181.42000000000002</v>
      </c>
      <c r="AK144" s="322">
        <v>183.35</v>
      </c>
      <c r="AL144" s="322">
        <v>142.82</v>
      </c>
      <c r="AM144" s="322">
        <v>117.72999999999999</v>
      </c>
      <c r="AN144" s="322">
        <v>144.75</v>
      </c>
      <c r="AO144" s="322">
        <v>156.32999999999998</v>
      </c>
      <c r="AP144" s="322">
        <v>106.15</v>
      </c>
      <c r="AQ144" s="322">
        <v>245.11</v>
      </c>
      <c r="AR144" s="322">
        <v>208.44</v>
      </c>
      <c r="AS144" s="322">
        <v>187.20999999999998</v>
      </c>
      <c r="AT144" s="322">
        <v>324.24</v>
      </c>
      <c r="AU144" s="322">
        <v>409.15999999999997</v>
      </c>
      <c r="AV144" s="322">
        <v>397.58000000000004</v>
      </c>
      <c r="AW144" s="322">
        <v>293.36</v>
      </c>
      <c r="AX144" s="322">
        <v>284</v>
      </c>
      <c r="AY144" s="322">
        <v>258</v>
      </c>
    </row>
    <row r="145" spans="1:51" x14ac:dyDescent="0.25">
      <c r="A145" s="132">
        <v>78</v>
      </c>
      <c r="B145" s="132" t="s">
        <v>186</v>
      </c>
      <c r="C145" s="143" t="s">
        <v>185</v>
      </c>
      <c r="D145" s="324">
        <v>33.853508810796654</v>
      </c>
      <c r="E145" s="324">
        <v>31.2616352876239</v>
      </c>
      <c r="F145" s="324">
        <v>32.135523446833083</v>
      </c>
      <c r="G145" s="324">
        <v>20.045161377530693</v>
      </c>
      <c r="H145" s="324">
        <v>32.759266604948394</v>
      </c>
      <c r="I145" s="324">
        <v>31.598394899964969</v>
      </c>
      <c r="J145" s="324">
        <v>31.424971052908923</v>
      </c>
      <c r="K145" s="324">
        <v>33.241443562352572</v>
      </c>
      <c r="L145" s="324">
        <v>31.696462683410868</v>
      </c>
      <c r="M145" s="324">
        <v>32.017079980088347</v>
      </c>
      <c r="N145" s="324">
        <v>31.685374895014075</v>
      </c>
      <c r="O145" s="324">
        <v>32.948223238447355</v>
      </c>
      <c r="P145" s="324">
        <v>32.678322814779833</v>
      </c>
      <c r="Q145" s="324">
        <v>31.429436583906213</v>
      </c>
      <c r="R145" s="324">
        <v>31.646861512732169</v>
      </c>
      <c r="S145" s="324">
        <v>31.44127160436927</v>
      </c>
      <c r="T145" s="324">
        <v>31.881547664145643</v>
      </c>
      <c r="U145" s="324">
        <v>30.811618491496858</v>
      </c>
      <c r="V145" s="324">
        <v>30.459147617639704</v>
      </c>
      <c r="W145" s="324">
        <v>32.19439604329159</v>
      </c>
      <c r="X145" s="324">
        <v>30.904956083451147</v>
      </c>
      <c r="Y145" s="324">
        <v>31.399341714630676</v>
      </c>
      <c r="Z145" s="324">
        <v>31.486420037290713</v>
      </c>
      <c r="AA145" s="324">
        <v>31.264139231342106</v>
      </c>
      <c r="AB145" s="322">
        <v>32.078478754153444</v>
      </c>
      <c r="AC145" s="322">
        <v>31.1794084434338</v>
      </c>
      <c r="AD145" s="322">
        <v>30.330258967349085</v>
      </c>
      <c r="AE145" s="322">
        <v>29.732320091760492</v>
      </c>
      <c r="AF145" s="322">
        <v>31.439976950519029</v>
      </c>
      <c r="AG145" s="322">
        <v>29.510758191447064</v>
      </c>
      <c r="AH145" s="322">
        <v>30.245579335240233</v>
      </c>
      <c r="AI145" s="322">
        <v>31.767574675685996</v>
      </c>
      <c r="AJ145" s="322">
        <v>30.079563252824443</v>
      </c>
      <c r="AK145" s="322">
        <v>30.576649637198745</v>
      </c>
      <c r="AL145" s="322">
        <v>30.830203872414408</v>
      </c>
      <c r="AM145" s="322">
        <v>31.826454166401376</v>
      </c>
      <c r="AN145" s="322">
        <v>32.44023064332076</v>
      </c>
      <c r="AO145" s="322">
        <v>31.075215036299753</v>
      </c>
      <c r="AP145" s="322">
        <v>31.516965593941183</v>
      </c>
      <c r="AQ145" s="322">
        <v>31.51642947368752</v>
      </c>
      <c r="AR145" s="322">
        <v>33.945810042343311</v>
      </c>
      <c r="AS145" s="322">
        <v>32.70781587951015</v>
      </c>
      <c r="AT145" s="322">
        <v>39.493759865049768</v>
      </c>
      <c r="AU145" s="322">
        <v>45.283400579937265</v>
      </c>
      <c r="AV145" s="322">
        <v>41.68651743147754</v>
      </c>
      <c r="AW145" s="322">
        <v>36.46005868892496</v>
      </c>
      <c r="AX145" s="322">
        <v>30.810330969793785</v>
      </c>
      <c r="AY145" s="322">
        <v>30.849554330958721</v>
      </c>
    </row>
    <row r="146" spans="1:51" x14ac:dyDescent="0.25">
      <c r="A146" s="205">
        <v>294</v>
      </c>
      <c r="B146" s="132" t="s">
        <v>534</v>
      </c>
      <c r="C146" s="143" t="s">
        <v>3622</v>
      </c>
      <c r="D146" s="324">
        <v>168.47503106281417</v>
      </c>
      <c r="E146" s="324">
        <v>153.88999489605749</v>
      </c>
      <c r="F146" s="324">
        <v>200.06684491978609</v>
      </c>
      <c r="G146" s="324">
        <v>93.50270148395721</v>
      </c>
      <c r="H146" s="324">
        <v>70.935828877005349</v>
      </c>
      <c r="I146" s="324">
        <v>87.553475935828871</v>
      </c>
      <c r="J146" s="324">
        <v>138.62944936497325</v>
      </c>
      <c r="K146" s="324">
        <v>193.07486631016042</v>
      </c>
      <c r="L146" s="324">
        <v>234.48427055481284</v>
      </c>
      <c r="M146" s="324">
        <v>192.98128342245988</v>
      </c>
      <c r="N146" s="324">
        <v>73.348538811831546</v>
      </c>
      <c r="O146" s="324">
        <v>163.23215031751337</v>
      </c>
      <c r="P146" s="324">
        <v>193.8235294117647</v>
      </c>
      <c r="Q146" s="324">
        <v>181.39037433155079</v>
      </c>
      <c r="R146" s="324">
        <v>221.68167112299466</v>
      </c>
      <c r="S146" s="324">
        <v>104.75935828877006</v>
      </c>
      <c r="T146" s="324">
        <v>104.75935828877006</v>
      </c>
      <c r="U146" s="324">
        <v>78.248663101604279</v>
      </c>
      <c r="V146" s="324">
        <v>108.43582887700535</v>
      </c>
      <c r="W146" s="324">
        <v>106.35026737967914</v>
      </c>
      <c r="X146" s="324">
        <v>204.17112299465239</v>
      </c>
      <c r="Y146" s="324">
        <v>224.3716577540107</v>
      </c>
      <c r="Z146" s="324">
        <v>179.13101604278074</v>
      </c>
      <c r="AA146" s="324">
        <v>99.585561497326196</v>
      </c>
      <c r="AB146" s="322">
        <v>84.438502673796791</v>
      </c>
      <c r="AC146" s="322">
        <v>174.40553475935829</v>
      </c>
      <c r="AD146" s="322">
        <v>84.438502673796791</v>
      </c>
      <c r="AE146" s="322">
        <v>1.4304812834224598</v>
      </c>
      <c r="AF146" s="322">
        <v>2.0559587937625334</v>
      </c>
      <c r="AG146" s="322">
        <v>23.770053475935828</v>
      </c>
      <c r="AH146" s="322">
        <v>7.0588235294117645</v>
      </c>
      <c r="AI146" s="322">
        <v>9.1191310160427808</v>
      </c>
      <c r="AJ146" s="322">
        <v>8.6497326203208562</v>
      </c>
      <c r="AK146" s="322">
        <v>10.886466123203542</v>
      </c>
      <c r="AL146" s="322">
        <v>7.7005347593582885</v>
      </c>
      <c r="AM146" s="322">
        <v>6.9518716577540109</v>
      </c>
      <c r="AN146" s="322">
        <v>10.788770053475936</v>
      </c>
      <c r="AO146" s="322">
        <v>9.9064171122994651</v>
      </c>
      <c r="AP146" s="322">
        <v>12.51336898395722</v>
      </c>
      <c r="AQ146" s="322">
        <v>9.5421524064171113</v>
      </c>
      <c r="AR146" s="322">
        <v>10.62566844919786</v>
      </c>
      <c r="AS146" s="322">
        <v>8.9304812834224592</v>
      </c>
      <c r="AT146" s="322">
        <v>7.0454545454545459</v>
      </c>
      <c r="AU146" s="322">
        <v>61.05614973262032</v>
      </c>
      <c r="AV146" s="322">
        <v>139.78609625668449</v>
      </c>
      <c r="AW146" s="322">
        <v>123.58288770053476</v>
      </c>
      <c r="AX146" s="322">
        <v>114.10427807486631</v>
      </c>
      <c r="AY146" s="322">
        <v>50.708556149732622</v>
      </c>
    </row>
    <row r="147" spans="1:51" s="301" customFormat="1" x14ac:dyDescent="0.25">
      <c r="A147" s="305">
        <v>312</v>
      </c>
      <c r="B147" s="132" t="s">
        <v>544</v>
      </c>
      <c r="C147" s="143" t="s">
        <v>3625</v>
      </c>
      <c r="D147" s="324">
        <v>0</v>
      </c>
      <c r="E147" s="324">
        <v>0</v>
      </c>
      <c r="F147" s="324">
        <v>0</v>
      </c>
      <c r="G147" s="324">
        <v>0</v>
      </c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>
        <v>13.110742108693627</v>
      </c>
      <c r="U147" s="324">
        <v>12.626788540923057</v>
      </c>
      <c r="V147" s="324">
        <v>14.430615475340636</v>
      </c>
      <c r="W147" s="324">
        <v>13.374716782023031</v>
      </c>
      <c r="X147" s="324">
        <v>16.806387535305255</v>
      </c>
      <c r="Y147" s="324">
        <v>19.666113163040439</v>
      </c>
      <c r="Z147" s="324">
        <v>16.190446630869982</v>
      </c>
      <c r="AA147" s="324">
        <v>11.482898289828983</v>
      </c>
      <c r="AB147" s="322">
        <v>12.05484341537602</v>
      </c>
      <c r="AC147" s="322">
        <v>18.214252459728733</v>
      </c>
      <c r="AD147" s="322">
        <v>12.05484341537602</v>
      </c>
      <c r="AE147" s="322">
        <v>1.6718395977528788</v>
      </c>
      <c r="AF147" s="322">
        <v>2.2217868338557993</v>
      </c>
      <c r="AG147" s="322">
        <v>4.7515441199292345</v>
      </c>
      <c r="AH147" s="322">
        <v>4.7955398988174682</v>
      </c>
      <c r="AI147" s="322">
        <v>5.7194512554703749</v>
      </c>
      <c r="AJ147" s="322">
        <v>7.1838947515441189</v>
      </c>
      <c r="AK147" s="322">
        <v>9.5030882398584691</v>
      </c>
      <c r="AL147" s="322">
        <v>4.6635525621527663</v>
      </c>
      <c r="AM147" s="322">
        <v>2.9917129643998881</v>
      </c>
      <c r="AN147" s="322">
        <v>5.0595145721468695</v>
      </c>
      <c r="AO147" s="322">
        <v>4.4875694465998315</v>
      </c>
      <c r="AP147" s="322">
        <v>6.6873583910115153</v>
      </c>
      <c r="AQ147" s="322">
        <v>7.039324622117384</v>
      </c>
      <c r="AR147" s="322">
        <v>6.1154132654644773</v>
      </c>
      <c r="AS147" s="322">
        <v>8.18321487321146</v>
      </c>
      <c r="AT147" s="322">
        <v>9.1511220087525995</v>
      </c>
      <c r="AU147" s="322">
        <v>11.614885626493683</v>
      </c>
      <c r="AV147" s="322">
        <v>14.870573264222973</v>
      </c>
      <c r="AW147" s="322">
        <v>19.094168037493404</v>
      </c>
      <c r="AX147" s="322">
        <v>15.530509947546479</v>
      </c>
      <c r="AY147" s="322">
        <v>8.2272106520996928</v>
      </c>
    </row>
    <row r="148" spans="1:51" s="301" customFormat="1" x14ac:dyDescent="0.25">
      <c r="A148" s="305">
        <v>313</v>
      </c>
      <c r="B148" s="132" t="s">
        <v>546</v>
      </c>
      <c r="C148" s="143" t="s">
        <v>3626</v>
      </c>
      <c r="D148" s="324">
        <v>0</v>
      </c>
      <c r="E148" s="324">
        <v>0</v>
      </c>
      <c r="F148" s="324">
        <v>0</v>
      </c>
      <c r="G148" s="324">
        <v>0</v>
      </c>
      <c r="H148" s="324"/>
      <c r="I148" s="324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>
        <v>4.1240554075691538</v>
      </c>
      <c r="U148" s="324">
        <v>3.97182517440385</v>
      </c>
      <c r="V148" s="324">
        <v>4.5392287707472567</v>
      </c>
      <c r="W148" s="324">
        <v>4.2070900802047753</v>
      </c>
      <c r="X148" s="324">
        <v>5.286540824467842</v>
      </c>
      <c r="Y148" s="324">
        <v>6.1860831113537307</v>
      </c>
      <c r="Z148" s="324">
        <v>5.092793254984727</v>
      </c>
      <c r="AA148" s="324">
        <v>3.6120082596494942</v>
      </c>
      <c r="AB148" s="322">
        <v>3.7919167170266719</v>
      </c>
      <c r="AC148" s="322">
        <v>5.7293924118578188</v>
      </c>
      <c r="AD148" s="322">
        <v>3.7919167170266719</v>
      </c>
      <c r="AE148" s="322">
        <v>0.52588626002559691</v>
      </c>
      <c r="AF148" s="322">
        <v>0.69887516134980632</v>
      </c>
      <c r="AG148" s="322">
        <v>1.4946241074411699</v>
      </c>
      <c r="AH148" s="322">
        <v>1.5084632195471068</v>
      </c>
      <c r="AI148" s="322">
        <v>1.7990845737717787</v>
      </c>
      <c r="AJ148" s="322">
        <v>2.2597332593299893</v>
      </c>
      <c r="AK148" s="322">
        <v>2.9892482148823398</v>
      </c>
      <c r="AL148" s="322">
        <v>1.4669458832292963</v>
      </c>
      <c r="AM148" s="322">
        <v>0.94105962320369962</v>
      </c>
      <c r="AN148" s="322">
        <v>1.5914978921827272</v>
      </c>
      <c r="AO148" s="322">
        <v>1.4115894348055493</v>
      </c>
      <c r="AP148" s="322">
        <v>2.1035450401023876</v>
      </c>
      <c r="AQ148" s="322">
        <v>2.2142579369498816</v>
      </c>
      <c r="AR148" s="322">
        <v>1.9236365827252095</v>
      </c>
      <c r="AS148" s="322">
        <v>2.5740748517042373</v>
      </c>
      <c r="AT148" s="322">
        <v>2.8785353180348459</v>
      </c>
      <c r="AU148" s="322">
        <v>3.6535255959673041</v>
      </c>
      <c r="AV148" s="322">
        <v>4.6776198918066241</v>
      </c>
      <c r="AW148" s="322">
        <v>6.0061746539765526</v>
      </c>
      <c r="AX148" s="322">
        <v>4.885206573395676</v>
      </c>
      <c r="AY148" s="322">
        <v>2.5879139638101738</v>
      </c>
    </row>
    <row r="149" spans="1:51" s="301" customFormat="1" x14ac:dyDescent="0.25">
      <c r="A149" s="132">
        <v>20</v>
      </c>
      <c r="B149" s="132" t="s">
        <v>69</v>
      </c>
      <c r="C149" s="143" t="s">
        <v>68</v>
      </c>
      <c r="D149" s="324">
        <v>11.467514959485168</v>
      </c>
      <c r="E149" s="324">
        <v>20.192438250202219</v>
      </c>
      <c r="F149" s="324">
        <v>11.228338682710781</v>
      </c>
      <c r="G149" s="324">
        <v>10.286754710328935</v>
      </c>
      <c r="H149" s="324">
        <v>16.294813231893244</v>
      </c>
      <c r="I149" s="324">
        <v>14.639498207545751</v>
      </c>
      <c r="J149" s="324">
        <v>14.136719443513817</v>
      </c>
      <c r="K149" s="324">
        <v>19.807230222683163</v>
      </c>
      <c r="L149" s="324">
        <v>19.126065620612724</v>
      </c>
      <c r="M149" s="324">
        <v>17.542417805799413</v>
      </c>
      <c r="N149" s="324">
        <v>16.850625080334471</v>
      </c>
      <c r="O149" s="324">
        <v>9.2437767809404221</v>
      </c>
      <c r="P149" s="324">
        <v>12.086900613606119</v>
      </c>
      <c r="Q149" s="324">
        <v>11.135712442647478</v>
      </c>
      <c r="R149" s="324">
        <v>12.471845989132204</v>
      </c>
      <c r="S149" s="324">
        <v>19.569729684824608</v>
      </c>
      <c r="T149" s="324">
        <v>13.6803324146751</v>
      </c>
      <c r="U149" s="324">
        <v>14.595995288296315</v>
      </c>
      <c r="V149" s="324">
        <v>17.713752404121948</v>
      </c>
      <c r="W149" s="324">
        <v>16.463493757130237</v>
      </c>
      <c r="X149" s="324">
        <v>20.280817213802194</v>
      </c>
      <c r="Y149" s="324">
        <v>18.489037920056184</v>
      </c>
      <c r="Z149" s="324">
        <v>17.069162308452501</v>
      </c>
      <c r="AA149" s="324">
        <v>11.895418551959796</v>
      </c>
      <c r="AB149" s="322">
        <v>12.382611075548402</v>
      </c>
      <c r="AC149" s="322">
        <v>15.678987173774209</v>
      </c>
      <c r="AD149" s="322">
        <v>11.514767500660334</v>
      </c>
      <c r="AE149" s="322">
        <v>8.7225682802983009</v>
      </c>
      <c r="AF149" s="322">
        <v>13.762679585906573</v>
      </c>
      <c r="AG149" s="322">
        <v>10.483135854928577</v>
      </c>
      <c r="AH149" s="322">
        <v>13.728813157462193</v>
      </c>
      <c r="AI149" s="322">
        <v>15.821794108460882</v>
      </c>
      <c r="AJ149" s="322">
        <v>15.388981076507928</v>
      </c>
      <c r="AK149" s="322">
        <v>13.447989140370614</v>
      </c>
      <c r="AL149" s="322">
        <v>9.7659416359312949</v>
      </c>
      <c r="AM149" s="322">
        <v>9.9007951055301167</v>
      </c>
      <c r="AN149" s="322">
        <v>7.3739626771998248</v>
      </c>
      <c r="AO149" s="322">
        <v>8.2700713724081059</v>
      </c>
      <c r="AP149" s="322">
        <v>9.1816563324715208</v>
      </c>
      <c r="AQ149" s="322">
        <v>10.490566592249916</v>
      </c>
      <c r="AR149" s="322">
        <v>12.834410228737925</v>
      </c>
      <c r="AS149" s="322">
        <v>14.098597938645559</v>
      </c>
      <c r="AT149" s="322">
        <v>14.665398047322666</v>
      </c>
      <c r="AU149" s="322">
        <v>14.72704170733801</v>
      </c>
      <c r="AV149" s="322">
        <v>15.805434830157681</v>
      </c>
      <c r="AW149" s="322">
        <v>8.873581614205305</v>
      </c>
      <c r="AX149" s="322">
        <v>15.086071319976149</v>
      </c>
      <c r="AY149" s="322">
        <v>4.8362562352244565</v>
      </c>
    </row>
    <row r="150" spans="1:51" s="301" customFormat="1" x14ac:dyDescent="0.25">
      <c r="A150" s="205">
        <v>315</v>
      </c>
      <c r="B150" s="132" t="s">
        <v>550</v>
      </c>
      <c r="C150" s="143" t="s">
        <v>3689</v>
      </c>
      <c r="D150" s="324">
        <v>0</v>
      </c>
      <c r="E150" s="324">
        <v>0</v>
      </c>
      <c r="F150" s="324">
        <v>0</v>
      </c>
      <c r="G150" s="324">
        <v>0</v>
      </c>
      <c r="H150" s="324">
        <v>0</v>
      </c>
      <c r="I150" s="324">
        <v>0</v>
      </c>
      <c r="J150" s="324">
        <v>0</v>
      </c>
      <c r="K150" s="324">
        <v>0</v>
      </c>
      <c r="L150" s="324">
        <v>0</v>
      </c>
      <c r="M150" s="324">
        <v>0</v>
      </c>
      <c r="N150" s="324">
        <v>0</v>
      </c>
      <c r="O150" s="324">
        <v>0</v>
      </c>
      <c r="P150" s="324">
        <v>0</v>
      </c>
      <c r="Q150" s="324">
        <v>0</v>
      </c>
      <c r="R150" s="324">
        <v>0</v>
      </c>
      <c r="S150" s="324">
        <v>0</v>
      </c>
      <c r="T150" s="324">
        <v>2.6547246509640825</v>
      </c>
      <c r="U150" s="324">
        <v>2.5567314591499719</v>
      </c>
      <c r="V150" s="324">
        <v>2.9219788104571105</v>
      </c>
      <c r="W150" s="324">
        <v>2.7081754828626883</v>
      </c>
      <c r="X150" s="324">
        <v>3.403036297544562</v>
      </c>
      <c r="Y150" s="324">
        <v>3.9820869764461233</v>
      </c>
      <c r="Z150" s="324">
        <v>3.2783176897811486</v>
      </c>
      <c r="AA150" s="324">
        <v>2.3251111875893473</v>
      </c>
      <c r="AB150" s="322">
        <v>2.4409213233696594</v>
      </c>
      <c r="AC150" s="322">
        <v>3.6881074010037924</v>
      </c>
      <c r="AD150" s="322">
        <v>2.4409213233696594</v>
      </c>
      <c r="AE150" s="322">
        <v>0.33852193535783603</v>
      </c>
      <c r="AF150" s="322">
        <v>0.44987783514659785</v>
      </c>
      <c r="AG150" s="322">
        <v>0.96211497417490233</v>
      </c>
      <c r="AH150" s="322">
        <v>0.97102344615800329</v>
      </c>
      <c r="AI150" s="322">
        <v>1.1581013578031232</v>
      </c>
      <c r="AJ150" s="322">
        <v>1.454628756232621</v>
      </c>
      <c r="AK150" s="322">
        <v>1.9242299483498047</v>
      </c>
      <c r="AL150" s="322">
        <v>0.9442980302087004</v>
      </c>
      <c r="AM150" s="322">
        <v>0.60577609485086437</v>
      </c>
      <c r="AN150" s="322">
        <v>1.024474278056609</v>
      </c>
      <c r="AO150" s="322">
        <v>0.90866414227629655</v>
      </c>
      <c r="AP150" s="322">
        <v>1.3540877414313441</v>
      </c>
      <c r="AQ150" s="322">
        <v>1.4253555172961516</v>
      </c>
      <c r="AR150" s="322">
        <v>1.2382776056510318</v>
      </c>
      <c r="AS150" s="322">
        <v>1.6569757888567764</v>
      </c>
      <c r="AT150" s="322">
        <v>1.8529621724849972</v>
      </c>
      <c r="AU150" s="322">
        <v>2.3518366035386502</v>
      </c>
      <c r="AV150" s="322">
        <v>3.0110635302881201</v>
      </c>
      <c r="AW150" s="322">
        <v>3.8662768406658108</v>
      </c>
      <c r="AX150" s="322">
        <v>3.1446906100346346</v>
      </c>
      <c r="AY150" s="322">
        <v>1.6658842608398772</v>
      </c>
    </row>
    <row r="151" spans="1:51" s="301" customFormat="1" x14ac:dyDescent="0.25">
      <c r="A151" s="132">
        <v>328</v>
      </c>
      <c r="B151" s="132" t="s">
        <v>560</v>
      </c>
      <c r="C151" s="143" t="s">
        <v>3633</v>
      </c>
      <c r="D151" s="324">
        <v>0</v>
      </c>
      <c r="E151" s="324">
        <v>0</v>
      </c>
      <c r="F151" s="324">
        <v>0</v>
      </c>
      <c r="G151" s="324">
        <v>0</v>
      </c>
      <c r="H151" s="324">
        <v>0</v>
      </c>
      <c r="I151" s="324">
        <v>0</v>
      </c>
      <c r="J151" s="324">
        <v>0</v>
      </c>
      <c r="K151" s="324">
        <v>0</v>
      </c>
      <c r="L151" s="324">
        <v>0</v>
      </c>
      <c r="M151" s="324">
        <v>0</v>
      </c>
      <c r="N151" s="324">
        <v>0</v>
      </c>
      <c r="O151" s="324">
        <v>0</v>
      </c>
      <c r="P151" s="324">
        <v>0</v>
      </c>
      <c r="Q151" s="324">
        <v>0</v>
      </c>
      <c r="R151" s="324">
        <v>0</v>
      </c>
      <c r="S151" s="324">
        <v>0</v>
      </c>
      <c r="T151" s="324">
        <v>22.064444527617063</v>
      </c>
      <c r="U151" s="324">
        <v>21.249985165859385</v>
      </c>
      <c r="V151" s="324">
        <v>24.285697332410724</v>
      </c>
      <c r="W151" s="324">
        <v>22.508695088575799</v>
      </c>
      <c r="X151" s="324">
        <v>28.283952381039324</v>
      </c>
      <c r="Y151" s="324">
        <v>33.096666791425591</v>
      </c>
      <c r="Z151" s="324">
        <v>27.247367738802279</v>
      </c>
      <c r="AA151" s="324">
        <v>19.324899401704876</v>
      </c>
      <c r="AB151" s="322">
        <v>20.287442283782131</v>
      </c>
      <c r="AC151" s="322">
        <v>30.653288706152566</v>
      </c>
      <c r="AD151" s="322">
        <v>20.287442283782131</v>
      </c>
      <c r="AE151" s="322">
        <v>2.8135868860719748</v>
      </c>
      <c r="AF151" s="322">
        <v>3.7391088880693348</v>
      </c>
      <c r="AG151" s="322">
        <v>7.9965100972571905</v>
      </c>
      <c r="AH151" s="322">
        <v>8.0705518574169801</v>
      </c>
      <c r="AI151" s="322">
        <v>9.6254288207725445</v>
      </c>
      <c r="AJ151" s="322">
        <v>12.089982849451273</v>
      </c>
      <c r="AK151" s="322">
        <v>15.993020194514381</v>
      </c>
      <c r="AL151" s="322">
        <v>7.8484265769376123</v>
      </c>
      <c r="AM151" s="322">
        <v>5.0348396908656383</v>
      </c>
      <c r="AN151" s="322">
        <v>8.5148024183757123</v>
      </c>
      <c r="AO151" s="322">
        <v>7.5522595362984575</v>
      </c>
      <c r="AP151" s="322">
        <v>11.254347544287899</v>
      </c>
      <c r="AQ151" s="322">
        <v>11.846681625566209</v>
      </c>
      <c r="AR151" s="322">
        <v>10.291804662210644</v>
      </c>
      <c r="AS151" s="322">
        <v>13.771767389720718</v>
      </c>
      <c r="AT151" s="322">
        <v>15.400686113236072</v>
      </c>
      <c r="AU151" s="322">
        <v>19.547024682184244</v>
      </c>
      <c r="AV151" s="322">
        <v>25.026114934008614</v>
      </c>
      <c r="AW151" s="322">
        <v>32.13412390934834</v>
      </c>
      <c r="AX151" s="322">
        <v>26.13674133640545</v>
      </c>
      <c r="AY151" s="322">
        <v>13.845809149880505</v>
      </c>
    </row>
    <row r="152" spans="1:51" s="301" customFormat="1" x14ac:dyDescent="0.25">
      <c r="A152" s="62">
        <v>356</v>
      </c>
      <c r="B152" s="327" t="s">
        <v>409</v>
      </c>
      <c r="C152" s="33" t="s">
        <v>3703</v>
      </c>
      <c r="D152" s="324">
        <v>327.99900000000002</v>
      </c>
      <c r="E152" s="324">
        <v>9</v>
      </c>
      <c r="F152" s="324">
        <v>11</v>
      </c>
      <c r="G152" s="324">
        <v>20</v>
      </c>
      <c r="H152" s="324">
        <v>10</v>
      </c>
      <c r="I152" s="324">
        <v>14</v>
      </c>
      <c r="J152" s="324">
        <v>18</v>
      </c>
      <c r="K152" s="324">
        <v>19</v>
      </c>
      <c r="L152" s="324">
        <v>15</v>
      </c>
      <c r="M152" s="324">
        <v>13</v>
      </c>
      <c r="N152" s="324">
        <v>10</v>
      </c>
      <c r="O152" s="324">
        <v>3</v>
      </c>
      <c r="P152" s="324">
        <v>3</v>
      </c>
      <c r="Q152" s="324">
        <v>2</v>
      </c>
      <c r="R152" s="324">
        <v>0</v>
      </c>
      <c r="S152" s="324">
        <v>26</v>
      </c>
      <c r="T152" s="324">
        <v>16</v>
      </c>
      <c r="U152" s="324">
        <v>21</v>
      </c>
      <c r="V152" s="324">
        <v>24</v>
      </c>
      <c r="W152" s="324">
        <v>20</v>
      </c>
      <c r="X152" s="324">
        <v>18</v>
      </c>
      <c r="Y152" s="324">
        <v>15</v>
      </c>
      <c r="Z152" s="324">
        <v>10</v>
      </c>
      <c r="AA152" s="324">
        <v>2</v>
      </c>
      <c r="AB152" s="322">
        <v>6</v>
      </c>
      <c r="AC152" s="322">
        <v>0</v>
      </c>
      <c r="AD152" s="322">
        <v>4</v>
      </c>
      <c r="AE152" s="322">
        <v>0</v>
      </c>
      <c r="AF152" s="322">
        <v>0</v>
      </c>
      <c r="AG152" s="322">
        <v>33</v>
      </c>
      <c r="AH152" s="322">
        <v>41</v>
      </c>
      <c r="AI152" s="322">
        <v>27</v>
      </c>
      <c r="AJ152" s="322">
        <v>14</v>
      </c>
      <c r="AK152" s="322">
        <v>13</v>
      </c>
      <c r="AL152" s="322">
        <v>11</v>
      </c>
      <c r="AM152" s="322">
        <v>8</v>
      </c>
      <c r="AN152" s="322">
        <v>5</v>
      </c>
      <c r="AO152" s="322">
        <v>5</v>
      </c>
      <c r="AP152" s="322">
        <v>0</v>
      </c>
      <c r="AQ152" s="322">
        <v>21</v>
      </c>
      <c r="AR152" s="321">
        <f t="shared" ref="AR152:AY152" si="7">AVERAGE(AM152:AQ152)</f>
        <v>7.8</v>
      </c>
      <c r="AS152" s="321">
        <f t="shared" si="7"/>
        <v>7.76</v>
      </c>
      <c r="AT152" s="321">
        <f t="shared" si="7"/>
        <v>8.3119999999999994</v>
      </c>
      <c r="AU152" s="321">
        <f t="shared" si="7"/>
        <v>8.9743999999999993</v>
      </c>
      <c r="AV152" s="321">
        <f t="shared" si="7"/>
        <v>10.76928</v>
      </c>
      <c r="AW152" s="321">
        <f t="shared" si="7"/>
        <v>8.7231360000000002</v>
      </c>
      <c r="AX152" s="321">
        <f t="shared" si="7"/>
        <v>8.9077631999999998</v>
      </c>
      <c r="AY152" s="321">
        <f t="shared" si="7"/>
        <v>9.1373158400000012</v>
      </c>
    </row>
    <row r="153" spans="1:51" s="301" customFormat="1" x14ac:dyDescent="0.25">
      <c r="A153" s="205">
        <v>314</v>
      </c>
      <c r="B153" s="132" t="s">
        <v>548</v>
      </c>
      <c r="C153" s="143" t="s">
        <v>3688</v>
      </c>
      <c r="D153" s="324">
        <v>4.7192579554440508</v>
      </c>
      <c r="E153" s="324">
        <v>4.6925199385811363</v>
      </c>
      <c r="F153" s="324">
        <v>4.6925133689839571</v>
      </c>
      <c r="G153" s="324">
        <v>3.823534390374332</v>
      </c>
      <c r="H153" s="324">
        <v>3.9839572192513368</v>
      </c>
      <c r="I153" s="324">
        <v>3.9171122994652405</v>
      </c>
      <c r="J153" s="324">
        <v>4.0508021390374331</v>
      </c>
      <c r="K153" s="324">
        <v>4.5187165775401068</v>
      </c>
      <c r="L153" s="324">
        <v>5.0133689839572195</v>
      </c>
      <c r="M153" s="324">
        <v>4.1844919786096257</v>
      </c>
      <c r="N153" s="324">
        <v>2.7540106951871657</v>
      </c>
      <c r="O153" s="324">
        <v>4.2513368983957216</v>
      </c>
      <c r="P153" s="324">
        <v>4.6524064171122994</v>
      </c>
      <c r="Q153" s="324">
        <v>5.6283422459893044</v>
      </c>
      <c r="R153" s="324">
        <v>5.5213903743315509</v>
      </c>
      <c r="S153" s="324">
        <v>3.9839572192513368</v>
      </c>
      <c r="T153" s="324">
        <v>3.9839572192513368</v>
      </c>
      <c r="U153" s="324">
        <v>3.8368983957219251</v>
      </c>
      <c r="V153" s="324">
        <v>4.3850267379679142</v>
      </c>
      <c r="W153" s="324">
        <v>4.0641711229946527</v>
      </c>
      <c r="X153" s="324">
        <v>5.1069518716577544</v>
      </c>
      <c r="Y153" s="324">
        <v>5.975935828877005</v>
      </c>
      <c r="Z153" s="324">
        <v>4.9197860962566846</v>
      </c>
      <c r="AA153" s="324">
        <v>3.4893048128342246</v>
      </c>
      <c r="AB153" s="322">
        <v>3.6631016042780749</v>
      </c>
      <c r="AC153" s="322">
        <v>5.5347593582887704</v>
      </c>
      <c r="AD153" s="322">
        <v>3.6631016042780749</v>
      </c>
      <c r="AE153" s="322">
        <v>0.50802139037433158</v>
      </c>
      <c r="AF153" s="322">
        <v>0.67513368983957223</v>
      </c>
      <c r="AG153" s="322">
        <v>1.4438502673796791</v>
      </c>
      <c r="AH153" s="322">
        <v>1.4572192513368984</v>
      </c>
      <c r="AI153" s="322">
        <v>1.7379679144385027</v>
      </c>
      <c r="AJ153" s="322">
        <v>2.1829679144385024</v>
      </c>
      <c r="AK153" s="322">
        <v>2.8877005347593583</v>
      </c>
      <c r="AL153" s="322">
        <v>1.4171122994652405</v>
      </c>
      <c r="AM153" s="322">
        <v>0.90909090909090906</v>
      </c>
      <c r="AN153" s="322">
        <v>1.5374331550802138</v>
      </c>
      <c r="AO153" s="322">
        <v>1.3636363636363635</v>
      </c>
      <c r="AP153" s="322">
        <v>2.0320855614973263</v>
      </c>
      <c r="AQ153" s="322">
        <v>2.1390374331550803</v>
      </c>
      <c r="AR153" s="322">
        <v>1.858288770053476</v>
      </c>
      <c r="AS153" s="322">
        <v>2.4866310160427809</v>
      </c>
      <c r="AT153" s="322">
        <v>2.7807486631016043</v>
      </c>
      <c r="AU153" s="322">
        <v>3.5294117647058822</v>
      </c>
      <c r="AV153" s="322">
        <v>4.5187165775401068</v>
      </c>
      <c r="AW153" s="322">
        <v>5.8021390374331547</v>
      </c>
      <c r="AX153" s="322">
        <v>4.7192513368983962</v>
      </c>
      <c r="AY153" s="322">
        <v>2.5</v>
      </c>
    </row>
    <row r="154" spans="1:51" s="301" customFormat="1" x14ac:dyDescent="0.25">
      <c r="A154" s="132">
        <v>106</v>
      </c>
      <c r="B154" s="132" t="s">
        <v>256</v>
      </c>
      <c r="C154" s="143" t="s">
        <v>255</v>
      </c>
      <c r="D154" s="324">
        <v>524.17306313733491</v>
      </c>
      <c r="E154" s="324">
        <v>1156.4096288928142</v>
      </c>
      <c r="F154" s="324">
        <v>511.75897404851122</v>
      </c>
      <c r="G154" s="324">
        <v>550.44066290870421</v>
      </c>
      <c r="H154" s="324">
        <v>861.48602747272116</v>
      </c>
      <c r="I154" s="324">
        <v>742.98859782140357</v>
      </c>
      <c r="J154" s="324">
        <v>704.78094018807462</v>
      </c>
      <c r="K154" s="324">
        <v>1099.4429069671708</v>
      </c>
      <c r="L154" s="324">
        <v>1054.6491605575841</v>
      </c>
      <c r="M154" s="324">
        <v>948.96309919856662</v>
      </c>
      <c r="N154" s="324">
        <v>912.68173066867121</v>
      </c>
      <c r="O154" s="324">
        <v>375.74500456956366</v>
      </c>
      <c r="P154" s="324">
        <v>577.77681596224511</v>
      </c>
      <c r="Q154" s="324">
        <v>515.86055913528025</v>
      </c>
      <c r="R154" s="324">
        <v>603.77658682505182</v>
      </c>
      <c r="S154" s="324">
        <v>1105.7575143051129</v>
      </c>
      <c r="T154" s="324">
        <v>684.71635809908639</v>
      </c>
      <c r="U154" s="324">
        <v>747.14148876221634</v>
      </c>
      <c r="V154" s="324">
        <v>966.20137250638743</v>
      </c>
      <c r="W154" s="324">
        <v>872.88064989500822</v>
      </c>
      <c r="X154" s="324">
        <v>1143.5039173812008</v>
      </c>
      <c r="Y154" s="324">
        <v>1021.338557712285</v>
      </c>
      <c r="Z154" s="324">
        <v>929.83895108514082</v>
      </c>
      <c r="AA154" s="324">
        <v>576.99988812557967</v>
      </c>
      <c r="AB154" s="322">
        <v>603.69515387971262</v>
      </c>
      <c r="AC154" s="322">
        <v>838.61429153640711</v>
      </c>
      <c r="AD154" s="322">
        <v>547.7342398784175</v>
      </c>
      <c r="AE154" s="322">
        <v>355.26314047356556</v>
      </c>
      <c r="AF154" s="322">
        <v>694.414696267213</v>
      </c>
      <c r="AG154" s="322">
        <v>468.85068114307194</v>
      </c>
      <c r="AH154" s="322">
        <v>686.98532823141693</v>
      </c>
      <c r="AI154" s="322">
        <v>831.42785815107436</v>
      </c>
      <c r="AJ154" s="322">
        <v>805.98331412865139</v>
      </c>
      <c r="AK154" s="322">
        <v>673.03070919183165</v>
      </c>
      <c r="AL154" s="322">
        <v>420.19587434970248</v>
      </c>
      <c r="AM154" s="322">
        <v>431.52490929610417</v>
      </c>
      <c r="AN154" s="322">
        <v>247.20279415724795</v>
      </c>
      <c r="AO154" s="322">
        <v>316.68279228273707</v>
      </c>
      <c r="AP154" s="322">
        <v>372.7313100878348</v>
      </c>
      <c r="AQ154" s="322">
        <v>464.40849650817552</v>
      </c>
      <c r="AR154" s="322">
        <v>107.7478180602857</v>
      </c>
      <c r="AS154" s="322">
        <v>108.40336986671403</v>
      </c>
      <c r="AT154" s="322">
        <v>139.07812310777615</v>
      </c>
      <c r="AU154" s="322">
        <v>155.70104172084652</v>
      </c>
      <c r="AV154" s="322">
        <v>144.6212455809079</v>
      </c>
      <c r="AW154" s="322">
        <v>119.60026851726448</v>
      </c>
      <c r="AX154" s="322">
        <v>92.689505495338111</v>
      </c>
      <c r="AY154" s="322">
        <v>87.023327152885983</v>
      </c>
    </row>
    <row r="155" spans="1:51" s="301" customFormat="1" x14ac:dyDescent="0.25">
      <c r="A155" s="132">
        <v>31</v>
      </c>
      <c r="B155" s="342" t="s">
        <v>90</v>
      </c>
      <c r="C155" s="143" t="s">
        <v>89</v>
      </c>
      <c r="D155" s="324">
        <v>134.40154949822539</v>
      </c>
      <c r="E155" s="324">
        <v>307.47437784917452</v>
      </c>
      <c r="F155" s="324">
        <v>131.19661449073561</v>
      </c>
      <c r="G155" s="324">
        <v>144.49129052749569</v>
      </c>
      <c r="H155" s="324">
        <v>224.99300645075934</v>
      </c>
      <c r="I155" s="324">
        <v>192.67678917660118</v>
      </c>
      <c r="J155" s="324">
        <v>181.4198958942824</v>
      </c>
      <c r="K155" s="324">
        <v>288.36354379589932</v>
      </c>
      <c r="L155" s="324">
        <v>276.77465953935138</v>
      </c>
      <c r="M155" s="324">
        <v>248.64448918955597</v>
      </c>
      <c r="N155" s="324">
        <v>239.98988189604691</v>
      </c>
      <c r="O155" s="324">
        <v>94.272378163263156</v>
      </c>
      <c r="P155" s="324">
        <v>149.27132637188956</v>
      </c>
      <c r="Q155" s="324">
        <v>133.15464768334007</v>
      </c>
      <c r="R155" s="324">
        <v>156.35517498590289</v>
      </c>
      <c r="S155" s="324">
        <v>292.58457062147221</v>
      </c>
      <c r="T155" s="324">
        <v>177.14920597240146</v>
      </c>
      <c r="U155" s="324">
        <v>194.04266628613652</v>
      </c>
      <c r="V155" s="324">
        <v>252.86517000364415</v>
      </c>
      <c r="W155" s="324">
        <v>227.05960458637355</v>
      </c>
      <c r="X155" s="324">
        <v>301.20445281590247</v>
      </c>
      <c r="Y155" s="324">
        <v>268.52074805911536</v>
      </c>
      <c r="Z155" s="324">
        <v>244.71036394340564</v>
      </c>
      <c r="AA155" s="324">
        <v>149.43692134301133</v>
      </c>
      <c r="AB155" s="322">
        <v>156.46879395288269</v>
      </c>
      <c r="AC155" s="322">
        <v>221.02711936627966</v>
      </c>
      <c r="AD155" s="322">
        <v>141.43665005266749</v>
      </c>
      <c r="AE155" s="322">
        <v>88.838817702568406</v>
      </c>
      <c r="AF155" s="322">
        <v>179.9146594043458</v>
      </c>
      <c r="AG155" s="322">
        <v>118.71513044258609</v>
      </c>
      <c r="AH155" s="322">
        <v>176.96602321531407</v>
      </c>
      <c r="AI155" s="322">
        <v>215.91942368997394</v>
      </c>
      <c r="AJ155" s="322">
        <v>209.63645596662218</v>
      </c>
      <c r="AK155" s="322">
        <v>173.99817428032918</v>
      </c>
      <c r="AL155" s="322">
        <v>106.21871610219071</v>
      </c>
      <c r="AM155" s="322">
        <v>109.72006920629302</v>
      </c>
      <c r="AN155" s="322">
        <v>59.386172848246595</v>
      </c>
      <c r="AO155" s="322">
        <v>79.043306529591945</v>
      </c>
      <c r="AP155" s="322">
        <v>93.524638658648811</v>
      </c>
      <c r="AQ155" s="322">
        <v>118.06586562154442</v>
      </c>
      <c r="AR155" s="322">
        <v>155.37070377405982</v>
      </c>
      <c r="AS155" s="322">
        <v>179.1877209322447</v>
      </c>
      <c r="AT155" s="322">
        <v>168.46048679141077</v>
      </c>
      <c r="AU155" s="322">
        <v>157.51969532906446</v>
      </c>
      <c r="AV155" s="322">
        <v>184.51194475457305</v>
      </c>
      <c r="AW155" s="322">
        <v>69.967579443597501</v>
      </c>
      <c r="AX155" s="322">
        <v>208.41760321953532</v>
      </c>
      <c r="AY155" s="322">
        <v>14.948006289896041</v>
      </c>
    </row>
    <row r="156" spans="1:51" s="301" customFormat="1" x14ac:dyDescent="0.25">
      <c r="A156" s="132">
        <v>134</v>
      </c>
      <c r="B156" s="132" t="s">
        <v>312</v>
      </c>
      <c r="C156" s="143" t="s">
        <v>311</v>
      </c>
      <c r="D156" s="324">
        <v>93.546242712415108</v>
      </c>
      <c r="E156" s="324">
        <v>210.1576008574439</v>
      </c>
      <c r="F156" s="324">
        <v>91.30366849051137</v>
      </c>
      <c r="G156" s="324">
        <v>99.560136796889992</v>
      </c>
      <c r="H156" s="324">
        <v>155.72265235504184</v>
      </c>
      <c r="I156" s="324">
        <v>133.87759003430909</v>
      </c>
      <c r="J156" s="324">
        <v>126.86053887398617</v>
      </c>
      <c r="K156" s="324">
        <v>199.52590449347974</v>
      </c>
      <c r="L156" s="324">
        <v>191.27634537302725</v>
      </c>
      <c r="M156" s="324">
        <v>171.84058778600044</v>
      </c>
      <c r="N156" s="324">
        <v>165.23419432243631</v>
      </c>
      <c r="O156" s="324">
        <v>66.291838982643739</v>
      </c>
      <c r="P156" s="324">
        <v>103.52596730828849</v>
      </c>
      <c r="Q156" s="324">
        <v>92.139200939200322</v>
      </c>
      <c r="R156" s="324">
        <v>108.30051101460481</v>
      </c>
      <c r="S156" s="324">
        <v>200.81374539828502</v>
      </c>
      <c r="T156" s="324">
        <v>123.23775465561748</v>
      </c>
      <c r="U156" s="324">
        <v>134.71726346770211</v>
      </c>
      <c r="V156" s="324">
        <v>175.11126388868584</v>
      </c>
      <c r="W156" s="324">
        <v>157.88322416433491</v>
      </c>
      <c r="X156" s="324">
        <v>207.72054101733772</v>
      </c>
      <c r="Y156" s="324">
        <v>185.23118256113858</v>
      </c>
      <c r="Z156" s="324">
        <v>168.413142813034</v>
      </c>
      <c r="AA156" s="324">
        <v>103.51701276203426</v>
      </c>
      <c r="AB156" s="322">
        <v>108.35415483545869</v>
      </c>
      <c r="AC156" s="322">
        <v>151.62041647721281</v>
      </c>
      <c r="AD156" s="322">
        <v>98.098122097663122</v>
      </c>
      <c r="AE156" s="322">
        <v>62.713614404328595</v>
      </c>
      <c r="AF156" s="322">
        <v>125.0645881486337</v>
      </c>
      <c r="AG156" s="322">
        <v>83.573474812489067</v>
      </c>
      <c r="AH156" s="322">
        <v>123.6938679185337</v>
      </c>
      <c r="AI156" s="322">
        <v>150.28544113559252</v>
      </c>
      <c r="AJ156" s="322">
        <v>145.6204215942191</v>
      </c>
      <c r="AK156" s="322">
        <v>121.14190924132143</v>
      </c>
      <c r="AL156" s="322">
        <v>74.585988166908479</v>
      </c>
      <c r="AM156" s="322">
        <v>76.667405038006777</v>
      </c>
      <c r="AN156" s="322">
        <v>42.648327563542537</v>
      </c>
      <c r="AO156" s="322">
        <v>55.478971214739317</v>
      </c>
      <c r="AP156" s="322">
        <v>65.749007364948298</v>
      </c>
      <c r="AQ156" s="322">
        <v>82.656515993700182</v>
      </c>
      <c r="AR156" s="322">
        <v>108.70510722647552</v>
      </c>
      <c r="AS156" s="322">
        <v>124.86442017418356</v>
      </c>
      <c r="AT156" s="322">
        <v>119.11919448039539</v>
      </c>
      <c r="AU156" s="322">
        <v>112.48408811927828</v>
      </c>
      <c r="AV156" s="322">
        <v>130.02869572502922</v>
      </c>
      <c r="AW156" s="322">
        <v>51.34539378441886</v>
      </c>
      <c r="AX156" s="322">
        <v>143.78143215000856</v>
      </c>
      <c r="AY156" s="322">
        <v>12.425835957118089</v>
      </c>
    </row>
    <row r="157" spans="1:51" s="301" customFormat="1" x14ac:dyDescent="0.25">
      <c r="A157" s="132">
        <v>135</v>
      </c>
      <c r="B157" s="132" t="s">
        <v>315</v>
      </c>
      <c r="C157" s="143" t="s">
        <v>314</v>
      </c>
      <c r="D157" s="324">
        <v>35.472720178832908</v>
      </c>
      <c r="E157" s="324">
        <v>76.578162570384961</v>
      </c>
      <c r="F157" s="324">
        <v>34.405818960236068</v>
      </c>
      <c r="G157" s="324">
        <v>36.31759686985226</v>
      </c>
      <c r="H157" s="324">
        <v>56.729837429658048</v>
      </c>
      <c r="I157" s="324">
        <v>48.425315941937939</v>
      </c>
      <c r="J157" s="324">
        <v>45.907304369677377</v>
      </c>
      <c r="K157" s="324">
        <v>71.852694349090598</v>
      </c>
      <c r="L157" s="324">
        <v>68.734080138163847</v>
      </c>
      <c r="M157" s="324">
        <v>62.609248265631372</v>
      </c>
      <c r="N157" s="324">
        <v>60.809048921346992</v>
      </c>
      <c r="O157" s="324">
        <v>25.873355806289073</v>
      </c>
      <c r="P157" s="324">
        <v>38.921675022041768</v>
      </c>
      <c r="Q157" s="324">
        <v>34.82969341550664</v>
      </c>
      <c r="R157" s="324">
        <v>40.388177947391419</v>
      </c>
      <c r="S157" s="324">
        <v>72.764704047188175</v>
      </c>
      <c r="T157" s="324">
        <v>45.191562968735276</v>
      </c>
      <c r="U157" s="324">
        <v>48.696206128299544</v>
      </c>
      <c r="V157" s="324">
        <v>62.949344494724919</v>
      </c>
      <c r="W157" s="324">
        <v>57.078180815937266</v>
      </c>
      <c r="X157" s="324">
        <v>74.526533521434047</v>
      </c>
      <c r="Y157" s="324">
        <v>67.31265004639927</v>
      </c>
      <c r="Z157" s="324">
        <v>61.919204756258104</v>
      </c>
      <c r="AA157" s="324">
        <v>38.921838809763187</v>
      </c>
      <c r="AB157" s="322">
        <v>40.588086150997199</v>
      </c>
      <c r="AC157" s="322">
        <v>55.859179730031187</v>
      </c>
      <c r="AD157" s="322">
        <v>36.692131109000506</v>
      </c>
      <c r="AE157" s="322">
        <v>23.805693022402625</v>
      </c>
      <c r="AF157" s="322">
        <v>45.816037062439378</v>
      </c>
      <c r="AG157" s="322">
        <v>30.555812617819768</v>
      </c>
      <c r="AH157" s="322">
        <v>44.748576931080812</v>
      </c>
      <c r="AI157" s="322">
        <v>54.373668796480331</v>
      </c>
      <c r="AJ157" s="322">
        <v>52.525258774632903</v>
      </c>
      <c r="AK157" s="322">
        <v>44.588549643643582</v>
      </c>
      <c r="AL157" s="322">
        <v>28.670332261317206</v>
      </c>
      <c r="AM157" s="322">
        <v>29.462445504336152</v>
      </c>
      <c r="AN157" s="322">
        <v>17.363675850622364</v>
      </c>
      <c r="AO157" s="322">
        <v>21.832517605910716</v>
      </c>
      <c r="AP157" s="322">
        <v>25.323010171167684</v>
      </c>
      <c r="AQ157" s="322">
        <v>30.959304594681978</v>
      </c>
      <c r="AR157" s="322">
        <v>40.151825346278855</v>
      </c>
      <c r="AS157" s="322">
        <v>45.273019951248031</v>
      </c>
      <c r="AT157" s="322">
        <v>9.0224615963373243</v>
      </c>
      <c r="AU157" s="322">
        <v>10.400617011093031</v>
      </c>
      <c r="AV157" s="322">
        <v>9.4083852498769822</v>
      </c>
      <c r="AW157" s="322">
        <v>8.6504103969370032</v>
      </c>
      <c r="AX157" s="322">
        <v>7.3206472361897781</v>
      </c>
      <c r="AY157" s="322">
        <v>6.9648170449501636</v>
      </c>
    </row>
    <row r="158" spans="1:51" s="301" customFormat="1" x14ac:dyDescent="0.25">
      <c r="A158" s="132">
        <v>509</v>
      </c>
      <c r="B158" s="132" t="s">
        <v>603</v>
      </c>
      <c r="C158" s="326" t="s">
        <v>3706</v>
      </c>
      <c r="D158" s="324">
        <v>83</v>
      </c>
      <c r="E158" s="324">
        <v>233</v>
      </c>
      <c r="F158" s="324">
        <v>171</v>
      </c>
      <c r="G158" s="324">
        <v>311</v>
      </c>
      <c r="H158" s="324">
        <v>379</v>
      </c>
      <c r="I158" s="324">
        <v>351</v>
      </c>
      <c r="J158" s="324">
        <v>600</v>
      </c>
      <c r="K158" s="324">
        <v>563</v>
      </c>
      <c r="L158" s="324">
        <v>394</v>
      </c>
      <c r="M158" s="324">
        <v>238</v>
      </c>
      <c r="N158" s="324">
        <v>271</v>
      </c>
      <c r="O158" s="324">
        <v>89</v>
      </c>
      <c r="P158" s="324">
        <v>89</v>
      </c>
      <c r="Q158" s="324">
        <v>14</v>
      </c>
      <c r="R158" s="324">
        <v>193</v>
      </c>
      <c r="S158" s="324">
        <v>421</v>
      </c>
      <c r="T158" s="325">
        <v>299</v>
      </c>
      <c r="U158" s="325">
        <v>418</v>
      </c>
      <c r="V158" s="325">
        <v>472</v>
      </c>
      <c r="W158" s="325">
        <v>357</v>
      </c>
      <c r="X158" s="324">
        <v>465</v>
      </c>
      <c r="Y158" s="325">
        <v>287</v>
      </c>
      <c r="Z158" s="325">
        <v>161</v>
      </c>
      <c r="AA158" s="325">
        <v>55</v>
      </c>
      <c r="AB158" s="322">
        <v>91</v>
      </c>
      <c r="AC158" s="322">
        <v>173</v>
      </c>
      <c r="AD158" s="322">
        <v>130</v>
      </c>
      <c r="AE158" s="322">
        <v>130</v>
      </c>
      <c r="AF158" s="322">
        <v>289</v>
      </c>
      <c r="AG158" s="322">
        <v>437</v>
      </c>
      <c r="AH158" s="322">
        <v>454</v>
      </c>
      <c r="AI158" s="322">
        <v>590</v>
      </c>
      <c r="AJ158" s="322">
        <v>524</v>
      </c>
      <c r="AK158" s="322">
        <v>304</v>
      </c>
      <c r="AL158" s="322">
        <v>195</v>
      </c>
      <c r="AM158" s="322">
        <v>103</v>
      </c>
      <c r="AN158" s="322">
        <v>60</v>
      </c>
      <c r="AO158" s="322">
        <v>151</v>
      </c>
      <c r="AP158" s="322">
        <v>152</v>
      </c>
      <c r="AQ158" s="322">
        <v>346</v>
      </c>
      <c r="AR158" s="321">
        <f>AVERAGE(AL158:AQ158)</f>
        <v>167.83333333333334</v>
      </c>
      <c r="AS158" s="322">
        <v>509</v>
      </c>
      <c r="AT158" s="322">
        <v>516</v>
      </c>
      <c r="AU158" s="322">
        <v>550</v>
      </c>
      <c r="AV158" s="322">
        <v>431</v>
      </c>
      <c r="AW158" s="322">
        <v>229</v>
      </c>
      <c r="AX158" s="321">
        <f>AVERAGE(AT158:AW158)</f>
        <v>431.5</v>
      </c>
      <c r="AY158" s="321">
        <f>AVERAGE(AU158:AX158)</f>
        <v>410.375</v>
      </c>
    </row>
    <row r="159" spans="1:51" s="301" customFormat="1" x14ac:dyDescent="0.25">
      <c r="A159" s="132">
        <v>3.1</v>
      </c>
      <c r="B159" s="132" t="s">
        <v>21</v>
      </c>
      <c r="C159" s="143" t="s">
        <v>3532</v>
      </c>
      <c r="D159" s="324">
        <v>87.768675067134055</v>
      </c>
      <c r="E159" s="324">
        <v>181.63264942105263</v>
      </c>
      <c r="F159" s="324">
        <v>84.843865171461573</v>
      </c>
      <c r="G159" s="324">
        <v>87.031561746557273</v>
      </c>
      <c r="H159" s="324">
        <v>136.57513613584402</v>
      </c>
      <c r="I159" s="324">
        <v>116.64495728331687</v>
      </c>
      <c r="J159" s="324">
        <v>111.44106558823597</v>
      </c>
      <c r="K159" s="324">
        <v>171.83007035187742</v>
      </c>
      <c r="L159" s="324">
        <v>163.92347882189731</v>
      </c>
      <c r="M159" s="324">
        <v>150.48453443750097</v>
      </c>
      <c r="N159" s="324">
        <v>146.30750146155762</v>
      </c>
      <c r="O159" s="324">
        <v>65.625082555238322</v>
      </c>
      <c r="P159" s="324">
        <v>95.507039646565588</v>
      </c>
      <c r="Q159" s="324">
        <v>85.457405603640666</v>
      </c>
      <c r="R159" s="324">
        <v>98.544740603261289</v>
      </c>
      <c r="S159" s="324">
        <v>172.91904809279092</v>
      </c>
      <c r="T159" s="324">
        <v>109.83020322002764</v>
      </c>
      <c r="U159" s="324">
        <v>117.14328725007803</v>
      </c>
      <c r="V159" s="324">
        <v>150.53806161187683</v>
      </c>
      <c r="W159" s="324">
        <v>137.58738430240061</v>
      </c>
      <c r="X159" s="324">
        <v>177.13305798215123</v>
      </c>
      <c r="Y159" s="324">
        <v>161.2029719804498</v>
      </c>
      <c r="Z159" s="324">
        <v>148.82686750743551</v>
      </c>
      <c r="AA159" s="324">
        <v>95.386449853381635</v>
      </c>
      <c r="AB159" s="322">
        <v>99.240235854163998</v>
      </c>
      <c r="AC159" s="322">
        <v>133.87530800025627</v>
      </c>
      <c r="AD159" s="322">
        <v>89.799931643591208</v>
      </c>
      <c r="AE159" s="322">
        <v>59.815433904744253</v>
      </c>
      <c r="AF159" s="322">
        <v>111.1903569680946</v>
      </c>
      <c r="AG159" s="322">
        <v>75.133355031415533</v>
      </c>
      <c r="AH159" s="322">
        <v>108.55873256392965</v>
      </c>
      <c r="AI159" s="322">
        <v>131.27491459877277</v>
      </c>
      <c r="AJ159" s="322">
        <v>126.29030142134852</v>
      </c>
      <c r="AK159" s="322">
        <v>108.67914514360491</v>
      </c>
      <c r="AL159" s="322">
        <v>72.081862632856627</v>
      </c>
      <c r="AM159" s="322">
        <v>73.691183268343806</v>
      </c>
      <c r="AN159" s="322">
        <v>45.787521818758599</v>
      </c>
      <c r="AO159" s="322">
        <v>55.448812007383715</v>
      </c>
      <c r="AP159" s="322">
        <v>63.806876151679987</v>
      </c>
      <c r="AQ159" s="322">
        <v>76.597401778886152</v>
      </c>
      <c r="AR159" s="322">
        <v>98.585512408624439</v>
      </c>
      <c r="AS159" s="322">
        <v>109.55849376575078</v>
      </c>
      <c r="AT159" s="322">
        <v>107.18324108572274</v>
      </c>
      <c r="AU159" s="322">
        <v>104.1684421457156</v>
      </c>
      <c r="AV159" s="322">
        <v>116.49181338172193</v>
      </c>
      <c r="AW159" s="322">
        <v>53.673414540215987</v>
      </c>
      <c r="AX159" s="322">
        <v>128.49550139879739</v>
      </c>
      <c r="AY159" s="322">
        <v>20.966499434223515</v>
      </c>
    </row>
    <row r="160" spans="1:51" s="301" customFormat="1" x14ac:dyDescent="0.25">
      <c r="A160" s="62">
        <v>355</v>
      </c>
      <c r="B160" s="327" t="s">
        <v>3701</v>
      </c>
      <c r="C160" s="33" t="s">
        <v>3702</v>
      </c>
      <c r="D160" s="324">
        <v>0</v>
      </c>
      <c r="E160" s="324">
        <v>15.555</v>
      </c>
      <c r="F160" s="324">
        <v>0</v>
      </c>
      <c r="G160" s="324">
        <v>0</v>
      </c>
      <c r="H160" s="324">
        <v>0</v>
      </c>
      <c r="I160" s="324">
        <v>14.555</v>
      </c>
      <c r="J160" s="324">
        <v>0</v>
      </c>
      <c r="K160" s="324">
        <v>3.1659999999999999</v>
      </c>
      <c r="L160" s="324">
        <v>0</v>
      </c>
      <c r="M160" s="324">
        <v>0</v>
      </c>
      <c r="N160" s="324">
        <v>0</v>
      </c>
      <c r="O160" s="324">
        <v>2.7090000000000001</v>
      </c>
      <c r="P160" s="324">
        <v>2.7090000000000001</v>
      </c>
      <c r="Q160" s="324">
        <v>0</v>
      </c>
      <c r="R160" s="324">
        <v>0</v>
      </c>
      <c r="S160" s="324">
        <v>2.5540000000000003</v>
      </c>
      <c r="T160" s="324">
        <v>0</v>
      </c>
      <c r="U160" s="324">
        <v>0</v>
      </c>
      <c r="V160" s="324">
        <v>0</v>
      </c>
      <c r="W160" s="324">
        <v>1.8340000000000001</v>
      </c>
      <c r="X160" s="324">
        <v>0</v>
      </c>
      <c r="Y160" s="324">
        <v>1.8919999999999999</v>
      </c>
      <c r="Z160" s="324">
        <v>0</v>
      </c>
      <c r="AA160" s="324">
        <v>4.92</v>
      </c>
      <c r="AB160" s="322">
        <v>0</v>
      </c>
      <c r="AC160" s="322">
        <v>0</v>
      </c>
      <c r="AD160" s="322">
        <v>0</v>
      </c>
      <c r="AE160" s="322">
        <v>0</v>
      </c>
      <c r="AF160" s="322">
        <v>0</v>
      </c>
      <c r="AG160" s="322">
        <v>1.863</v>
      </c>
      <c r="AH160" s="322">
        <v>0</v>
      </c>
      <c r="AI160" s="322">
        <v>0</v>
      </c>
      <c r="AJ160" s="322">
        <v>0</v>
      </c>
      <c r="AK160" s="322">
        <v>9.4329999999999998</v>
      </c>
      <c r="AL160" s="322">
        <v>0</v>
      </c>
      <c r="AM160" s="322">
        <v>11.968999999999999</v>
      </c>
      <c r="AN160" s="322">
        <v>0</v>
      </c>
      <c r="AO160" s="322">
        <v>8.8979999999999997</v>
      </c>
      <c r="AP160" s="322">
        <v>0</v>
      </c>
      <c r="AQ160" s="322">
        <v>9.032</v>
      </c>
      <c r="AR160" s="321">
        <f t="shared" ref="AR160:AY160" si="8">AVERAGE(AM160:AQ160)</f>
        <v>5.9797999999999991</v>
      </c>
      <c r="AS160" s="321">
        <f t="shared" si="8"/>
        <v>4.7819599999999998</v>
      </c>
      <c r="AT160" s="321">
        <f t="shared" si="8"/>
        <v>5.738351999999999</v>
      </c>
      <c r="AU160" s="321">
        <f t="shared" si="8"/>
        <v>5.1064223999999996</v>
      </c>
      <c r="AV160" s="321">
        <f t="shared" si="8"/>
        <v>6.1277068799999999</v>
      </c>
      <c r="AW160" s="321">
        <f t="shared" si="8"/>
        <v>5.5468482559999996</v>
      </c>
      <c r="AX160" s="321">
        <f t="shared" si="8"/>
        <v>5.4602579071999999</v>
      </c>
      <c r="AY160" s="321">
        <f t="shared" si="8"/>
        <v>5.5959174886399996</v>
      </c>
    </row>
    <row r="161" spans="1:51" s="301" customFormat="1" x14ac:dyDescent="0.25">
      <c r="A161" s="132">
        <v>48</v>
      </c>
      <c r="B161" s="132" t="s">
        <v>129</v>
      </c>
      <c r="C161" s="143" t="s">
        <v>128</v>
      </c>
      <c r="D161" s="324">
        <v>457.295880333279</v>
      </c>
      <c r="E161" s="324">
        <v>1078.1160628612133</v>
      </c>
      <c r="F161" s="324">
        <v>446.13576871538811</v>
      </c>
      <c r="G161" s="324">
        <v>503.06701383744746</v>
      </c>
      <c r="H161" s="324">
        <v>783.02620361813104</v>
      </c>
      <c r="I161" s="324">
        <v>667.10674682786157</v>
      </c>
      <c r="J161" s="324">
        <v>627.55001907105736</v>
      </c>
      <c r="K161" s="324">
        <v>1010.6530455659146</v>
      </c>
      <c r="L161" s="324">
        <v>968.74910986236898</v>
      </c>
      <c r="M161" s="324">
        <v>867.8999831599881</v>
      </c>
      <c r="N161" s="324">
        <v>836.85052413653148</v>
      </c>
      <c r="O161" s="324">
        <v>314.21073492667875</v>
      </c>
      <c r="P161" s="324">
        <v>511.42313003759983</v>
      </c>
      <c r="Q161" s="324">
        <v>453.3433264266846</v>
      </c>
      <c r="R161" s="324">
        <v>536.65200649407666</v>
      </c>
      <c r="S161" s="324">
        <v>1025.3810584081587</v>
      </c>
      <c r="T161" s="324">
        <v>612.20748224544809</v>
      </c>
      <c r="U161" s="324">
        <v>672.58175088795167</v>
      </c>
      <c r="V161" s="324">
        <v>884.25493838811383</v>
      </c>
      <c r="W161" s="324">
        <v>791.69402131499703</v>
      </c>
      <c r="X161" s="324">
        <v>1056.8642138359817</v>
      </c>
      <c r="Y161" s="324">
        <v>939.56847496455407</v>
      </c>
      <c r="Z161" s="324">
        <v>853.91071445287446</v>
      </c>
      <c r="AA161" s="324">
        <v>513.08987864774042</v>
      </c>
      <c r="AB161" s="322">
        <v>537.64479411831519</v>
      </c>
      <c r="AC161" s="322">
        <v>768.40897112074776</v>
      </c>
      <c r="AD161" s="322">
        <v>484.17664959087398</v>
      </c>
      <c r="AE161" s="322">
        <v>296.54480094505902</v>
      </c>
      <c r="AF161" s="322">
        <v>622.42972553583218</v>
      </c>
      <c r="AG161" s="322">
        <v>403.61806623792529</v>
      </c>
      <c r="AH161" s="322">
        <v>612.43616657570135</v>
      </c>
      <c r="AI161" s="322">
        <v>752.06586215417417</v>
      </c>
      <c r="AJ161" s="322">
        <v>729.34518742842397</v>
      </c>
      <c r="AK161" s="322">
        <v>601.45553557889866</v>
      </c>
      <c r="AL161" s="322">
        <v>358.12765991797289</v>
      </c>
      <c r="AM161" s="322">
        <v>370.36840971573793</v>
      </c>
      <c r="AN161" s="322">
        <v>189.50563348679469</v>
      </c>
      <c r="AO161" s="322">
        <v>259.71252308608427</v>
      </c>
      <c r="AP161" s="322">
        <v>311.60620352726829</v>
      </c>
      <c r="AQ161" s="322">
        <v>399.96727349649916</v>
      </c>
      <c r="AR161" s="322">
        <v>46.103297768024504</v>
      </c>
      <c r="AS161" s="322">
        <v>46.40236776345305</v>
      </c>
      <c r="AT161" s="322">
        <v>60.715689484387795</v>
      </c>
      <c r="AU161" s="322">
        <v>68.354412677595704</v>
      </c>
      <c r="AV161" s="322">
        <v>62.761262322438675</v>
      </c>
      <c r="AW161" s="322">
        <v>51.355470400020877</v>
      </c>
      <c r="AX161" s="322">
        <v>38.856191986094373</v>
      </c>
      <c r="AY161" s="322">
        <v>36.039580067344239</v>
      </c>
    </row>
    <row r="162" spans="1:51" s="301" customFormat="1" x14ac:dyDescent="0.25">
      <c r="A162" s="132">
        <v>234</v>
      </c>
      <c r="B162" s="132" t="s">
        <v>442</v>
      </c>
      <c r="C162" s="143" t="s">
        <v>441</v>
      </c>
      <c r="D162" s="324">
        <v>0</v>
      </c>
      <c r="E162" s="324">
        <v>0</v>
      </c>
      <c r="F162" s="324">
        <v>0</v>
      </c>
      <c r="G162" s="324">
        <v>0</v>
      </c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>
        <v>0</v>
      </c>
      <c r="U162" s="324">
        <v>0</v>
      </c>
      <c r="V162" s="324">
        <v>0</v>
      </c>
      <c r="W162" s="324">
        <v>0</v>
      </c>
      <c r="X162" s="324">
        <v>0</v>
      </c>
      <c r="Y162" s="324">
        <v>0</v>
      </c>
      <c r="Z162" s="324">
        <v>0</v>
      </c>
      <c r="AA162" s="324">
        <v>0</v>
      </c>
      <c r="AB162" s="143">
        <v>0</v>
      </c>
      <c r="AC162" s="322">
        <v>0</v>
      </c>
      <c r="AD162" s="322">
        <v>0</v>
      </c>
      <c r="AE162" s="322">
        <v>0</v>
      </c>
      <c r="AF162" s="322">
        <v>0</v>
      </c>
      <c r="AG162" s="322">
        <v>0</v>
      </c>
      <c r="AH162" s="322">
        <v>0</v>
      </c>
      <c r="AI162" s="322">
        <v>0</v>
      </c>
      <c r="AJ162" s="322">
        <v>0</v>
      </c>
      <c r="AK162" s="322">
        <v>0</v>
      </c>
      <c r="AL162" s="322">
        <v>0</v>
      </c>
      <c r="AM162" s="322">
        <v>0</v>
      </c>
      <c r="AN162" s="322">
        <v>0</v>
      </c>
      <c r="AO162" s="322">
        <v>0</v>
      </c>
      <c r="AP162" s="322">
        <v>0</v>
      </c>
      <c r="AQ162" s="322">
        <v>0</v>
      </c>
      <c r="AR162" s="322">
        <v>0</v>
      </c>
      <c r="AS162" s="322">
        <v>0</v>
      </c>
      <c r="AT162" s="322">
        <v>0</v>
      </c>
      <c r="AU162" s="322">
        <v>0</v>
      </c>
      <c r="AV162" s="322">
        <v>0</v>
      </c>
      <c r="AW162" s="322">
        <v>0</v>
      </c>
      <c r="AX162" s="322">
        <v>0</v>
      </c>
      <c r="AY162" s="322">
        <v>0</v>
      </c>
    </row>
    <row r="163" spans="1:51" s="301" customFormat="1" x14ac:dyDescent="0.25">
      <c r="A163" s="132">
        <v>49</v>
      </c>
      <c r="B163" s="132" t="s">
        <v>135</v>
      </c>
      <c r="C163" s="143" t="s">
        <v>134</v>
      </c>
      <c r="D163" s="324">
        <v>59.974020250468691</v>
      </c>
      <c r="E163" s="324">
        <v>104.67906501525314</v>
      </c>
      <c r="F163" s="324">
        <v>58.67549958732031</v>
      </c>
      <c r="G163" s="324">
        <v>53.944956191458971</v>
      </c>
      <c r="H163" s="324">
        <v>86.302115958897858</v>
      </c>
      <c r="I163" s="324">
        <v>77.727257838126008</v>
      </c>
      <c r="J163" s="324">
        <v>75.993783303698123</v>
      </c>
      <c r="K163" s="324">
        <v>105.79925705492859</v>
      </c>
      <c r="L163" s="324">
        <v>101.68804947488681</v>
      </c>
      <c r="M163" s="324">
        <v>92.939782262477067</v>
      </c>
      <c r="N163" s="324">
        <v>88.36790109089759</v>
      </c>
      <c r="O163" s="324">
        <v>48.388631008903907</v>
      </c>
      <c r="P163" s="324">
        <v>63.182920795002858</v>
      </c>
      <c r="Q163" s="324">
        <v>57.582364507461541</v>
      </c>
      <c r="R163" s="324">
        <v>65.137356065462527</v>
      </c>
      <c r="S163" s="324">
        <v>102.47443924987883</v>
      </c>
      <c r="T163" s="324">
        <v>72.664775161551077</v>
      </c>
      <c r="U163" s="324">
        <v>77.46115736340866</v>
      </c>
      <c r="V163" s="324">
        <v>94.518046365073488</v>
      </c>
      <c r="W163" s="324">
        <v>88.323580031714187</v>
      </c>
      <c r="X163" s="324">
        <v>107.63700879372252</v>
      </c>
      <c r="Y163" s="324">
        <v>97.829036386300885</v>
      </c>
      <c r="Z163" s="324">
        <v>89.499618959395434</v>
      </c>
      <c r="AA163" s="324">
        <v>62.160761352640755</v>
      </c>
      <c r="AB163" s="322">
        <v>64.714538663068879</v>
      </c>
      <c r="AC163" s="322">
        <v>81.209965352297459</v>
      </c>
      <c r="AD163" s="322">
        <v>60.14874280262935</v>
      </c>
      <c r="AE163" s="322">
        <v>46.030508495985018</v>
      </c>
      <c r="AF163" s="322">
        <v>73.071830316261199</v>
      </c>
      <c r="AG163" s="322">
        <v>56.008341751549125</v>
      </c>
      <c r="AH163" s="322">
        <v>73.779488556682395</v>
      </c>
      <c r="AI163" s="322">
        <v>84.950768441698486</v>
      </c>
      <c r="AJ163" s="322">
        <v>82.141325171704878</v>
      </c>
      <c r="AK163" s="322">
        <v>71.571406930215659</v>
      </c>
      <c r="AL163" s="322">
        <v>51.507449463633371</v>
      </c>
      <c r="AM163" s="322">
        <v>51.794197676653312</v>
      </c>
      <c r="AN163" s="322">
        <v>38.673231606863162</v>
      </c>
      <c r="AO163" s="322">
        <v>42.684675107575117</v>
      </c>
      <c r="AP163" s="322">
        <v>48.027205158205625</v>
      </c>
      <c r="AQ163" s="322">
        <v>55.2644927773121</v>
      </c>
      <c r="AR163" s="322">
        <v>68.364852813332973</v>
      </c>
      <c r="AS163" s="322">
        <v>74.970818063450935</v>
      </c>
      <c r="AT163" s="322">
        <v>79.380415553409506</v>
      </c>
      <c r="AU163" s="322">
        <v>80.397198644997658</v>
      </c>
      <c r="AV163" s="322">
        <v>85.124408753016553</v>
      </c>
      <c r="AW163" s="322">
        <v>48.100407102045288</v>
      </c>
      <c r="AX163" s="322">
        <v>79.171656779630723</v>
      </c>
      <c r="AY163" s="322">
        <v>25.449078291709895</v>
      </c>
    </row>
    <row r="164" spans="1:51" x14ac:dyDescent="0.25">
      <c r="A164" s="132">
        <v>114</v>
      </c>
      <c r="B164" s="132" t="s">
        <v>274</v>
      </c>
      <c r="C164" s="143" t="s">
        <v>273</v>
      </c>
      <c r="D164" s="324">
        <v>50.312487459292377</v>
      </c>
      <c r="E164" s="324">
        <v>90.17761941086701</v>
      </c>
      <c r="F164" s="324">
        <v>48.248644545372244</v>
      </c>
      <c r="G164" s="324">
        <v>45.097507744395642</v>
      </c>
      <c r="H164" s="324">
        <v>70.990378774322224</v>
      </c>
      <c r="I164" s="324">
        <v>62.197498036017763</v>
      </c>
      <c r="J164" s="324">
        <v>59.272026156183721</v>
      </c>
      <c r="K164" s="324">
        <v>86.241773881780958</v>
      </c>
      <c r="L164" s="324">
        <v>82.259308435468029</v>
      </c>
      <c r="M164" s="324">
        <v>76.00768924530955</v>
      </c>
      <c r="N164" s="324">
        <v>74.099022687007917</v>
      </c>
      <c r="O164" s="324">
        <v>40.246325643956339</v>
      </c>
      <c r="P164" s="324">
        <v>53.246296685259274</v>
      </c>
      <c r="Q164" s="324">
        <v>48.502147284633295</v>
      </c>
      <c r="R164" s="324">
        <v>54.020505578914182</v>
      </c>
      <c r="S164" s="324">
        <v>86.536185217607169</v>
      </c>
      <c r="T164" s="324">
        <v>59.070021668044333</v>
      </c>
      <c r="U164" s="324">
        <v>62.125471185009189</v>
      </c>
      <c r="V164" s="324">
        <v>75.903311360072294</v>
      </c>
      <c r="W164" s="324">
        <v>71.014029429277983</v>
      </c>
      <c r="X164" s="324">
        <v>87.714017270704431</v>
      </c>
      <c r="Y164" s="324">
        <v>80.452581202702845</v>
      </c>
      <c r="Z164" s="324">
        <v>75.125729774714515</v>
      </c>
      <c r="AA164" s="324">
        <v>52.560162397675271</v>
      </c>
      <c r="AB164" s="322">
        <v>54.649764722731582</v>
      </c>
      <c r="AC164" s="322">
        <v>69.42286619547032</v>
      </c>
      <c r="AD164" s="322">
        <v>49.757313804146619</v>
      </c>
      <c r="AE164" s="322">
        <v>36.828642330841184</v>
      </c>
      <c r="AF164" s="322">
        <v>59.502274199092518</v>
      </c>
      <c r="AG164" s="322">
        <v>43.418096820344793</v>
      </c>
      <c r="AH164" s="322">
        <v>57.611715369828026</v>
      </c>
      <c r="AI164" s="322">
        <v>68.124761095216115</v>
      </c>
      <c r="AJ164" s="322">
        <v>65.360538349554616</v>
      </c>
      <c r="AK164" s="322">
        <v>57.384202331992682</v>
      </c>
      <c r="AL164" s="322">
        <v>41.601616868552199</v>
      </c>
      <c r="AM164" s="322">
        <v>43.346067163175654</v>
      </c>
      <c r="AN164" s="322">
        <v>31.583929235931105</v>
      </c>
      <c r="AO164" s="322">
        <v>35.350877787860682</v>
      </c>
      <c r="AP164" s="322">
        <v>38.899383321319718</v>
      </c>
      <c r="AQ164" s="322">
        <v>44.763705400004703</v>
      </c>
      <c r="AR164" s="322">
        <v>54.928884717743259</v>
      </c>
      <c r="AS164" s="322">
        <v>59.528743940340554</v>
      </c>
      <c r="AT164" s="322">
        <v>60.225789635917508</v>
      </c>
      <c r="AU164" s="322">
        <v>61.108175447688012</v>
      </c>
      <c r="AV164" s="322">
        <v>65.181396727823497</v>
      </c>
      <c r="AW164" s="322">
        <v>35.480572342360645</v>
      </c>
      <c r="AX164" s="322">
        <v>66.076354565835956</v>
      </c>
      <c r="AY164" s="322">
        <v>20.116642484975166</v>
      </c>
    </row>
    <row r="165" spans="1:51" x14ac:dyDescent="0.25">
      <c r="A165" s="132">
        <v>89</v>
      </c>
      <c r="B165" s="132" t="s">
        <v>213</v>
      </c>
      <c r="C165" s="143" t="s">
        <v>212</v>
      </c>
      <c r="D165" s="324">
        <v>107.05795328284657</v>
      </c>
      <c r="E165" s="324">
        <v>197.56600707845271</v>
      </c>
      <c r="F165" s="324">
        <v>102.60028155883892</v>
      </c>
      <c r="G165" s="324">
        <v>97.937729508168204</v>
      </c>
      <c r="H165" s="324">
        <v>153.99211187258521</v>
      </c>
      <c r="I165" s="324">
        <v>134.20033790650714</v>
      </c>
      <c r="J165" s="324">
        <v>127.6586065162756</v>
      </c>
      <c r="K165" s="324">
        <v>188.43043367739205</v>
      </c>
      <c r="L165" s="324">
        <v>179.55060406297517</v>
      </c>
      <c r="M165" s="324">
        <v>165.41183912569571</v>
      </c>
      <c r="N165" s="324">
        <v>161.18567427005652</v>
      </c>
      <c r="O165" s="324">
        <v>84.488412439310594</v>
      </c>
      <c r="P165" s="324">
        <v>113.92321906666186</v>
      </c>
      <c r="Q165" s="324">
        <v>103.30931015723084</v>
      </c>
      <c r="R165" s="324">
        <v>115.74829813387218</v>
      </c>
      <c r="S165" s="324">
        <v>189.33866320001405</v>
      </c>
      <c r="T165" s="324">
        <v>127.21610475950256</v>
      </c>
      <c r="U165" s="324">
        <v>134.19735009285236</v>
      </c>
      <c r="V165" s="324">
        <v>165.45486538226965</v>
      </c>
      <c r="W165" s="324">
        <v>154.20883377334025</v>
      </c>
      <c r="X165" s="324">
        <v>192.04347983004502</v>
      </c>
      <c r="Y165" s="324">
        <v>175.58525213023762</v>
      </c>
      <c r="Z165" s="324">
        <v>163.5467504325328</v>
      </c>
      <c r="AA165" s="324">
        <v>112.66079364457659</v>
      </c>
      <c r="AB165" s="322">
        <v>117.21485187389042</v>
      </c>
      <c r="AC165" s="322">
        <v>150.65882433397502</v>
      </c>
      <c r="AD165" s="322">
        <v>106.37541316782982</v>
      </c>
      <c r="AE165" s="322">
        <v>77.299275678403831</v>
      </c>
      <c r="AF165" s="322">
        <v>128.28109269782635</v>
      </c>
      <c r="AG165" s="322">
        <v>92.166722683674948</v>
      </c>
      <c r="AH165" s="322">
        <v>124.14309261371089</v>
      </c>
      <c r="AI165" s="322">
        <v>147.76068960490571</v>
      </c>
      <c r="AJ165" s="322">
        <v>141.67254120803355</v>
      </c>
      <c r="AK165" s="322">
        <v>123.5959198653284</v>
      </c>
      <c r="AL165" s="322">
        <v>87.884460504192802</v>
      </c>
      <c r="AM165" s="322">
        <v>91.717937118355295</v>
      </c>
      <c r="AN165" s="322">
        <v>64.994496842842281</v>
      </c>
      <c r="AO165" s="322">
        <v>73.647546378016287</v>
      </c>
      <c r="AP165" s="322">
        <v>81.587620617083033</v>
      </c>
      <c r="AQ165" s="322">
        <v>94.881455271686193</v>
      </c>
      <c r="AR165" s="322">
        <v>117.44345300205529</v>
      </c>
      <c r="AS165" s="322">
        <v>127.94122327795799</v>
      </c>
      <c r="AT165" s="322">
        <v>128.18507954964596</v>
      </c>
      <c r="AU165" s="322">
        <v>129.23350960099887</v>
      </c>
      <c r="AV165" s="322">
        <v>138.91403047214996</v>
      </c>
      <c r="AW165" s="322">
        <v>72.892802675560688</v>
      </c>
      <c r="AX165" s="322">
        <v>143.22262809567596</v>
      </c>
      <c r="AY165" s="322">
        <v>39.392057149977511</v>
      </c>
    </row>
    <row r="166" spans="1:51" x14ac:dyDescent="0.25">
      <c r="A166" s="132">
        <v>283</v>
      </c>
      <c r="B166" s="132" t="s">
        <v>3185</v>
      </c>
      <c r="C166" s="102" t="s">
        <v>3684</v>
      </c>
      <c r="D166" s="324">
        <v>0</v>
      </c>
      <c r="E166" s="324">
        <v>0</v>
      </c>
      <c r="F166" s="324">
        <v>0</v>
      </c>
      <c r="G166" s="324">
        <v>0</v>
      </c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>
        <v>0</v>
      </c>
      <c r="U166" s="324">
        <v>0</v>
      </c>
      <c r="V166" s="324">
        <v>0</v>
      </c>
      <c r="W166" s="324">
        <v>0</v>
      </c>
      <c r="X166" s="324">
        <v>0</v>
      </c>
      <c r="Y166" s="324">
        <v>0</v>
      </c>
      <c r="Z166" s="324">
        <v>0</v>
      </c>
      <c r="AA166" s="324">
        <v>0</v>
      </c>
      <c r="AB166" s="301">
        <v>0</v>
      </c>
      <c r="AC166" s="322">
        <v>0</v>
      </c>
      <c r="AD166" s="322">
        <v>0</v>
      </c>
      <c r="AE166" s="322">
        <v>0</v>
      </c>
      <c r="AF166" s="322">
        <v>0</v>
      </c>
      <c r="AG166" s="322">
        <v>0</v>
      </c>
      <c r="AH166" s="322">
        <v>0</v>
      </c>
      <c r="AI166" s="322">
        <v>0</v>
      </c>
      <c r="AJ166" s="322">
        <v>0</v>
      </c>
      <c r="AK166" s="322">
        <v>0</v>
      </c>
      <c r="AL166" s="322">
        <v>0</v>
      </c>
      <c r="AM166" s="322">
        <v>0</v>
      </c>
      <c r="AN166" s="322">
        <v>0</v>
      </c>
      <c r="AO166" s="322">
        <v>0</v>
      </c>
      <c r="AP166" s="322">
        <v>0</v>
      </c>
      <c r="AQ166" s="322">
        <v>0</v>
      </c>
      <c r="AR166" s="322">
        <v>0</v>
      </c>
      <c r="AS166" s="322">
        <v>0</v>
      </c>
      <c r="AT166" s="322">
        <v>0</v>
      </c>
      <c r="AU166" s="322">
        <v>0</v>
      </c>
      <c r="AV166" s="322">
        <v>0</v>
      </c>
      <c r="AW166" s="322">
        <v>0</v>
      </c>
      <c r="AX166" s="322">
        <v>0</v>
      </c>
      <c r="AY166" s="322">
        <v>0</v>
      </c>
    </row>
    <row r="167" spans="1:51" x14ac:dyDescent="0.25">
      <c r="A167" s="205">
        <v>310</v>
      </c>
      <c r="B167" s="132" t="s">
        <v>538</v>
      </c>
      <c r="C167" s="143" t="s">
        <v>3624</v>
      </c>
      <c r="D167" s="324">
        <v>102.12554992104599</v>
      </c>
      <c r="E167" s="324">
        <v>110.06632799999211</v>
      </c>
      <c r="F167" s="324">
        <v>119.26470588235294</v>
      </c>
      <c r="G167" s="324">
        <v>77.567169465240639</v>
      </c>
      <c r="H167" s="324">
        <v>103.06149732620321</v>
      </c>
      <c r="I167" s="324">
        <v>184.15775401069519</v>
      </c>
      <c r="J167" s="324">
        <v>213.475935828877</v>
      </c>
      <c r="K167" s="324">
        <v>164.34491978609626</v>
      </c>
      <c r="L167" s="324">
        <v>143.68983957219251</v>
      </c>
      <c r="M167" s="324">
        <v>106.43143173462566</v>
      </c>
      <c r="N167" s="324">
        <v>63.128342245989302</v>
      </c>
      <c r="O167" s="324">
        <v>102.1524064171123</v>
      </c>
      <c r="P167" s="324">
        <v>95.427807486631011</v>
      </c>
      <c r="Q167" s="324">
        <v>98.141711229946523</v>
      </c>
      <c r="R167" s="324">
        <v>140.78877005347593</v>
      </c>
      <c r="S167" s="324">
        <v>129.2382883726722</v>
      </c>
      <c r="T167" s="324">
        <v>129.23796791443851</v>
      </c>
      <c r="U167" s="324">
        <v>71.296791443850267</v>
      </c>
      <c r="V167" s="324">
        <v>56.283422459893046</v>
      </c>
      <c r="W167" s="324">
        <v>73.141711229946523</v>
      </c>
      <c r="X167" s="324">
        <v>121.08288770053476</v>
      </c>
      <c r="Y167" s="324">
        <v>95.307486631016047</v>
      </c>
      <c r="Z167" s="324">
        <v>101.85828877005348</v>
      </c>
      <c r="AA167" s="324">
        <v>89.866310160427801</v>
      </c>
      <c r="AB167" s="322">
        <v>131.28983957219251</v>
      </c>
      <c r="AC167" s="322">
        <v>116.75133689839572</v>
      </c>
      <c r="AD167" s="322">
        <v>131.28983957219251</v>
      </c>
      <c r="AE167" s="322">
        <v>89.291443850267385</v>
      </c>
      <c r="AF167" s="322">
        <v>37.139037433155082</v>
      </c>
      <c r="AG167" s="322">
        <v>35.013368983957221</v>
      </c>
      <c r="AH167" s="322">
        <v>34.278074866310163</v>
      </c>
      <c r="AI167" s="322">
        <v>77.339572192513373</v>
      </c>
      <c r="AJ167" s="322">
        <v>70.454545454545453</v>
      </c>
      <c r="AK167" s="322">
        <v>52.5</v>
      </c>
      <c r="AL167" s="322">
        <v>21.483957219251337</v>
      </c>
      <c r="AM167" s="322">
        <v>31.671122994652407</v>
      </c>
      <c r="AN167" s="322">
        <v>26.818181818181817</v>
      </c>
      <c r="AO167" s="322">
        <v>24.264705882352942</v>
      </c>
      <c r="AP167" s="322">
        <v>25.147058823529413</v>
      </c>
      <c r="AQ167" s="322">
        <v>30.494652406417114</v>
      </c>
      <c r="AR167" s="322">
        <v>34.371657754010698</v>
      </c>
      <c r="AS167" s="322">
        <v>43.208556149732622</v>
      </c>
      <c r="AT167" s="322">
        <v>697.11898395721926</v>
      </c>
      <c r="AU167" s="322">
        <v>881.89304812834223</v>
      </c>
      <c r="AV167" s="322">
        <v>718.50133689839572</v>
      </c>
      <c r="AW167" s="322">
        <v>413.13235294117646</v>
      </c>
      <c r="AX167" s="322">
        <v>413.54278074866312</v>
      </c>
      <c r="AY167" s="322">
        <v>243.38368983957218</v>
      </c>
    </row>
    <row r="168" spans="1:51" x14ac:dyDescent="0.25">
      <c r="A168" s="132">
        <v>801</v>
      </c>
      <c r="B168" s="342" t="s">
        <v>609</v>
      </c>
      <c r="C168" s="143" t="s">
        <v>3708</v>
      </c>
      <c r="D168" s="324">
        <v>0</v>
      </c>
      <c r="E168" s="324">
        <v>0</v>
      </c>
      <c r="F168" s="324">
        <v>0</v>
      </c>
      <c r="G168" s="324">
        <v>0</v>
      </c>
      <c r="H168" s="324">
        <v>0</v>
      </c>
      <c r="I168" s="324">
        <v>0</v>
      </c>
      <c r="J168" s="324">
        <v>0</v>
      </c>
      <c r="K168" s="324">
        <v>0</v>
      </c>
      <c r="L168" s="324">
        <v>0</v>
      </c>
      <c r="M168" s="324">
        <v>0</v>
      </c>
      <c r="N168" s="324">
        <v>0</v>
      </c>
      <c r="O168" s="324">
        <v>0</v>
      </c>
      <c r="P168" s="324">
        <v>0</v>
      </c>
      <c r="Q168" s="324">
        <v>0</v>
      </c>
      <c r="R168" s="324">
        <v>0</v>
      </c>
      <c r="S168" s="324">
        <v>0</v>
      </c>
      <c r="T168" s="324">
        <v>0</v>
      </c>
      <c r="U168" s="324">
        <v>0</v>
      </c>
      <c r="V168" s="324">
        <v>0</v>
      </c>
      <c r="W168" s="324">
        <v>0</v>
      </c>
      <c r="X168" s="324">
        <v>0</v>
      </c>
      <c r="Y168" s="324">
        <v>0</v>
      </c>
      <c r="Z168" s="324">
        <v>0</v>
      </c>
      <c r="AA168" s="324">
        <v>0</v>
      </c>
      <c r="AB168" s="322">
        <v>0</v>
      </c>
      <c r="AC168" s="322">
        <v>0</v>
      </c>
      <c r="AD168" s="322">
        <v>0</v>
      </c>
      <c r="AE168" s="322">
        <v>0</v>
      </c>
      <c r="AF168" s="322">
        <v>0</v>
      </c>
      <c r="AG168" s="322">
        <v>0</v>
      </c>
      <c r="AH168" s="322">
        <v>0</v>
      </c>
      <c r="AI168" s="322">
        <v>0</v>
      </c>
      <c r="AJ168" s="322">
        <v>0</v>
      </c>
      <c r="AK168" s="322">
        <v>0</v>
      </c>
      <c r="AL168" s="322">
        <v>0</v>
      </c>
      <c r="AM168" s="322">
        <v>0</v>
      </c>
      <c r="AN168" s="322">
        <v>0</v>
      </c>
      <c r="AO168" s="322">
        <v>0</v>
      </c>
      <c r="AP168" s="322">
        <v>0</v>
      </c>
      <c r="AQ168" s="322">
        <v>0</v>
      </c>
      <c r="AR168" s="322">
        <v>0</v>
      </c>
      <c r="AS168" s="322">
        <v>0</v>
      </c>
      <c r="AT168" s="322">
        <v>0</v>
      </c>
      <c r="AU168" s="322">
        <v>0</v>
      </c>
      <c r="AV168" s="322">
        <v>0</v>
      </c>
      <c r="AW168" s="322">
        <v>0</v>
      </c>
      <c r="AX168" s="322">
        <v>0</v>
      </c>
      <c r="AY168" s="322">
        <v>0</v>
      </c>
    </row>
    <row r="169" spans="1:51" x14ac:dyDescent="0.25">
      <c r="A169" s="132">
        <v>112</v>
      </c>
      <c r="B169" s="132" t="s">
        <v>265</v>
      </c>
      <c r="C169" s="326" t="s">
        <v>3662</v>
      </c>
      <c r="D169" s="324">
        <v>0</v>
      </c>
      <c r="E169" s="324">
        <v>0</v>
      </c>
      <c r="F169" s="324">
        <v>0</v>
      </c>
      <c r="G169" s="324">
        <v>0</v>
      </c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>
        <v>0</v>
      </c>
      <c r="U169" s="324">
        <v>0</v>
      </c>
      <c r="V169" s="324">
        <v>0</v>
      </c>
      <c r="W169" s="324">
        <v>0</v>
      </c>
      <c r="X169" s="324">
        <v>0</v>
      </c>
      <c r="Y169" s="324">
        <v>0</v>
      </c>
      <c r="Z169" s="324">
        <v>0</v>
      </c>
      <c r="AA169" s="324">
        <v>0</v>
      </c>
      <c r="AB169" s="301">
        <v>0</v>
      </c>
      <c r="AC169" s="322">
        <v>0</v>
      </c>
      <c r="AD169" s="322">
        <v>0</v>
      </c>
      <c r="AE169" s="322">
        <v>0</v>
      </c>
      <c r="AF169" s="322">
        <v>0</v>
      </c>
      <c r="AG169" s="322">
        <v>0</v>
      </c>
      <c r="AH169" s="322">
        <v>0</v>
      </c>
      <c r="AI169" s="322">
        <v>0</v>
      </c>
      <c r="AJ169" s="322">
        <v>0</v>
      </c>
      <c r="AK169" s="322">
        <v>0</v>
      </c>
      <c r="AL169" s="322">
        <v>0</v>
      </c>
      <c r="AM169" s="322">
        <v>0</v>
      </c>
      <c r="AN169" s="322">
        <v>0</v>
      </c>
      <c r="AO169" s="322">
        <v>0</v>
      </c>
      <c r="AP169" s="322">
        <v>0</v>
      </c>
      <c r="AQ169" s="322">
        <v>0</v>
      </c>
      <c r="AR169" s="322">
        <v>0</v>
      </c>
      <c r="AS169" s="322">
        <v>0</v>
      </c>
      <c r="AT169" s="322">
        <v>0</v>
      </c>
      <c r="AU169" s="322">
        <v>0</v>
      </c>
      <c r="AV169" s="322">
        <v>0</v>
      </c>
      <c r="AW169" s="322">
        <v>0</v>
      </c>
      <c r="AX169" s="322">
        <v>0</v>
      </c>
      <c r="AY169" s="322">
        <v>0</v>
      </c>
    </row>
    <row r="170" spans="1:51" x14ac:dyDescent="0.25">
      <c r="A170" s="132">
        <v>112.1</v>
      </c>
      <c r="B170" s="132" t="s">
        <v>265</v>
      </c>
      <c r="C170" s="143" t="s">
        <v>3569</v>
      </c>
      <c r="D170" s="324">
        <v>63.520779230506577</v>
      </c>
      <c r="E170" s="324">
        <v>130.52544480342129</v>
      </c>
      <c r="F170" s="324">
        <v>62.471577798197728</v>
      </c>
      <c r="G170" s="324">
        <v>63.07677772489825</v>
      </c>
      <c r="H170" s="324">
        <v>98.033527115123974</v>
      </c>
      <c r="I170" s="324">
        <v>85.616735340183908</v>
      </c>
      <c r="J170" s="324">
        <v>80.006015812829162</v>
      </c>
      <c r="K170" s="324">
        <v>122.38737742626549</v>
      </c>
      <c r="L170" s="324">
        <v>117.91619068371284</v>
      </c>
      <c r="M170" s="324">
        <v>107.44284474234814</v>
      </c>
      <c r="N170" s="324">
        <v>104.20965776051389</v>
      </c>
      <c r="O170" s="324">
        <v>47.770015945232615</v>
      </c>
      <c r="P170" s="324">
        <v>68.844986298523409</v>
      </c>
      <c r="Q170" s="324">
        <v>63.404232899849809</v>
      </c>
      <c r="R170" s="324">
        <v>71.987057006966083</v>
      </c>
      <c r="S170" s="324">
        <v>124.35430854768778</v>
      </c>
      <c r="T170" s="324">
        <v>79.290500003042936</v>
      </c>
      <c r="U170" s="324">
        <v>85.860413984207113</v>
      </c>
      <c r="V170" s="324">
        <v>107.23229811068501</v>
      </c>
      <c r="W170" s="324">
        <v>98.40554839104658</v>
      </c>
      <c r="X170" s="324">
        <v>127.05109556472146</v>
      </c>
      <c r="Y170" s="324">
        <v>114.87946107516291</v>
      </c>
      <c r="Z170" s="324">
        <v>105.95545990597667</v>
      </c>
      <c r="AA170" s="324">
        <v>68.446828151333222</v>
      </c>
      <c r="AB170" s="322">
        <v>71.41134252459554</v>
      </c>
      <c r="AC170" s="322">
        <v>97.175615436884684</v>
      </c>
      <c r="AD170" s="322">
        <v>65.749407427111663</v>
      </c>
      <c r="AE170" s="322">
        <v>45.197484120792737</v>
      </c>
      <c r="AF170" s="322">
        <v>80.203800677231598</v>
      </c>
      <c r="AG170" s="322">
        <v>56.360420634249785</v>
      </c>
      <c r="AH170" s="322">
        <v>77.910971349689035</v>
      </c>
      <c r="AI170" s="322">
        <v>93.967521748161715</v>
      </c>
      <c r="AJ170" s="322">
        <v>91.466499507733658</v>
      </c>
      <c r="AK170" s="322">
        <v>78.150533386948325</v>
      </c>
      <c r="AL170" s="322">
        <v>52.335878404145461</v>
      </c>
      <c r="AM170" s="322">
        <v>53.334463086194233</v>
      </c>
      <c r="AN170" s="322">
        <v>34.119321850704374</v>
      </c>
      <c r="AO170" s="322">
        <v>42.412626553415052</v>
      </c>
      <c r="AP170" s="322">
        <v>47.722994674629454</v>
      </c>
      <c r="AQ170" s="322">
        <v>57.11958961077594</v>
      </c>
      <c r="AR170" s="322">
        <v>71.609851115072857</v>
      </c>
      <c r="AS170" s="322">
        <v>80.816529381394389</v>
      </c>
      <c r="AT170" s="322">
        <v>77.600387206814645</v>
      </c>
      <c r="AU170" s="322">
        <v>76.032380593706236</v>
      </c>
      <c r="AV170" s="322">
        <v>85.900040024795501</v>
      </c>
      <c r="AW170" s="322">
        <v>40.189048725285041</v>
      </c>
      <c r="AX170" s="322">
        <v>91.717686131542948</v>
      </c>
      <c r="AY170" s="322">
        <v>16.468662153148195</v>
      </c>
    </row>
    <row r="171" spans="1:51" x14ac:dyDescent="0.25">
      <c r="A171" s="132">
        <v>35</v>
      </c>
      <c r="B171" s="132" t="s">
        <v>96</v>
      </c>
      <c r="C171" s="143" t="s">
        <v>95</v>
      </c>
      <c r="D171" s="324">
        <v>128.42729807632443</v>
      </c>
      <c r="E171" s="324">
        <v>177.57721249257969</v>
      </c>
      <c r="F171" s="324">
        <v>122.69942340694493</v>
      </c>
      <c r="G171" s="324">
        <v>96.023368843567681</v>
      </c>
      <c r="H171" s="324">
        <v>155.85548788971201</v>
      </c>
      <c r="I171" s="324">
        <v>138.00140737690108</v>
      </c>
      <c r="J171" s="324">
        <v>138.88441112410456</v>
      </c>
      <c r="K171" s="324">
        <v>180.21906693757322</v>
      </c>
      <c r="L171" s="324">
        <v>170.17314820678033</v>
      </c>
      <c r="M171" s="324">
        <v>166.92629297323322</v>
      </c>
      <c r="N171" s="324">
        <v>163.75036995167545</v>
      </c>
      <c r="O171" s="324">
        <v>114.00583543485072</v>
      </c>
      <c r="P171" s="324">
        <v>130.48088190392073</v>
      </c>
      <c r="Q171" s="324">
        <v>119.87366928455602</v>
      </c>
      <c r="R171" s="324">
        <v>129.88481219272603</v>
      </c>
      <c r="S171" s="324">
        <v>172.59702212405145</v>
      </c>
      <c r="T171" s="324">
        <v>137.74113107103051</v>
      </c>
      <c r="U171" s="324">
        <v>136.61973721171469</v>
      </c>
      <c r="V171" s="324">
        <v>160.28959446554546</v>
      </c>
      <c r="W171" s="324">
        <v>157.13548375202686</v>
      </c>
      <c r="X171" s="324">
        <v>176.37076397589809</v>
      </c>
      <c r="Y171" s="324">
        <v>171.93015038992459</v>
      </c>
      <c r="Z171" s="324">
        <v>164.7979679031564</v>
      </c>
      <c r="AA171" s="324">
        <v>128.17301389197064</v>
      </c>
      <c r="AB171" s="322">
        <v>131.39827029020444</v>
      </c>
      <c r="AC171" s="322">
        <v>148.56396313371258</v>
      </c>
      <c r="AD171" s="322">
        <v>121.67665866201752</v>
      </c>
      <c r="AE171" s="322">
        <v>100.60149744369559</v>
      </c>
      <c r="AF171" s="322">
        <v>137.57304521256316</v>
      </c>
      <c r="AG171" s="322">
        <v>108.47331496764629</v>
      </c>
      <c r="AH171" s="322">
        <v>134.45698652124844</v>
      </c>
      <c r="AI171" s="322">
        <v>152.34227015034122</v>
      </c>
      <c r="AJ171" s="322">
        <v>143.8191519779854</v>
      </c>
      <c r="AK171" s="322">
        <v>138.26306007969617</v>
      </c>
      <c r="AL171" s="322">
        <v>116.89951342527287</v>
      </c>
      <c r="AM171" s="322">
        <v>116.34345415694034</v>
      </c>
      <c r="AN171" s="322">
        <v>99.93101581110092</v>
      </c>
      <c r="AO171" s="322">
        <v>100.98576860490981</v>
      </c>
      <c r="AP171" s="322">
        <v>108.62210443001022</v>
      </c>
      <c r="AQ171" s="322">
        <v>114.60356655393058</v>
      </c>
      <c r="AR171" s="322">
        <v>135.57673078442008</v>
      </c>
      <c r="AS171" s="322">
        <v>136.095323135158</v>
      </c>
      <c r="AT171" s="322">
        <v>154.69772789963693</v>
      </c>
      <c r="AU171" s="322">
        <v>167.06952738537959</v>
      </c>
      <c r="AV171" s="322">
        <v>163.97604768594786</v>
      </c>
      <c r="AW171" s="322">
        <v>119.0301368439015</v>
      </c>
      <c r="AX171" s="322">
        <v>150.91327921851999</v>
      </c>
      <c r="AY171" s="322">
        <v>82.304256389978306</v>
      </c>
    </row>
    <row r="172" spans="1:51" x14ac:dyDescent="0.25">
      <c r="A172" s="132">
        <v>220</v>
      </c>
      <c r="B172" s="132" t="s">
        <v>3670</v>
      </c>
      <c r="C172" s="143" t="s">
        <v>3671</v>
      </c>
      <c r="D172" s="324">
        <v>176.80247041380028</v>
      </c>
      <c r="E172" s="324">
        <v>332.61882809844218</v>
      </c>
      <c r="F172" s="324">
        <v>171.07516495187076</v>
      </c>
      <c r="G172" s="324">
        <v>163.78750189939674</v>
      </c>
      <c r="H172" s="324">
        <v>258.34076259934835</v>
      </c>
      <c r="I172" s="324">
        <v>223.62107715530755</v>
      </c>
      <c r="J172" s="324">
        <v>215.05736873060997</v>
      </c>
      <c r="K172" s="324">
        <v>318.6127722097097</v>
      </c>
      <c r="L172" s="324">
        <v>303.96356675160075</v>
      </c>
      <c r="M172" s="324">
        <v>282.5750728388727</v>
      </c>
      <c r="N172" s="324">
        <v>275.10776301571286</v>
      </c>
      <c r="O172" s="324">
        <v>139.05913527000166</v>
      </c>
      <c r="P172" s="324">
        <v>188.77589329384477</v>
      </c>
      <c r="Q172" s="324">
        <v>171.26522061268332</v>
      </c>
      <c r="R172" s="324">
        <v>193.64737275874481</v>
      </c>
      <c r="S172" s="324">
        <v>318.04247419467572</v>
      </c>
      <c r="T172" s="324">
        <v>212.65252728448112</v>
      </c>
      <c r="U172" s="324">
        <v>223.76705113241505</v>
      </c>
      <c r="V172" s="324">
        <v>279.85269925634799</v>
      </c>
      <c r="W172" s="324">
        <v>260.1638155853384</v>
      </c>
      <c r="X172" s="324">
        <v>325.42911358918479</v>
      </c>
      <c r="Y172" s="324">
        <v>299.99755677152211</v>
      </c>
      <c r="Z172" s="324">
        <v>279.15365623727695</v>
      </c>
      <c r="AA172" s="324">
        <v>187.56072384635405</v>
      </c>
      <c r="AB172" s="322">
        <v>194.52360506651223</v>
      </c>
      <c r="AC172" s="322">
        <v>252.34990772174297</v>
      </c>
      <c r="AD172" s="322">
        <v>177.79088088652821</v>
      </c>
      <c r="AE172" s="322">
        <v>126.60985040890822</v>
      </c>
      <c r="AF172" s="322">
        <v>214.54569269587128</v>
      </c>
      <c r="AG172" s="322">
        <v>152.07982502412821</v>
      </c>
      <c r="AH172" s="322">
        <v>209.16935763910683</v>
      </c>
      <c r="AI172" s="322">
        <v>249.17755718445693</v>
      </c>
      <c r="AJ172" s="322">
        <v>239.30439949453174</v>
      </c>
      <c r="AK172" s="322">
        <v>211.02952741404189</v>
      </c>
      <c r="AL172" s="322">
        <v>149.67063666750457</v>
      </c>
      <c r="AM172" s="322">
        <v>151.62156736184269</v>
      </c>
      <c r="AN172" s="322">
        <v>105.07773499192731</v>
      </c>
      <c r="AO172" s="322">
        <v>120.56055137247156</v>
      </c>
      <c r="AP172" s="322">
        <v>135.19836677630664</v>
      </c>
      <c r="AQ172" s="322">
        <v>156.360944470513</v>
      </c>
      <c r="AR172" s="322">
        <v>195.59716204593289</v>
      </c>
      <c r="AS172" s="322">
        <v>212.69531530586838</v>
      </c>
      <c r="AT172" s="322">
        <v>215.07640136488658</v>
      </c>
      <c r="AU172" s="322">
        <v>215.88463319869916</v>
      </c>
      <c r="AV172" s="322">
        <v>233.35848764961639</v>
      </c>
      <c r="AW172" s="322">
        <v>124.15112919182509</v>
      </c>
      <c r="AX172" s="322">
        <v>244.38452040009918</v>
      </c>
      <c r="AY172" s="322">
        <v>62.228248593963464</v>
      </c>
    </row>
    <row r="173" spans="1:51" x14ac:dyDescent="0.25">
      <c r="A173" s="132">
        <v>330</v>
      </c>
      <c r="B173" s="132" t="s">
        <v>562</v>
      </c>
      <c r="C173" s="143" t="s">
        <v>3692</v>
      </c>
      <c r="D173" s="324">
        <v>102.887793489557</v>
      </c>
      <c r="E173" s="324">
        <v>186.56166877158188</v>
      </c>
      <c r="F173" s="324">
        <v>100.47520118270282</v>
      </c>
      <c r="G173" s="324">
        <v>96.129103062493883</v>
      </c>
      <c r="H173" s="324">
        <v>155.45732717686877</v>
      </c>
      <c r="I173" s="324">
        <v>139.46856824536684</v>
      </c>
      <c r="J173" s="324">
        <v>138.15497011997729</v>
      </c>
      <c r="K173" s="324">
        <v>194.91577467168366</v>
      </c>
      <c r="L173" s="324">
        <v>186.01864986820215</v>
      </c>
      <c r="M173" s="324">
        <v>168.32214308277477</v>
      </c>
      <c r="N173" s="324">
        <v>157.89231255792555</v>
      </c>
      <c r="O173" s="324">
        <v>81.326508622954648</v>
      </c>
      <c r="P173" s="324">
        <v>109.28734119637681</v>
      </c>
      <c r="Q173" s="324">
        <v>97.744971455251644</v>
      </c>
      <c r="R173" s="324">
        <v>112.80698316002614</v>
      </c>
      <c r="S173" s="324">
        <v>184.44095457180961</v>
      </c>
      <c r="T173" s="324">
        <v>129.94879891257639</v>
      </c>
      <c r="U173" s="324">
        <v>139.14179965052875</v>
      </c>
      <c r="V173" s="324">
        <v>173.22172215153648</v>
      </c>
      <c r="W173" s="324">
        <v>162.12180378014463</v>
      </c>
      <c r="X173" s="324">
        <v>197.3705948608775</v>
      </c>
      <c r="Y173" s="324">
        <v>177.66835426477084</v>
      </c>
      <c r="Z173" s="324">
        <v>160.07946184285976</v>
      </c>
      <c r="AA173" s="324">
        <v>107.78603275123574</v>
      </c>
      <c r="AB173" s="322">
        <v>112.353523550619</v>
      </c>
      <c r="AC173" s="322">
        <v>142.35963410438526</v>
      </c>
      <c r="AD173" s="322">
        <v>103.81939335193721</v>
      </c>
      <c r="AE173" s="322">
        <v>78.537859698351255</v>
      </c>
      <c r="AF173" s="322">
        <v>130.8128433013035</v>
      </c>
      <c r="AG173" s="322">
        <v>99.000390260092487</v>
      </c>
      <c r="AH173" s="322">
        <v>134.17193323283331</v>
      </c>
      <c r="AI173" s="322">
        <v>155.82281203994279</v>
      </c>
      <c r="AJ173" s="322">
        <v>149.46749476798354</v>
      </c>
      <c r="AK173" s="322">
        <v>128.35841400980996</v>
      </c>
      <c r="AL173" s="322">
        <v>88.657921379148902</v>
      </c>
      <c r="AM173" s="322">
        <v>88.080643306735382</v>
      </c>
      <c r="AN173" s="322">
        <v>63.167319813054654</v>
      </c>
      <c r="AO173" s="322">
        <v>69.790002308506075</v>
      </c>
      <c r="AP173" s="322">
        <v>80.601777451991055</v>
      </c>
      <c r="AQ173" s="322">
        <v>95.447604847716732</v>
      </c>
      <c r="AR173" s="322">
        <v>121.39210004892442</v>
      </c>
      <c r="AS173" s="322">
        <v>134.02735760810043</v>
      </c>
      <c r="AT173" s="322">
        <v>143.23719715203228</v>
      </c>
      <c r="AU173" s="322">
        <v>145.42151485448255</v>
      </c>
      <c r="AV173" s="322">
        <v>153.02992486188603</v>
      </c>
      <c r="AW173" s="322">
        <v>82.868874808693846</v>
      </c>
      <c r="AX173" s="322">
        <v>140.79973556483534</v>
      </c>
      <c r="AY173" s="322">
        <v>38.722791404078755</v>
      </c>
    </row>
    <row r="174" spans="1:51" x14ac:dyDescent="0.25">
      <c r="A174" s="132">
        <v>120</v>
      </c>
      <c r="B174" s="132" t="s">
        <v>286</v>
      </c>
      <c r="C174" s="326" t="s">
        <v>285</v>
      </c>
      <c r="D174" s="324">
        <v>0</v>
      </c>
      <c r="E174" s="324">
        <v>0</v>
      </c>
      <c r="F174" s="324">
        <v>0</v>
      </c>
      <c r="G174" s="324">
        <v>0</v>
      </c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>
        <v>0</v>
      </c>
      <c r="U174" s="324">
        <v>0</v>
      </c>
      <c r="V174" s="324">
        <v>0</v>
      </c>
      <c r="W174" s="324">
        <v>0</v>
      </c>
      <c r="X174" s="324">
        <v>0</v>
      </c>
      <c r="Y174" s="324">
        <v>0</v>
      </c>
      <c r="Z174" s="324">
        <v>0</v>
      </c>
      <c r="AA174" s="324">
        <v>0</v>
      </c>
      <c r="AB174" s="301">
        <v>0</v>
      </c>
      <c r="AC174" s="322">
        <v>0</v>
      </c>
      <c r="AD174" s="322">
        <v>0</v>
      </c>
      <c r="AE174" s="322">
        <v>0</v>
      </c>
      <c r="AF174" s="322">
        <v>0</v>
      </c>
      <c r="AG174" s="322">
        <v>0</v>
      </c>
      <c r="AH174" s="322">
        <v>0</v>
      </c>
      <c r="AI174" s="322">
        <v>0</v>
      </c>
      <c r="AJ174" s="322">
        <v>0</v>
      </c>
      <c r="AK174" s="322">
        <v>0</v>
      </c>
      <c r="AL174" s="322">
        <v>0</v>
      </c>
      <c r="AM174" s="322">
        <v>0</v>
      </c>
      <c r="AN174" s="322">
        <v>0</v>
      </c>
      <c r="AO174" s="322">
        <v>0</v>
      </c>
      <c r="AP174" s="322">
        <v>0</v>
      </c>
      <c r="AQ174" s="322">
        <v>0</v>
      </c>
      <c r="AR174" s="322">
        <v>0</v>
      </c>
      <c r="AS174" s="322">
        <v>0</v>
      </c>
      <c r="AT174" s="322">
        <v>0</v>
      </c>
      <c r="AU174" s="322">
        <v>0</v>
      </c>
      <c r="AV174" s="322">
        <v>0</v>
      </c>
      <c r="AW174" s="322">
        <v>0</v>
      </c>
      <c r="AX174" s="322">
        <v>0</v>
      </c>
      <c r="AY174" s="322">
        <v>0</v>
      </c>
    </row>
    <row r="175" spans="1:51" x14ac:dyDescent="0.25">
      <c r="A175" s="132">
        <v>120.1</v>
      </c>
      <c r="B175" s="132" t="s">
        <v>286</v>
      </c>
      <c r="C175" s="143" t="s">
        <v>2037</v>
      </c>
      <c r="D175" s="324">
        <v>121.89407727793331</v>
      </c>
      <c r="E175" s="324">
        <v>232.56069302889222</v>
      </c>
      <c r="F175" s="324">
        <v>119.18979148965718</v>
      </c>
      <c r="G175" s="324">
        <v>115.92277141473065</v>
      </c>
      <c r="H175" s="324">
        <v>183.55426345173399</v>
      </c>
      <c r="I175" s="324">
        <v>162.59190892968329</v>
      </c>
      <c r="J175" s="324">
        <v>156.83050550933933</v>
      </c>
      <c r="K175" s="324">
        <v>228.12492249668384</v>
      </c>
      <c r="L175" s="324">
        <v>219.29335862107897</v>
      </c>
      <c r="M175" s="324">
        <v>199.36405339819188</v>
      </c>
      <c r="N175" s="324">
        <v>190.77771249644229</v>
      </c>
      <c r="O175" s="324">
        <v>94.537806883425503</v>
      </c>
      <c r="P175" s="324">
        <v>130.48275213838883</v>
      </c>
      <c r="Q175" s="324">
        <v>118.32858955297417</v>
      </c>
      <c r="R175" s="324">
        <v>135.19689022408875</v>
      </c>
      <c r="S175" s="324">
        <v>225.10500121125125</v>
      </c>
      <c r="T175" s="324">
        <v>151.19483104439504</v>
      </c>
      <c r="U175" s="324">
        <v>162.58821343448409</v>
      </c>
      <c r="V175" s="324">
        <v>202.55551971690593</v>
      </c>
      <c r="W175" s="324">
        <v>186.66936025817392</v>
      </c>
      <c r="X175" s="324">
        <v>234.38498598336858</v>
      </c>
      <c r="Y175" s="324">
        <v>211.70957623704001</v>
      </c>
      <c r="Z175" s="324">
        <v>193.66653388135597</v>
      </c>
      <c r="AA175" s="324">
        <v>129.06959550424548</v>
      </c>
      <c r="AB175" s="322">
        <v>134.60908913315194</v>
      </c>
      <c r="AC175" s="322">
        <v>175.74871797699069</v>
      </c>
      <c r="AD175" s="322">
        <v>124.0508180027488</v>
      </c>
      <c r="AE175" s="322">
        <v>89.597938148679063</v>
      </c>
      <c r="AF175" s="322">
        <v>152.52571929337481</v>
      </c>
      <c r="AG175" s="322">
        <v>111.66636669541398</v>
      </c>
      <c r="AH175" s="322">
        <v>152.48998955639988</v>
      </c>
      <c r="AI175" s="322">
        <v>178.85931440944213</v>
      </c>
      <c r="AJ175" s="322">
        <v>173.3128018257722</v>
      </c>
      <c r="AK175" s="322">
        <v>148.74919176173381</v>
      </c>
      <c r="AL175" s="322">
        <v>102.09205838630413</v>
      </c>
      <c r="AM175" s="322">
        <v>103.5630044951871</v>
      </c>
      <c r="AN175" s="322">
        <v>71.258656402677772</v>
      </c>
      <c r="AO175" s="322">
        <v>82.469250552877213</v>
      </c>
      <c r="AP175" s="322">
        <v>93.830588585817026</v>
      </c>
      <c r="AQ175" s="322">
        <v>110.65621532209552</v>
      </c>
      <c r="AR175" s="322">
        <v>139.16502266938963</v>
      </c>
      <c r="AS175" s="322">
        <v>155.00885748648395</v>
      </c>
      <c r="AT175" s="322">
        <v>158.02480432002966</v>
      </c>
      <c r="AU175" s="322">
        <v>156.3455116346627</v>
      </c>
      <c r="AV175" s="322">
        <v>170.61558395392228</v>
      </c>
      <c r="AW175" s="322">
        <v>87.129535762791775</v>
      </c>
      <c r="AX175" s="322">
        <v>169.13920228398783</v>
      </c>
      <c r="AY175" s="322">
        <v>40.400141348198872</v>
      </c>
    </row>
    <row r="176" spans="1:51" x14ac:dyDescent="0.25">
      <c r="A176" s="305">
        <v>92</v>
      </c>
      <c r="B176" s="342" t="s">
        <v>225</v>
      </c>
      <c r="C176" s="143" t="s">
        <v>224</v>
      </c>
      <c r="D176" s="324">
        <v>0</v>
      </c>
      <c r="E176" s="324">
        <v>0</v>
      </c>
      <c r="F176" s="324">
        <v>0</v>
      </c>
      <c r="G176" s="324">
        <v>0</v>
      </c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>
        <v>0</v>
      </c>
      <c r="U176" s="324">
        <v>0</v>
      </c>
      <c r="V176" s="324">
        <v>0</v>
      </c>
      <c r="W176" s="324">
        <v>0</v>
      </c>
      <c r="X176" s="324">
        <v>0</v>
      </c>
      <c r="Y176" s="324">
        <v>0</v>
      </c>
      <c r="Z176" s="324">
        <v>0</v>
      </c>
      <c r="AA176" s="324">
        <v>0</v>
      </c>
      <c r="AB176" s="301">
        <v>0</v>
      </c>
      <c r="AC176" s="322">
        <v>0</v>
      </c>
      <c r="AD176" s="322">
        <v>0</v>
      </c>
      <c r="AE176" s="322">
        <v>0</v>
      </c>
      <c r="AF176" s="322">
        <v>0</v>
      </c>
      <c r="AG176" s="322">
        <v>0</v>
      </c>
      <c r="AH176" s="322">
        <v>0</v>
      </c>
      <c r="AI176" s="322">
        <v>0</v>
      </c>
      <c r="AJ176" s="322">
        <v>0</v>
      </c>
      <c r="AK176" s="322">
        <v>0</v>
      </c>
      <c r="AL176" s="322">
        <v>0</v>
      </c>
      <c r="AM176" s="322">
        <v>0</v>
      </c>
      <c r="AN176" s="322">
        <v>0</v>
      </c>
      <c r="AO176" s="322">
        <v>0</v>
      </c>
      <c r="AP176" s="322">
        <v>0</v>
      </c>
      <c r="AQ176" s="322">
        <v>0</v>
      </c>
      <c r="AR176" s="322">
        <v>0</v>
      </c>
      <c r="AS176" s="322">
        <v>0</v>
      </c>
      <c r="AT176" s="322">
        <v>0</v>
      </c>
      <c r="AU176" s="322">
        <v>0</v>
      </c>
      <c r="AV176" s="322">
        <v>0</v>
      </c>
      <c r="AW176" s="322">
        <v>0</v>
      </c>
      <c r="AX176" s="322">
        <v>0</v>
      </c>
      <c r="AY176" s="322">
        <v>0</v>
      </c>
    </row>
    <row r="177" spans="1:51" x14ac:dyDescent="0.25">
      <c r="A177" s="132">
        <v>193</v>
      </c>
      <c r="B177" s="342" t="s">
        <v>404</v>
      </c>
      <c r="C177" s="143" t="s">
        <v>403</v>
      </c>
      <c r="D177" s="324">
        <v>0</v>
      </c>
      <c r="E177" s="324">
        <v>0</v>
      </c>
      <c r="F177" s="324">
        <v>0</v>
      </c>
      <c r="G177" s="324">
        <v>0</v>
      </c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>
        <v>0</v>
      </c>
      <c r="U177" s="324">
        <v>0</v>
      </c>
      <c r="V177" s="324">
        <v>0</v>
      </c>
      <c r="W177" s="324">
        <v>0</v>
      </c>
      <c r="X177" s="324">
        <v>0</v>
      </c>
      <c r="Y177" s="324">
        <v>0</v>
      </c>
      <c r="Z177" s="324">
        <v>0</v>
      </c>
      <c r="AA177" s="324">
        <v>0</v>
      </c>
      <c r="AB177" s="301">
        <v>0</v>
      </c>
      <c r="AC177" s="322">
        <v>0</v>
      </c>
      <c r="AD177" s="322">
        <v>0</v>
      </c>
      <c r="AE177" s="322">
        <v>0</v>
      </c>
      <c r="AF177" s="322">
        <v>0</v>
      </c>
      <c r="AG177" s="322">
        <v>0</v>
      </c>
      <c r="AH177" s="322">
        <v>0</v>
      </c>
      <c r="AI177" s="322">
        <v>0</v>
      </c>
      <c r="AJ177" s="322">
        <v>0</v>
      </c>
      <c r="AK177" s="322">
        <v>0</v>
      </c>
      <c r="AL177" s="322">
        <v>0</v>
      </c>
      <c r="AM177" s="322">
        <v>0</v>
      </c>
      <c r="AN177" s="322">
        <v>0</v>
      </c>
      <c r="AO177" s="322">
        <v>0</v>
      </c>
      <c r="AP177" s="322">
        <v>0</v>
      </c>
      <c r="AQ177" s="322">
        <v>0</v>
      </c>
      <c r="AR177" s="322">
        <v>0</v>
      </c>
      <c r="AS177" s="322">
        <v>0</v>
      </c>
      <c r="AT177" s="322">
        <v>0</v>
      </c>
      <c r="AU177" s="322">
        <v>0</v>
      </c>
      <c r="AV177" s="322">
        <v>0</v>
      </c>
      <c r="AW177" s="322">
        <v>0</v>
      </c>
      <c r="AX177" s="322">
        <v>0</v>
      </c>
      <c r="AY177" s="322">
        <v>0</v>
      </c>
    </row>
    <row r="178" spans="1:51" x14ac:dyDescent="0.25">
      <c r="A178" s="132">
        <v>296</v>
      </c>
      <c r="B178" s="132" t="s">
        <v>536</v>
      </c>
      <c r="C178" s="143" t="s">
        <v>3687</v>
      </c>
      <c r="D178" s="324">
        <v>0</v>
      </c>
      <c r="E178" s="324">
        <v>0</v>
      </c>
      <c r="F178" s="324">
        <v>0</v>
      </c>
      <c r="G178" s="324">
        <v>0</v>
      </c>
      <c r="H178" s="324"/>
      <c r="I178" s="324"/>
      <c r="J178" s="324"/>
      <c r="K178" s="324"/>
      <c r="L178" s="324"/>
      <c r="M178" s="324"/>
      <c r="N178" s="324"/>
      <c r="O178" s="324"/>
      <c r="P178" s="324"/>
      <c r="Q178" s="324"/>
      <c r="R178" s="324"/>
      <c r="S178" s="324"/>
      <c r="T178" s="324">
        <v>0</v>
      </c>
      <c r="U178" s="324">
        <v>0</v>
      </c>
      <c r="V178" s="324">
        <v>0</v>
      </c>
      <c r="W178" s="324">
        <v>0</v>
      </c>
      <c r="X178" s="324">
        <v>0</v>
      </c>
      <c r="Y178" s="324">
        <v>0</v>
      </c>
      <c r="Z178" s="324">
        <v>0</v>
      </c>
      <c r="AA178" s="324">
        <v>0</v>
      </c>
      <c r="AB178" s="301">
        <v>0</v>
      </c>
      <c r="AC178" s="322">
        <v>0</v>
      </c>
      <c r="AD178" s="322">
        <v>0</v>
      </c>
      <c r="AE178" s="322">
        <v>0</v>
      </c>
      <c r="AF178" s="322">
        <v>0</v>
      </c>
      <c r="AG178" s="322">
        <v>0</v>
      </c>
      <c r="AH178" s="322">
        <v>0</v>
      </c>
      <c r="AI178" s="322">
        <v>0</v>
      </c>
      <c r="AJ178" s="322">
        <v>0</v>
      </c>
      <c r="AK178" s="322">
        <v>0</v>
      </c>
      <c r="AL178" s="322">
        <v>0</v>
      </c>
      <c r="AM178" s="322">
        <v>0</v>
      </c>
      <c r="AN178" s="322">
        <v>0</v>
      </c>
      <c r="AO178" s="322">
        <v>0</v>
      </c>
      <c r="AP178" s="322">
        <v>0</v>
      </c>
      <c r="AQ178" s="322">
        <v>0</v>
      </c>
      <c r="AR178" s="322">
        <v>0</v>
      </c>
      <c r="AS178" s="322">
        <v>0</v>
      </c>
      <c r="AT178" s="322">
        <v>0</v>
      </c>
      <c r="AU178" s="322">
        <v>0</v>
      </c>
      <c r="AV178" s="322">
        <v>0</v>
      </c>
      <c r="AW178" s="322">
        <v>0</v>
      </c>
      <c r="AX178" s="322">
        <v>0</v>
      </c>
      <c r="AY178" s="322">
        <v>0</v>
      </c>
    </row>
    <row r="179" spans="1:51" x14ac:dyDescent="0.25">
      <c r="A179" s="132">
        <v>80</v>
      </c>
      <c r="B179" s="132" t="s">
        <v>192</v>
      </c>
      <c r="C179" s="143" t="s">
        <v>191</v>
      </c>
      <c r="D179" s="324">
        <v>173.7</v>
      </c>
      <c r="E179" s="324">
        <v>0</v>
      </c>
      <c r="F179" s="324">
        <v>152.47</v>
      </c>
      <c r="G179" s="324">
        <v>90.710000000000008</v>
      </c>
      <c r="H179" s="324">
        <v>79.13</v>
      </c>
      <c r="I179" s="324">
        <v>144.75</v>
      </c>
      <c r="J179" s="324">
        <v>0</v>
      </c>
      <c r="K179" s="324">
        <v>250.9</v>
      </c>
      <c r="L179" s="324">
        <v>86.85</v>
      </c>
      <c r="M179" s="324">
        <v>44.39</v>
      </c>
      <c r="N179" s="324">
        <v>55.97</v>
      </c>
      <c r="O179" s="324">
        <v>0</v>
      </c>
      <c r="P179" s="324">
        <v>77.2</v>
      </c>
      <c r="Q179" s="324">
        <v>0</v>
      </c>
      <c r="R179" s="324">
        <v>56.739999999999995</v>
      </c>
      <c r="S179" s="324">
        <v>145.91</v>
      </c>
      <c r="T179" s="324">
        <v>51</v>
      </c>
      <c r="U179" s="324">
        <v>57</v>
      </c>
      <c r="V179" s="324">
        <v>61</v>
      </c>
      <c r="W179" s="324">
        <v>53</v>
      </c>
      <c r="X179" s="324">
        <v>42</v>
      </c>
      <c r="Y179" s="324">
        <v>34</v>
      </c>
      <c r="Z179" s="324">
        <v>25</v>
      </c>
      <c r="AA179" s="324">
        <v>0</v>
      </c>
      <c r="AB179" s="322">
        <v>18</v>
      </c>
      <c r="AC179" s="322">
        <v>23</v>
      </c>
      <c r="AD179" s="322">
        <v>33</v>
      </c>
      <c r="AE179" s="322">
        <v>11</v>
      </c>
      <c r="AF179" s="322">
        <v>156.32999999999998</v>
      </c>
      <c r="AG179" s="322">
        <v>0</v>
      </c>
      <c r="AH179" s="322">
        <v>316.51900000000001</v>
      </c>
      <c r="AI179" s="322">
        <v>195.79000000000002</v>
      </c>
      <c r="AJ179" s="322">
        <v>79.13</v>
      </c>
      <c r="AK179" s="322">
        <v>59.83</v>
      </c>
      <c r="AL179" s="322">
        <v>38.6</v>
      </c>
      <c r="AM179" s="322">
        <v>0</v>
      </c>
      <c r="AN179" s="322">
        <v>32.81</v>
      </c>
      <c r="AO179" s="322">
        <v>-46.32</v>
      </c>
      <c r="AP179" s="322">
        <v>50.18</v>
      </c>
      <c r="AQ179" s="322">
        <v>59.83</v>
      </c>
      <c r="AR179" s="322">
        <v>61.760000000000005</v>
      </c>
      <c r="AS179" s="322">
        <v>82.990000000000009</v>
      </c>
      <c r="AT179" s="322">
        <v>150.54</v>
      </c>
      <c r="AU179" s="322">
        <v>71.41</v>
      </c>
      <c r="AV179" s="322">
        <v>0</v>
      </c>
      <c r="AW179" s="322">
        <v>125.45</v>
      </c>
      <c r="AX179" s="322">
        <v>0</v>
      </c>
      <c r="AY179" s="322">
        <v>37</v>
      </c>
    </row>
    <row r="180" spans="1:51" s="301" customFormat="1" x14ac:dyDescent="0.25">
      <c r="A180" s="132">
        <v>332</v>
      </c>
      <c r="B180" s="132" t="s">
        <v>570</v>
      </c>
      <c r="C180" s="143" t="s">
        <v>3694</v>
      </c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  <c r="AA180" s="324"/>
      <c r="AB180" s="322"/>
      <c r="AC180" s="322"/>
      <c r="AD180" s="322"/>
      <c r="AE180" s="322"/>
      <c r="AF180" s="322">
        <v>570.44297192102749</v>
      </c>
      <c r="AG180" s="322">
        <v>531.419907943314</v>
      </c>
      <c r="AH180" s="322">
        <v>568.59583509885795</v>
      </c>
      <c r="AI180" s="322">
        <v>603.94289773646631</v>
      </c>
      <c r="AJ180" s="322">
        <v>596.11497628625477</v>
      </c>
      <c r="AK180" s="322">
        <v>568.33400639985916</v>
      </c>
      <c r="AL180" s="322">
        <v>454.73622286206711</v>
      </c>
      <c r="AM180" s="322">
        <v>544.55877445609565</v>
      </c>
      <c r="AN180" s="322">
        <v>595.19316791760491</v>
      </c>
      <c r="AO180" s="322">
        <v>950.21722578144863</v>
      </c>
      <c r="AP180" s="322">
        <v>454.99672387709722</v>
      </c>
      <c r="AQ180" s="322">
        <v>429.99923829074959</v>
      </c>
      <c r="AR180" s="321">
        <f t="shared" ref="AR180:AY180" si="9">AVERAGE(AM180:AQ180)</f>
        <v>594.99302606459923</v>
      </c>
      <c r="AS180" s="321">
        <f t="shared" si="9"/>
        <v>605.07987638629993</v>
      </c>
      <c r="AT180" s="321">
        <f t="shared" si="9"/>
        <v>607.05721808003898</v>
      </c>
      <c r="AU180" s="321">
        <f t="shared" si="9"/>
        <v>538.425216539757</v>
      </c>
      <c r="AV180" s="321">
        <f t="shared" si="9"/>
        <v>555.11091507228889</v>
      </c>
      <c r="AW180" s="321">
        <f t="shared" si="9"/>
        <v>580.13325042859685</v>
      </c>
      <c r="AX180" s="321">
        <f t="shared" si="9"/>
        <v>577.16129530139631</v>
      </c>
      <c r="AY180" s="321">
        <f t="shared" si="9"/>
        <v>571.57757908441567</v>
      </c>
    </row>
    <row r="181" spans="1:51" s="301" customFormat="1" x14ac:dyDescent="0.25">
      <c r="A181" s="132">
        <v>267</v>
      </c>
      <c r="B181" s="132" t="s">
        <v>503</v>
      </c>
      <c r="C181" s="102" t="s">
        <v>3680</v>
      </c>
      <c r="D181" s="324">
        <v>538.47</v>
      </c>
      <c r="E181" s="324">
        <v>563.55999999999995</v>
      </c>
      <c r="F181" s="324">
        <v>557.77</v>
      </c>
      <c r="G181" s="324">
        <v>660.06</v>
      </c>
      <c r="H181" s="324">
        <v>492.15000000000003</v>
      </c>
      <c r="I181" s="324">
        <v>422.67</v>
      </c>
      <c r="J181" s="324">
        <v>414.95000000000005</v>
      </c>
      <c r="K181" s="324">
        <v>524.96</v>
      </c>
      <c r="L181" s="324">
        <v>488.29</v>
      </c>
      <c r="M181" s="324">
        <v>405.3</v>
      </c>
      <c r="N181" s="324">
        <v>482.49999999999994</v>
      </c>
      <c r="O181" s="324">
        <v>337.75</v>
      </c>
      <c r="P181" s="324">
        <v>337.75</v>
      </c>
      <c r="Q181" s="324">
        <v>468.99</v>
      </c>
      <c r="R181" s="324">
        <v>370.56</v>
      </c>
      <c r="S181" s="324">
        <v>384.07</v>
      </c>
      <c r="T181" s="324">
        <v>175</v>
      </c>
      <c r="U181" s="324">
        <v>202.99999999999997</v>
      </c>
      <c r="V181" s="324">
        <v>217.018</v>
      </c>
      <c r="W181" s="324">
        <v>428.46000000000004</v>
      </c>
      <c r="X181" s="324">
        <v>281</v>
      </c>
      <c r="Y181" s="324">
        <v>286</v>
      </c>
      <c r="Z181" s="324">
        <v>273.96000000000004</v>
      </c>
      <c r="AA181" s="324">
        <v>452.15999999999997</v>
      </c>
      <c r="AB181" s="322">
        <v>385</v>
      </c>
      <c r="AC181" s="322">
        <v>313</v>
      </c>
      <c r="AD181" s="322">
        <v>405.3</v>
      </c>
      <c r="AE181" s="322">
        <v>47.93</v>
      </c>
      <c r="AF181" s="322">
        <v>337.75</v>
      </c>
      <c r="AG181" s="322">
        <v>422.67</v>
      </c>
      <c r="AH181" s="322">
        <v>279.85000000000002</v>
      </c>
      <c r="AI181" s="322">
        <v>84.92</v>
      </c>
      <c r="AJ181" s="322">
        <v>-554.91000000000008</v>
      </c>
      <c r="AK181" s="322">
        <v>121.59</v>
      </c>
      <c r="AL181" s="322">
        <v>59.83</v>
      </c>
      <c r="AM181" s="322">
        <v>59.83</v>
      </c>
      <c r="AN181" s="322">
        <v>71.41</v>
      </c>
      <c r="AO181" s="322">
        <v>55.97</v>
      </c>
      <c r="AP181" s="322">
        <v>67.55</v>
      </c>
      <c r="AQ181" s="322">
        <v>96.5</v>
      </c>
      <c r="AR181" s="322">
        <v>54.04</v>
      </c>
      <c r="AS181" s="322">
        <v>69.48</v>
      </c>
      <c r="AT181" s="322">
        <v>90.71</v>
      </c>
      <c r="AU181" s="322">
        <v>148.61000000000001</v>
      </c>
      <c r="AV181" s="322">
        <v>138.96</v>
      </c>
      <c r="AW181" s="322">
        <v>167.91000000000003</v>
      </c>
      <c r="AX181" s="322">
        <v>193</v>
      </c>
      <c r="AY181" s="322">
        <v>83</v>
      </c>
    </row>
    <row r="182" spans="1:51" s="301" customFormat="1" x14ac:dyDescent="0.25">
      <c r="A182" s="132">
        <v>199</v>
      </c>
      <c r="B182" s="132" t="s">
        <v>412</v>
      </c>
      <c r="C182" s="143" t="s">
        <v>414</v>
      </c>
      <c r="D182" s="324">
        <v>82.990000000000009</v>
      </c>
      <c r="E182" s="324">
        <v>94.57</v>
      </c>
      <c r="F182" s="324">
        <v>84.92</v>
      </c>
      <c r="G182" s="324">
        <v>88.78</v>
      </c>
      <c r="H182" s="324">
        <v>82.990000000000009</v>
      </c>
      <c r="I182" s="324">
        <v>88.78</v>
      </c>
      <c r="J182" s="324">
        <v>82.989000000000004</v>
      </c>
      <c r="K182" s="324">
        <v>77.2</v>
      </c>
      <c r="L182" s="324">
        <v>90.710000000000008</v>
      </c>
      <c r="M182" s="324">
        <v>106.15</v>
      </c>
      <c r="N182" s="324">
        <v>104.22</v>
      </c>
      <c r="O182" s="324">
        <v>77.2</v>
      </c>
      <c r="P182" s="324">
        <v>77.2</v>
      </c>
      <c r="Q182" s="324">
        <v>84.92</v>
      </c>
      <c r="R182" s="324">
        <v>79.13</v>
      </c>
      <c r="S182" s="324">
        <v>94.57</v>
      </c>
      <c r="T182" s="324">
        <v>40.999999999999993</v>
      </c>
      <c r="U182" s="324">
        <v>59.000000000000007</v>
      </c>
      <c r="V182" s="324">
        <v>35.999999999999993</v>
      </c>
      <c r="W182" s="324">
        <v>79.13</v>
      </c>
      <c r="X182" s="324">
        <v>96</v>
      </c>
      <c r="Y182" s="324">
        <v>50</v>
      </c>
      <c r="Z182" s="324">
        <v>50</v>
      </c>
      <c r="AA182" s="324">
        <v>35</v>
      </c>
      <c r="AB182" s="322">
        <v>35.999999999999993</v>
      </c>
      <c r="AC182" s="322">
        <v>67.55</v>
      </c>
      <c r="AD182" s="322">
        <v>48.25</v>
      </c>
      <c r="AE182" s="322">
        <v>34.739999999999995</v>
      </c>
      <c r="AF182" s="322">
        <v>44.39</v>
      </c>
      <c r="AG182" s="322">
        <v>100.35899999999999</v>
      </c>
      <c r="AH182" s="322">
        <v>69.47999999999999</v>
      </c>
      <c r="AI182" s="322">
        <v>86.850000000000009</v>
      </c>
      <c r="AJ182" s="322">
        <v>-17.370000000000005</v>
      </c>
      <c r="AK182" s="322">
        <v>210.37</v>
      </c>
      <c r="AL182" s="322">
        <v>328.1</v>
      </c>
      <c r="AM182" s="322">
        <v>65.62</v>
      </c>
      <c r="AN182" s="322">
        <v>34.74</v>
      </c>
      <c r="AO182" s="322">
        <v>42.46</v>
      </c>
      <c r="AP182" s="322">
        <v>59.83</v>
      </c>
      <c r="AQ182" s="322">
        <v>816.38999999999987</v>
      </c>
      <c r="AR182" s="322">
        <v>285.64</v>
      </c>
      <c r="AS182" s="322">
        <v>54.039000000000001</v>
      </c>
      <c r="AT182" s="322">
        <v>61.760000000000005</v>
      </c>
      <c r="AU182" s="322">
        <v>90.70999999999998</v>
      </c>
      <c r="AV182" s="322">
        <v>82.990000000000009</v>
      </c>
      <c r="AW182" s="322">
        <v>79.13</v>
      </c>
      <c r="AX182" s="322">
        <v>83</v>
      </c>
      <c r="AY182" s="322">
        <v>56</v>
      </c>
    </row>
    <row r="183" spans="1:51" s="301" customFormat="1" x14ac:dyDescent="0.25">
      <c r="A183" s="132">
        <v>75</v>
      </c>
      <c r="B183" s="132" t="s">
        <v>180</v>
      </c>
      <c r="C183" s="143" t="s">
        <v>3553</v>
      </c>
      <c r="D183" s="324">
        <v>21.408157415787151</v>
      </c>
      <c r="E183" s="324">
        <v>33.177528923211526</v>
      </c>
      <c r="F183" s="324">
        <v>20.574268790672484</v>
      </c>
      <c r="G183" s="324">
        <v>17.38098865889727</v>
      </c>
      <c r="H183" s="324">
        <v>27.529790791877868</v>
      </c>
      <c r="I183" s="324">
        <v>24.755608928346454</v>
      </c>
      <c r="J183" s="324">
        <v>23.804870652437199</v>
      </c>
      <c r="K183" s="324">
        <v>32.217112249537742</v>
      </c>
      <c r="L183" s="324">
        <v>30.869155319638349</v>
      </c>
      <c r="M183" s="324">
        <v>28.978795164863474</v>
      </c>
      <c r="N183" s="324">
        <v>28.318703712261886</v>
      </c>
      <c r="O183" s="324">
        <v>18.173812111052502</v>
      </c>
      <c r="P183" s="324">
        <v>22.089451939711907</v>
      </c>
      <c r="Q183" s="324">
        <v>20.524457803518139</v>
      </c>
      <c r="R183" s="324">
        <v>22.241358669187093</v>
      </c>
      <c r="S183" s="324">
        <v>32.071082406861812</v>
      </c>
      <c r="T183" s="324">
        <v>23.743133679241357</v>
      </c>
      <c r="U183" s="324">
        <v>24.588626271818448</v>
      </c>
      <c r="V183" s="324">
        <v>28.689365942574039</v>
      </c>
      <c r="W183" s="324">
        <v>27.394548837344537</v>
      </c>
      <c r="X183" s="324">
        <v>32.383607813651565</v>
      </c>
      <c r="Y183" s="324">
        <v>30.218795123734967</v>
      </c>
      <c r="Z183" s="324">
        <v>28.594969439418453</v>
      </c>
      <c r="AA183" s="324">
        <v>21.618660325810094</v>
      </c>
      <c r="AB183" s="322">
        <v>22.408586492054049</v>
      </c>
      <c r="AC183" s="322">
        <v>26.845787700059475</v>
      </c>
      <c r="AD183" s="322">
        <v>20.702554509847904</v>
      </c>
      <c r="AE183" s="322">
        <v>16.631036244205021</v>
      </c>
      <c r="AF183" s="322">
        <v>23.794837339024753</v>
      </c>
      <c r="AG183" s="322">
        <v>18.655232193738012</v>
      </c>
      <c r="AH183" s="322">
        <v>23.08317496602988</v>
      </c>
      <c r="AI183" s="322">
        <v>26.438556212072996</v>
      </c>
      <c r="AJ183" s="322">
        <v>25.428462077576299</v>
      </c>
      <c r="AK183" s="322">
        <v>23.047768263094166</v>
      </c>
      <c r="AL183" s="322">
        <v>18.272545369466624</v>
      </c>
      <c r="AM183" s="322">
        <v>18.915489030645965</v>
      </c>
      <c r="AN183" s="322">
        <v>15.453686633218377</v>
      </c>
      <c r="AO183" s="322">
        <v>16.45694708446587</v>
      </c>
      <c r="AP183" s="322">
        <v>17.615470253988097</v>
      </c>
      <c r="AQ183" s="322">
        <v>19.371425615231459</v>
      </c>
      <c r="AR183" s="322">
        <v>22.856078623894046</v>
      </c>
      <c r="AS183" s="322">
        <v>24.147928266407614</v>
      </c>
      <c r="AT183" s="322">
        <v>25.575532031563473</v>
      </c>
      <c r="AU183" s="322">
        <v>26.730293380335329</v>
      </c>
      <c r="AV183" s="322">
        <v>27.510193184533168</v>
      </c>
      <c r="AW183" s="322">
        <v>17.455701709909174</v>
      </c>
      <c r="AX183" s="322">
        <v>25.717761657578972</v>
      </c>
      <c r="AY183" s="322">
        <v>11.669992636851944</v>
      </c>
    </row>
    <row r="184" spans="1:51" s="301" customFormat="1" x14ac:dyDescent="0.25">
      <c r="A184" s="305">
        <v>623</v>
      </c>
      <c r="B184" s="132" t="s">
        <v>607</v>
      </c>
      <c r="C184" s="143" t="s">
        <v>3707</v>
      </c>
      <c r="D184" s="324">
        <v>0</v>
      </c>
      <c r="E184" s="324">
        <v>0</v>
      </c>
      <c r="F184" s="324">
        <v>0</v>
      </c>
      <c r="G184" s="324">
        <v>0</v>
      </c>
      <c r="H184" s="324">
        <v>0</v>
      </c>
      <c r="I184" s="324">
        <v>0</v>
      </c>
      <c r="J184" s="324">
        <v>0</v>
      </c>
      <c r="K184" s="324">
        <v>0</v>
      </c>
      <c r="L184" s="324">
        <v>0</v>
      </c>
      <c r="M184" s="324">
        <v>0</v>
      </c>
      <c r="N184" s="324">
        <v>0</v>
      </c>
      <c r="O184" s="324">
        <v>0</v>
      </c>
      <c r="P184" s="324">
        <v>0</v>
      </c>
      <c r="Q184" s="324">
        <v>0</v>
      </c>
      <c r="R184" s="324">
        <v>0</v>
      </c>
      <c r="S184" s="324">
        <v>0</v>
      </c>
      <c r="T184" s="324">
        <v>0</v>
      </c>
      <c r="U184" s="324">
        <v>0</v>
      </c>
      <c r="V184" s="324">
        <v>0</v>
      </c>
      <c r="W184" s="324">
        <v>0</v>
      </c>
      <c r="X184" s="324">
        <v>0</v>
      </c>
      <c r="Y184" s="324">
        <v>0</v>
      </c>
      <c r="Z184" s="324">
        <v>0</v>
      </c>
      <c r="AA184" s="324">
        <v>0</v>
      </c>
      <c r="AB184" s="322">
        <v>0</v>
      </c>
      <c r="AC184" s="322">
        <v>0</v>
      </c>
      <c r="AD184" s="322">
        <v>0</v>
      </c>
      <c r="AE184" s="322">
        <v>0</v>
      </c>
      <c r="AF184" s="322">
        <v>0</v>
      </c>
      <c r="AG184" s="322">
        <v>0</v>
      </c>
      <c r="AH184" s="322">
        <v>0</v>
      </c>
      <c r="AI184" s="322">
        <v>0</v>
      </c>
      <c r="AJ184" s="322">
        <v>0</v>
      </c>
      <c r="AK184" s="322">
        <v>0</v>
      </c>
      <c r="AL184" s="322">
        <v>0</v>
      </c>
      <c r="AM184" s="322">
        <v>0</v>
      </c>
      <c r="AN184" s="322">
        <v>0</v>
      </c>
      <c r="AO184" s="322">
        <v>0</v>
      </c>
      <c r="AP184" s="322">
        <v>0</v>
      </c>
      <c r="AQ184" s="322">
        <v>0</v>
      </c>
      <c r="AR184" s="322">
        <v>0</v>
      </c>
      <c r="AS184" s="322">
        <v>0</v>
      </c>
      <c r="AT184" s="322">
        <v>0</v>
      </c>
      <c r="AU184" s="322">
        <v>0</v>
      </c>
      <c r="AV184" s="322">
        <v>0</v>
      </c>
      <c r="AW184" s="322">
        <v>0</v>
      </c>
      <c r="AX184" s="322">
        <v>0</v>
      </c>
      <c r="AY184" s="322">
        <v>0</v>
      </c>
    </row>
    <row r="185" spans="1:51" s="301" customFormat="1" x14ac:dyDescent="0.25">
      <c r="A185" s="132">
        <v>341</v>
      </c>
      <c r="B185" s="132" t="s">
        <v>611</v>
      </c>
      <c r="C185" s="143" t="s">
        <v>610</v>
      </c>
      <c r="D185" s="324">
        <v>777.79</v>
      </c>
      <c r="E185" s="324">
        <v>778.81499999999994</v>
      </c>
      <c r="F185" s="324">
        <v>619.53</v>
      </c>
      <c r="G185" s="324">
        <v>1049.348</v>
      </c>
      <c r="H185" s="324">
        <v>1022.9</v>
      </c>
      <c r="I185" s="324">
        <v>1474.825</v>
      </c>
      <c r="J185" s="324">
        <v>2646.0299999999997</v>
      </c>
      <c r="K185" s="324">
        <v>3125.098</v>
      </c>
      <c r="L185" s="324">
        <v>2354.6</v>
      </c>
      <c r="M185" s="324">
        <v>1963.527</v>
      </c>
      <c r="N185" s="324">
        <v>1335.56</v>
      </c>
      <c r="O185" s="324">
        <v>589.19299999999998</v>
      </c>
      <c r="P185" s="324">
        <v>561.63</v>
      </c>
      <c r="Q185" s="324">
        <v>383.375</v>
      </c>
      <c r="R185" s="324">
        <v>-5151.2730000000001</v>
      </c>
      <c r="S185" s="324">
        <v>4231.87</v>
      </c>
      <c r="T185" s="325">
        <v>371</v>
      </c>
      <c r="U185" s="325">
        <v>624</v>
      </c>
      <c r="V185" s="325">
        <v>998</v>
      </c>
      <c r="W185" s="325">
        <v>1107</v>
      </c>
      <c r="X185" s="325">
        <v>1413</v>
      </c>
      <c r="Y185" s="325">
        <v>926</v>
      </c>
      <c r="Z185" s="325">
        <v>528</v>
      </c>
      <c r="AA185" s="325">
        <v>346</v>
      </c>
      <c r="AB185" s="322">
        <v>277</v>
      </c>
      <c r="AC185" s="322">
        <v>458</v>
      </c>
      <c r="AD185" s="322">
        <v>356</v>
      </c>
      <c r="AE185" s="322">
        <v>435</v>
      </c>
      <c r="AF185" s="322">
        <v>569.22</v>
      </c>
      <c r="AG185" s="322">
        <v>1608.1</v>
      </c>
      <c r="AH185" s="322">
        <v>1351.499</v>
      </c>
      <c r="AI185" s="322">
        <v>1810.26</v>
      </c>
      <c r="AJ185" s="322">
        <v>1868.25</v>
      </c>
      <c r="AK185" s="322">
        <v>1456.33</v>
      </c>
      <c r="AL185" s="322">
        <v>688.47</v>
      </c>
      <c r="AM185" s="322">
        <v>439.94</v>
      </c>
      <c r="AN185" s="322">
        <v>407.03999999999996</v>
      </c>
      <c r="AO185" s="322">
        <v>418.45</v>
      </c>
      <c r="AP185" s="322">
        <v>422.94</v>
      </c>
      <c r="AQ185" s="322">
        <v>694.72</v>
      </c>
      <c r="AR185" s="321">
        <f t="shared" ref="AR185:AY185" si="10">AVERAGE(AM185:AQ185)</f>
        <v>476.61800000000005</v>
      </c>
      <c r="AS185" s="321">
        <f t="shared" si="10"/>
        <v>483.95359999999999</v>
      </c>
      <c r="AT185" s="321">
        <f t="shared" si="10"/>
        <v>499.33632</v>
      </c>
      <c r="AU185" s="321">
        <f t="shared" si="10"/>
        <v>515.51358400000004</v>
      </c>
      <c r="AV185" s="321">
        <f t="shared" si="10"/>
        <v>534.02830080000001</v>
      </c>
      <c r="AW185" s="321">
        <f t="shared" si="10"/>
        <v>501.88996096</v>
      </c>
      <c r="AX185" s="321">
        <f t="shared" si="10"/>
        <v>506.94435315199996</v>
      </c>
      <c r="AY185" s="321">
        <f t="shared" si="10"/>
        <v>511.54250378240005</v>
      </c>
    </row>
    <row r="186" spans="1:51" s="301" customFormat="1" x14ac:dyDescent="0.25">
      <c r="A186" s="132">
        <v>24</v>
      </c>
      <c r="B186" s="132" t="s">
        <v>75</v>
      </c>
      <c r="C186" s="143" t="s">
        <v>74</v>
      </c>
      <c r="D186" s="324">
        <v>234.23024938339893</v>
      </c>
      <c r="E186" s="324">
        <v>519.097590840203</v>
      </c>
      <c r="F186" s="324">
        <v>228.65707281709103</v>
      </c>
      <c r="G186" s="324">
        <v>246.87225416036219</v>
      </c>
      <c r="H186" s="324">
        <v>386.45835475008795</v>
      </c>
      <c r="I186" s="324">
        <v>333.04530962974968</v>
      </c>
      <c r="J186" s="324">
        <v>315.99422789175503</v>
      </c>
      <c r="K186" s="324">
        <v>493.8672763848441</v>
      </c>
      <c r="L186" s="324">
        <v>473.58190216981149</v>
      </c>
      <c r="M186" s="324">
        <v>425.90475419808075</v>
      </c>
      <c r="N186" s="324">
        <v>409.44037187304093</v>
      </c>
      <c r="O186" s="324">
        <v>167.40011939147607</v>
      </c>
      <c r="P186" s="324">
        <v>258.45467555915548</v>
      </c>
      <c r="Q186" s="324">
        <v>230.4333722813175</v>
      </c>
      <c r="R186" s="324">
        <v>270.15315448365027</v>
      </c>
      <c r="S186" s="324">
        <v>496.44895179156919</v>
      </c>
      <c r="T186" s="324">
        <v>306.84695010782701</v>
      </c>
      <c r="U186" s="324">
        <v>334.96083700183431</v>
      </c>
      <c r="V186" s="324">
        <v>433.84854337679087</v>
      </c>
      <c r="W186" s="324">
        <v>391.8203029811059</v>
      </c>
      <c r="X186" s="324">
        <v>513.66483370631306</v>
      </c>
      <c r="Y186" s="324">
        <v>458.55300689973228</v>
      </c>
      <c r="Z186" s="324">
        <v>417.18359054337031</v>
      </c>
      <c r="AA186" s="324">
        <v>258.1907848348655</v>
      </c>
      <c r="AB186" s="322">
        <v>270.16945247543043</v>
      </c>
      <c r="AC186" s="322">
        <v>375.89342873378723</v>
      </c>
      <c r="AD186" s="322">
        <v>244.97881497182379</v>
      </c>
      <c r="AE186" s="322">
        <v>158.35064349683162</v>
      </c>
      <c r="AF186" s="322">
        <v>311.24103404729152</v>
      </c>
      <c r="AG186" s="322">
        <v>209.62635923932348</v>
      </c>
      <c r="AH186" s="322">
        <v>308.03512234293112</v>
      </c>
      <c r="AI186" s="322">
        <v>373.16053315296057</v>
      </c>
      <c r="AJ186" s="322">
        <v>361.6102031790806</v>
      </c>
      <c r="AK186" s="322">
        <v>301.63801460633078</v>
      </c>
      <c r="AL186" s="322">
        <v>187.55916209679779</v>
      </c>
      <c r="AM186" s="322">
        <v>192.6019441503081</v>
      </c>
      <c r="AN186" s="322">
        <v>109.50061238839473</v>
      </c>
      <c r="AO186" s="322">
        <v>140.69993200676072</v>
      </c>
      <c r="AP186" s="322">
        <v>166.04414927742687</v>
      </c>
      <c r="AQ186" s="322">
        <v>207.43068688273908</v>
      </c>
      <c r="AR186" s="322">
        <v>271.64674889559046</v>
      </c>
      <c r="AS186" s="322">
        <v>311.19292583414318</v>
      </c>
      <c r="AT186" s="322">
        <v>298.51454228520782</v>
      </c>
      <c r="AU186" s="322">
        <v>283.04932490777702</v>
      </c>
      <c r="AV186" s="322">
        <v>325.55426447482569</v>
      </c>
      <c r="AW186" s="322">
        <v>131.92600583489019</v>
      </c>
      <c r="AX186" s="322">
        <v>356.81856943505738</v>
      </c>
      <c r="AY186" s="322">
        <v>35.3018167971303</v>
      </c>
    </row>
    <row r="187" spans="1:51" s="301" customFormat="1" x14ac:dyDescent="0.25">
      <c r="A187" s="132">
        <v>4</v>
      </c>
      <c r="B187" s="342" t="s">
        <v>24</v>
      </c>
      <c r="C187" s="143" t="s">
        <v>23</v>
      </c>
      <c r="D187" s="324">
        <v>156.3160379665139</v>
      </c>
      <c r="E187" s="324">
        <v>270.1086364952684</v>
      </c>
      <c r="F187" s="324">
        <v>150.03587929560717</v>
      </c>
      <c r="G187" s="324">
        <v>135.99121713134002</v>
      </c>
      <c r="H187" s="324">
        <v>216.76890583135921</v>
      </c>
      <c r="I187" s="324">
        <v>187.63469188003668</v>
      </c>
      <c r="J187" s="324">
        <v>183.84660188007146</v>
      </c>
      <c r="K187" s="324">
        <v>263.40207345931503</v>
      </c>
      <c r="L187" s="324">
        <v>249.83701556106226</v>
      </c>
      <c r="M187" s="324">
        <v>236.15712828445822</v>
      </c>
      <c r="N187" s="324">
        <v>230.51514575730312</v>
      </c>
      <c r="O187" s="324">
        <v>127.77190269591695</v>
      </c>
      <c r="P187" s="324">
        <v>164.52376757021963</v>
      </c>
      <c r="Q187" s="324">
        <v>148.74598768830452</v>
      </c>
      <c r="R187" s="324">
        <v>166.70532252328809</v>
      </c>
      <c r="S187" s="324">
        <v>259.33057975511218</v>
      </c>
      <c r="T187" s="324">
        <v>181.77723845673933</v>
      </c>
      <c r="U187" s="324">
        <v>187.2642575253289</v>
      </c>
      <c r="V187" s="324">
        <v>231.95050791263986</v>
      </c>
      <c r="W187" s="324">
        <v>218.65946787130838</v>
      </c>
      <c r="X187" s="324">
        <v>265.47180928480844</v>
      </c>
      <c r="Y187" s="324">
        <v>248.82083184029258</v>
      </c>
      <c r="Z187" s="324">
        <v>233.41392766166203</v>
      </c>
      <c r="AA187" s="324">
        <v>163.10429096941789</v>
      </c>
      <c r="AB187" s="322">
        <v>168.43930920134341</v>
      </c>
      <c r="AC187" s="322">
        <v>209.62962839742576</v>
      </c>
      <c r="AD187" s="322">
        <v>153.89783641702761</v>
      </c>
      <c r="AE187" s="322">
        <v>114.13644929199474</v>
      </c>
      <c r="AF187" s="322">
        <v>182.90200923597078</v>
      </c>
      <c r="AG187" s="322">
        <v>132.50329762443116</v>
      </c>
      <c r="AH187" s="322">
        <v>178.59028139134571</v>
      </c>
      <c r="AI187" s="322">
        <v>210.08656283380478</v>
      </c>
      <c r="AJ187" s="322">
        <v>200.08922544210466</v>
      </c>
      <c r="AK187" s="322">
        <v>181.24280283409391</v>
      </c>
      <c r="AL187" s="322">
        <v>135.45308455587363</v>
      </c>
      <c r="AM187" s="322">
        <v>136.44298696840198</v>
      </c>
      <c r="AN187" s="322">
        <v>101.351752330899</v>
      </c>
      <c r="AO187" s="322">
        <v>110.35172326489254</v>
      </c>
      <c r="AP187" s="322">
        <v>122.61849441683947</v>
      </c>
      <c r="AQ187" s="322">
        <v>137.66285301544966</v>
      </c>
      <c r="AR187" s="322">
        <v>170.34222021058852</v>
      </c>
      <c r="AS187" s="322">
        <v>180.08697866851386</v>
      </c>
      <c r="AT187" s="322">
        <v>189.49675781202879</v>
      </c>
      <c r="AU187" s="322">
        <v>194.59766708441924</v>
      </c>
      <c r="AV187" s="322">
        <v>203.3069458803098</v>
      </c>
      <c r="AW187" s="322">
        <v>120.14580526526049</v>
      </c>
      <c r="AX187" s="322">
        <v>73.227046842015127</v>
      </c>
      <c r="AY187" s="322">
        <v>69.352730761909726</v>
      </c>
    </row>
    <row r="188" spans="1:51" s="301" customFormat="1" x14ac:dyDescent="0.25">
      <c r="A188" s="132">
        <v>331</v>
      </c>
      <c r="B188" s="132" t="s">
        <v>568</v>
      </c>
      <c r="C188" s="143" t="s">
        <v>3693</v>
      </c>
      <c r="D188" s="324">
        <v>80.174080645229679</v>
      </c>
      <c r="E188" s="324">
        <v>78.810484223309757</v>
      </c>
      <c r="F188" s="324">
        <v>91.056149732620327</v>
      </c>
      <c r="G188" s="324">
        <v>49.986895307486634</v>
      </c>
      <c r="H188" s="324">
        <v>28.94385026737968</v>
      </c>
      <c r="I188" s="324">
        <v>31.951871657754012</v>
      </c>
      <c r="J188" s="324">
        <v>68.475935828876999</v>
      </c>
      <c r="K188" s="324">
        <v>98.221925133689837</v>
      </c>
      <c r="L188" s="324">
        <v>105.12032085561498</v>
      </c>
      <c r="M188" s="324">
        <v>68.796791443850267</v>
      </c>
      <c r="N188" s="324">
        <v>39.13101604278075</v>
      </c>
      <c r="O188" s="324">
        <v>69.127104570521396</v>
      </c>
      <c r="P188" s="324">
        <v>80.618884734291441</v>
      </c>
      <c r="Q188" s="324">
        <v>76.120842245989309</v>
      </c>
      <c r="R188" s="324">
        <v>80.147058823529406</v>
      </c>
      <c r="S188" s="324">
        <v>49.398565978269517</v>
      </c>
      <c r="T188" s="324">
        <v>49.398395721925134</v>
      </c>
      <c r="U188" s="324">
        <v>44.465240641711233</v>
      </c>
      <c r="V188" s="324">
        <v>48.088235294117645</v>
      </c>
      <c r="W188" s="324">
        <v>62.513368983957221</v>
      </c>
      <c r="X188" s="324">
        <v>79.144385026737964</v>
      </c>
      <c r="Y188" s="324">
        <v>118.22192513368984</v>
      </c>
      <c r="Z188" s="324">
        <v>96.17647058823529</v>
      </c>
      <c r="AA188" s="324">
        <v>41.564171122994651</v>
      </c>
      <c r="AB188" s="322">
        <v>34.090909090909093</v>
      </c>
      <c r="AC188" s="322">
        <v>70.080213903743314</v>
      </c>
      <c r="AD188" s="322">
        <v>34.090909090909093</v>
      </c>
      <c r="AE188" s="322">
        <v>8.235294117647058</v>
      </c>
      <c r="AF188" s="322">
        <v>28.454294786096256</v>
      </c>
      <c r="AG188" s="322">
        <v>6.5991804969502006</v>
      </c>
      <c r="AH188" s="322">
        <v>9.9866310160427805</v>
      </c>
      <c r="AI188" s="322">
        <v>9.0909090909090917</v>
      </c>
      <c r="AJ188" s="322">
        <v>208.43582887700535</v>
      </c>
      <c r="AK188" s="322">
        <v>8.8846448602523402</v>
      </c>
      <c r="AL188" s="322">
        <v>11.096256684491978</v>
      </c>
      <c r="AM188" s="322">
        <v>6.5106951871657754</v>
      </c>
      <c r="AN188" s="322">
        <v>13.449197860962567</v>
      </c>
      <c r="AO188" s="322">
        <v>7.6203208556149731</v>
      </c>
      <c r="AP188" s="322">
        <v>10.641711229946525</v>
      </c>
      <c r="AQ188" s="322">
        <v>10.638502673796792</v>
      </c>
      <c r="AR188" s="322">
        <v>10.441176470588236</v>
      </c>
      <c r="AS188" s="322">
        <v>9.9197860962566846</v>
      </c>
      <c r="AT188" s="322">
        <v>10.481283422459892</v>
      </c>
      <c r="AU188" s="322">
        <v>27.860962566844918</v>
      </c>
      <c r="AV188" s="322">
        <v>60.080213903743314</v>
      </c>
      <c r="AW188" s="322">
        <v>51.401069518716575</v>
      </c>
      <c r="AX188" s="322">
        <v>80.80213903743315</v>
      </c>
      <c r="AY188" s="322">
        <v>19.037433155080215</v>
      </c>
    </row>
    <row r="189" spans="1:51" s="301" customFormat="1" x14ac:dyDescent="0.25">
      <c r="A189" s="132">
        <v>29</v>
      </c>
      <c r="B189" s="132" t="s">
        <v>87</v>
      </c>
      <c r="C189" s="143" t="s">
        <v>86</v>
      </c>
      <c r="D189" s="324">
        <v>88.185548403071323</v>
      </c>
      <c r="E189" s="324">
        <v>129.64247774269003</v>
      </c>
      <c r="F189" s="324">
        <v>84.318322520387184</v>
      </c>
      <c r="G189" s="324">
        <v>68.653891977774904</v>
      </c>
      <c r="H189" s="324">
        <v>110.9020292556563</v>
      </c>
      <c r="I189" s="324">
        <v>97.512144075288887</v>
      </c>
      <c r="J189" s="324">
        <v>97.476305274286091</v>
      </c>
      <c r="K189" s="324">
        <v>130.10479337994073</v>
      </c>
      <c r="L189" s="324">
        <v>122.95378746728682</v>
      </c>
      <c r="M189" s="324">
        <v>119.38573805436721</v>
      </c>
      <c r="N189" s="324">
        <v>116.96090439063462</v>
      </c>
      <c r="O189" s="324">
        <v>76.718646741376034</v>
      </c>
      <c r="P189" s="324">
        <v>90.415117883388035</v>
      </c>
      <c r="Q189" s="324">
        <v>82.679771921252907</v>
      </c>
      <c r="R189" s="324">
        <v>90.390246920061415</v>
      </c>
      <c r="S189" s="324">
        <v>125.54572495113449</v>
      </c>
      <c r="T189" s="324">
        <v>96.60558304844028</v>
      </c>
      <c r="U189" s="324">
        <v>96.75341472543704</v>
      </c>
      <c r="V189" s="324">
        <v>115.3403187802061</v>
      </c>
      <c r="W189" s="324">
        <v>111.8635343367754</v>
      </c>
      <c r="X189" s="324">
        <v>128.3717104953503</v>
      </c>
      <c r="Y189" s="324">
        <v>123.76474330885591</v>
      </c>
      <c r="Z189" s="324">
        <v>117.91308463578949</v>
      </c>
      <c r="AA189" s="324">
        <v>89.04274372468501</v>
      </c>
      <c r="AB189" s="322">
        <v>91.446860902494919</v>
      </c>
      <c r="AC189" s="322">
        <v>106.10771732239049</v>
      </c>
      <c r="AD189" s="322">
        <v>84.35103910256538</v>
      </c>
      <c r="AE189" s="322">
        <v>67.847782937991511</v>
      </c>
      <c r="AF189" s="322">
        <v>96.681049544570328</v>
      </c>
      <c r="AG189" s="322">
        <v>74.486083910244986</v>
      </c>
      <c r="AH189" s="322">
        <v>94.455762895599065</v>
      </c>
      <c r="AI189" s="322">
        <v>108.17863875933689</v>
      </c>
      <c r="AJ189" s="322">
        <v>102.32225568907687</v>
      </c>
      <c r="AK189" s="322">
        <v>96.827574109495117</v>
      </c>
      <c r="AL189" s="322">
        <v>79.32874316700142</v>
      </c>
      <c r="AM189" s="322">
        <v>79.159677773037487</v>
      </c>
      <c r="AN189" s="322">
        <v>65.707016647753576</v>
      </c>
      <c r="AO189" s="322">
        <v>67.499225319288144</v>
      </c>
      <c r="AP189" s="322">
        <v>73.176444424530374</v>
      </c>
      <c r="AQ189" s="322">
        <v>78.390928559568238</v>
      </c>
      <c r="AR189" s="322">
        <v>93.855777073027426</v>
      </c>
      <c r="AS189" s="322">
        <v>95.450352492046079</v>
      </c>
      <c r="AT189" s="322">
        <v>106.37886728065527</v>
      </c>
      <c r="AU189" s="322">
        <v>113.50759397579075</v>
      </c>
      <c r="AV189" s="322">
        <v>113.09265765094126</v>
      </c>
      <c r="AW189" s="322">
        <v>78.216242176845569</v>
      </c>
      <c r="AX189" s="322">
        <v>106.97501709978681</v>
      </c>
      <c r="AY189" s="322">
        <v>51.974586305021468</v>
      </c>
    </row>
    <row r="190" spans="1:51" s="301" customFormat="1" x14ac:dyDescent="0.25">
      <c r="A190" s="132">
        <v>3</v>
      </c>
      <c r="B190" s="132" t="s">
        <v>18</v>
      </c>
      <c r="C190" s="143" t="s">
        <v>3531</v>
      </c>
      <c r="D190" s="324">
        <v>248.54656122239285</v>
      </c>
      <c r="E190" s="324">
        <v>546.34545564664029</v>
      </c>
      <c r="F190" s="324">
        <v>240.29857010010258</v>
      </c>
      <c r="G190" s="324">
        <v>257.67372252504913</v>
      </c>
      <c r="H190" s="324">
        <v>403.04211770537336</v>
      </c>
      <c r="I190" s="324">
        <v>341.33672376658046</v>
      </c>
      <c r="J190" s="324">
        <v>324.33910650494732</v>
      </c>
      <c r="K190" s="324">
        <v>513.52571932655462</v>
      </c>
      <c r="L190" s="324">
        <v>489.60175236206413</v>
      </c>
      <c r="M190" s="324">
        <v>446.37356768977486</v>
      </c>
      <c r="N190" s="324">
        <v>433.5691531609753</v>
      </c>
      <c r="O190" s="324">
        <v>179.36783183328549</v>
      </c>
      <c r="P190" s="324">
        <v>273.90196073766026</v>
      </c>
      <c r="Q190" s="324">
        <v>243.16331532698672</v>
      </c>
      <c r="R190" s="324">
        <v>283.88042564153096</v>
      </c>
      <c r="S190" s="324">
        <v>518.88685974872158</v>
      </c>
      <c r="T190" s="324">
        <v>319.50175405830157</v>
      </c>
      <c r="U190" s="324">
        <v>343.55941655116959</v>
      </c>
      <c r="V190" s="324">
        <v>448.35537172832773</v>
      </c>
      <c r="W190" s="324">
        <v>406.50779004993279</v>
      </c>
      <c r="X190" s="324">
        <v>531.89641649049759</v>
      </c>
      <c r="Y190" s="324">
        <v>480.68302891327369</v>
      </c>
      <c r="Z190" s="324">
        <v>441.67981511191437</v>
      </c>
      <c r="AA190" s="324">
        <v>274.54538201058688</v>
      </c>
      <c r="AB190" s="322">
        <v>286.16131155391639</v>
      </c>
      <c r="AC190" s="322">
        <v>395.93308112886757</v>
      </c>
      <c r="AD190" s="322">
        <v>257.43385045913294</v>
      </c>
      <c r="AE190" s="322">
        <v>163.91541001891264</v>
      </c>
      <c r="AF190" s="322">
        <v>324.15548386987302</v>
      </c>
      <c r="AG190" s="322">
        <v>212.26731735572668</v>
      </c>
      <c r="AH190" s="322">
        <v>316.26305503554261</v>
      </c>
      <c r="AI190" s="322">
        <v>386.97580656030925</v>
      </c>
      <c r="AJ190" s="322">
        <v>372.39456743687873</v>
      </c>
      <c r="AK190" s="322">
        <v>315.89761942521937</v>
      </c>
      <c r="AL190" s="322">
        <v>200.42888991866593</v>
      </c>
      <c r="AM190" s="322">
        <v>205.71697616007725</v>
      </c>
      <c r="AN190" s="322">
        <v>117.43555195269829</v>
      </c>
      <c r="AO190" s="322">
        <v>148.90218395821063</v>
      </c>
      <c r="AP190" s="322">
        <v>174.53267877788468</v>
      </c>
      <c r="AQ190" s="322">
        <v>215.32072211152465</v>
      </c>
      <c r="AR190" s="322">
        <v>282.35021311242099</v>
      </c>
      <c r="AS190" s="322">
        <v>318.08762200065644</v>
      </c>
      <c r="AT190" s="322">
        <v>54.215323335560846</v>
      </c>
      <c r="AU190" s="322">
        <v>64.364283659726013</v>
      </c>
      <c r="AV190" s="322">
        <v>55.861683598993856</v>
      </c>
      <c r="AW190" s="322">
        <v>53.44424520605164</v>
      </c>
      <c r="AX190" s="322">
        <v>45.416602544898858</v>
      </c>
      <c r="AY190" s="322">
        <v>42.61651009270841</v>
      </c>
    </row>
    <row r="191" spans="1:51" s="301" customFormat="1" x14ac:dyDescent="0.25">
      <c r="A191" s="132">
        <v>55</v>
      </c>
      <c r="B191" s="132" t="s">
        <v>141</v>
      </c>
      <c r="C191" s="143" t="s">
        <v>140</v>
      </c>
      <c r="D191" s="324">
        <v>345.95984893398924</v>
      </c>
      <c r="E191" s="324">
        <v>864.11213471804422</v>
      </c>
      <c r="F191" s="324">
        <v>337.37355857895898</v>
      </c>
      <c r="G191" s="324">
        <v>395.82501234394448</v>
      </c>
      <c r="H191" s="324">
        <v>611.86716501440264</v>
      </c>
      <c r="I191" s="324">
        <v>515.5503419395493</v>
      </c>
      <c r="J191" s="324">
        <v>479.89267130624256</v>
      </c>
      <c r="K191" s="324">
        <v>795.74297635252231</v>
      </c>
      <c r="L191" s="324">
        <v>763.06132363006623</v>
      </c>
      <c r="M191" s="324">
        <v>681.68241011270982</v>
      </c>
      <c r="N191" s="324">
        <v>660.21474323615098</v>
      </c>
      <c r="O191" s="324">
        <v>228.43032756552071</v>
      </c>
      <c r="P191" s="324">
        <v>391.94588714047461</v>
      </c>
      <c r="Q191" s="324">
        <v>346.3390185625517</v>
      </c>
      <c r="R191" s="324">
        <v>412.85553174863662</v>
      </c>
      <c r="S191" s="324">
        <v>816.63981857293822</v>
      </c>
      <c r="T191" s="324">
        <v>471.33345567892212</v>
      </c>
      <c r="U191" s="324">
        <v>521.0110734076211</v>
      </c>
      <c r="V191" s="324">
        <v>693.79985787171393</v>
      </c>
      <c r="W191" s="324">
        <v>615.64739490409409</v>
      </c>
      <c r="X191" s="324">
        <v>837.05093511661528</v>
      </c>
      <c r="Y191" s="324">
        <v>741.7797977253357</v>
      </c>
      <c r="Z191" s="324">
        <v>674.55678877162109</v>
      </c>
      <c r="AA191" s="324">
        <v>394.82936078998409</v>
      </c>
      <c r="AB191" s="322">
        <v>414.25325915511985</v>
      </c>
      <c r="AC191" s="322">
        <v>607.59993709473758</v>
      </c>
      <c r="AD191" s="322">
        <v>370.70138584025506</v>
      </c>
      <c r="AE191" s="322">
        <v>214.59441379861062</v>
      </c>
      <c r="AF191" s="322">
        <v>480.29932361900461</v>
      </c>
      <c r="AG191" s="322">
        <v>299.70678178548673</v>
      </c>
      <c r="AH191" s="322">
        <v>468.87318284280849</v>
      </c>
      <c r="AI191" s="322">
        <v>583.3497031232863</v>
      </c>
      <c r="AJ191" s="322">
        <v>566.73476995698229</v>
      </c>
      <c r="AK191" s="322">
        <v>462.61720728512029</v>
      </c>
      <c r="AL191" s="322">
        <v>264.49193469517076</v>
      </c>
      <c r="AM191" s="322">
        <v>276.04203530453225</v>
      </c>
      <c r="AN191" s="322">
        <v>125.47240204760728</v>
      </c>
      <c r="AO191" s="322">
        <v>186.24781538784845</v>
      </c>
      <c r="AP191" s="322">
        <v>226.53803818107298</v>
      </c>
      <c r="AQ191" s="322">
        <v>298.41318144081629</v>
      </c>
      <c r="AR191" s="322">
        <v>403.14470174301988</v>
      </c>
      <c r="AS191" s="322">
        <v>473.52239707063831</v>
      </c>
      <c r="AT191" s="322">
        <v>36.578877005347593</v>
      </c>
      <c r="AU191" s="322">
        <v>264.98930481283423</v>
      </c>
      <c r="AV191" s="322">
        <v>408.61096256684493</v>
      </c>
      <c r="AW191" s="322">
        <v>427.52807486631013</v>
      </c>
      <c r="AX191" s="322">
        <v>403.18181818181819</v>
      </c>
      <c r="AY191" s="322">
        <v>318.56283422459893</v>
      </c>
    </row>
    <row r="192" spans="1:51" s="301" customFormat="1" x14ac:dyDescent="0.25">
      <c r="A192" s="132">
        <v>5</v>
      </c>
      <c r="B192" s="132" t="s">
        <v>27</v>
      </c>
      <c r="C192" s="143" t="s">
        <v>26</v>
      </c>
      <c r="D192" s="324">
        <v>24.390254733812291</v>
      </c>
      <c r="E192" s="324">
        <v>47.395658436263133</v>
      </c>
      <c r="F192" s="324">
        <v>23.538560406288081</v>
      </c>
      <c r="G192" s="324">
        <v>22.895145945739486</v>
      </c>
      <c r="H192" s="324">
        <v>36.089731920110502</v>
      </c>
      <c r="I192" s="324">
        <v>31.388508874878529</v>
      </c>
      <c r="J192" s="324">
        <v>29.820119692406038</v>
      </c>
      <c r="K192" s="324">
        <v>44.3761752144516</v>
      </c>
      <c r="L192" s="324">
        <v>42.716761022852829</v>
      </c>
      <c r="M192" s="324">
        <v>39.564681499565175</v>
      </c>
      <c r="N192" s="324">
        <v>38.139818930493426</v>
      </c>
      <c r="O192" s="324">
        <v>18.763254188932937</v>
      </c>
      <c r="P192" s="324">
        <v>26.188989994258595</v>
      </c>
      <c r="Q192" s="324">
        <v>23.820771231558496</v>
      </c>
      <c r="R192" s="324">
        <v>26.857672773025232</v>
      </c>
      <c r="S192" s="324">
        <v>44.841835465410405</v>
      </c>
      <c r="T192" s="324">
        <v>0</v>
      </c>
      <c r="U192" s="324">
        <v>0</v>
      </c>
      <c r="V192" s="324">
        <v>0</v>
      </c>
      <c r="W192" s="324">
        <v>0</v>
      </c>
      <c r="X192" s="324">
        <v>0</v>
      </c>
      <c r="Y192" s="324">
        <v>0</v>
      </c>
      <c r="Z192" s="324">
        <v>0</v>
      </c>
      <c r="AA192" s="324">
        <v>0</v>
      </c>
      <c r="AB192" s="322">
        <v>0</v>
      </c>
      <c r="AC192" s="322">
        <v>0</v>
      </c>
      <c r="AD192" s="322">
        <v>0</v>
      </c>
      <c r="AE192" s="322">
        <v>0</v>
      </c>
      <c r="AF192" s="322">
        <v>0</v>
      </c>
      <c r="AG192" s="322">
        <v>0</v>
      </c>
      <c r="AH192" s="322">
        <v>0</v>
      </c>
      <c r="AI192" s="322">
        <v>0</v>
      </c>
      <c r="AJ192" s="322">
        <v>0</v>
      </c>
      <c r="AK192" s="322">
        <v>0</v>
      </c>
      <c r="AL192" s="322">
        <v>0</v>
      </c>
      <c r="AM192" s="322">
        <v>0</v>
      </c>
      <c r="AN192" s="322">
        <v>0</v>
      </c>
      <c r="AO192" s="322">
        <v>0</v>
      </c>
      <c r="AP192" s="322">
        <v>0</v>
      </c>
      <c r="AQ192" s="322">
        <v>0</v>
      </c>
      <c r="AR192" s="322">
        <v>0</v>
      </c>
      <c r="AS192" s="322">
        <v>0</v>
      </c>
      <c r="AT192" s="322">
        <v>0</v>
      </c>
      <c r="AU192" s="322">
        <v>0</v>
      </c>
      <c r="AV192" s="322">
        <v>0</v>
      </c>
      <c r="AW192" s="322">
        <v>0</v>
      </c>
      <c r="AX192" s="322">
        <v>0</v>
      </c>
      <c r="AY192" s="322">
        <v>0</v>
      </c>
    </row>
    <row r="193" spans="1:51" s="301" customFormat="1" x14ac:dyDescent="0.25">
      <c r="A193" s="132">
        <v>74</v>
      </c>
      <c r="B193" s="132" t="s">
        <v>177</v>
      </c>
      <c r="C193" s="63" t="s">
        <v>176</v>
      </c>
      <c r="D193" s="324">
        <v>358.45421057626868</v>
      </c>
      <c r="E193" s="324">
        <v>766.5101075148001</v>
      </c>
      <c r="F193" s="324">
        <v>350.01634291543212</v>
      </c>
      <c r="G193" s="324">
        <v>368.95519707961279</v>
      </c>
      <c r="H193" s="324">
        <v>579.94092967485892</v>
      </c>
      <c r="I193" s="324">
        <v>503.20517739182407</v>
      </c>
      <c r="J193" s="324">
        <v>480.26311316581166</v>
      </c>
      <c r="K193" s="324">
        <v>737.36063904512753</v>
      </c>
      <c r="L193" s="324">
        <v>706.99794370257098</v>
      </c>
      <c r="M193" s="324">
        <v>637.03904762348202</v>
      </c>
      <c r="N193" s="324">
        <v>610.85046269715997</v>
      </c>
      <c r="O193" s="324">
        <v>261.55397443159791</v>
      </c>
      <c r="P193" s="324">
        <v>392.61088666902873</v>
      </c>
      <c r="Q193" s="324">
        <v>350.86234851755171</v>
      </c>
      <c r="R193" s="324">
        <v>409.46648168321445</v>
      </c>
      <c r="S193" s="324">
        <v>736.02493964945552</v>
      </c>
      <c r="T193" s="324">
        <v>464.65503190000805</v>
      </c>
      <c r="U193" s="324">
        <v>505.37798624922374</v>
      </c>
      <c r="V193" s="324">
        <v>649.22995024125464</v>
      </c>
      <c r="W193" s="324">
        <v>589.56624378740798</v>
      </c>
      <c r="X193" s="324">
        <v>764.10513877629057</v>
      </c>
      <c r="Y193" s="324">
        <v>683.60484537498758</v>
      </c>
      <c r="Z193" s="324">
        <v>621.86982225001975</v>
      </c>
      <c r="AA193" s="324">
        <v>391.26982052905805</v>
      </c>
      <c r="AB193" s="322">
        <v>409.109179531601</v>
      </c>
      <c r="AC193" s="322">
        <v>560.21043086361954</v>
      </c>
      <c r="AD193" s="322">
        <v>372.3613158574812</v>
      </c>
      <c r="AE193" s="322">
        <v>247.93615361214552</v>
      </c>
      <c r="AF193" s="322">
        <v>470.66896268673696</v>
      </c>
      <c r="AG193" s="322">
        <v>323.89585841054009</v>
      </c>
      <c r="AH193" s="322">
        <v>467.85603691895409</v>
      </c>
      <c r="AI193" s="322">
        <v>562.35677305942534</v>
      </c>
      <c r="AJ193" s="322">
        <v>544.45926544819156</v>
      </c>
      <c r="AK193" s="322">
        <v>457.00062266859032</v>
      </c>
      <c r="AL193" s="322">
        <v>290.71478476374386</v>
      </c>
      <c r="AM193" s="322">
        <v>297.15449916195115</v>
      </c>
      <c r="AN193" s="322">
        <v>177.93114020380864</v>
      </c>
      <c r="AO193" s="322">
        <v>221.4097047210025</v>
      </c>
      <c r="AP193" s="322">
        <v>259.43968095251569</v>
      </c>
      <c r="AQ193" s="322">
        <v>319.81616042502174</v>
      </c>
      <c r="AR193" s="322">
        <v>91.498539576604173</v>
      </c>
      <c r="AS193" s="322">
        <v>92.079202618768079</v>
      </c>
      <c r="AT193" s="322">
        <v>118.97170523422903</v>
      </c>
      <c r="AU193" s="322">
        <v>133.46604249755632</v>
      </c>
      <c r="AV193" s="322">
        <v>123.45778097018726</v>
      </c>
      <c r="AW193" s="322">
        <v>101.69349828502925</v>
      </c>
      <c r="AX193" s="322">
        <v>78.142792423838017</v>
      </c>
      <c r="AY193" s="322">
        <v>73.039394645633124</v>
      </c>
    </row>
    <row r="194" spans="1:51" s="301" customFormat="1" x14ac:dyDescent="0.25">
      <c r="A194" s="143"/>
      <c r="B194" s="143"/>
      <c r="C194" s="143" t="s">
        <v>3709</v>
      </c>
      <c r="D194" s="324">
        <v>20</v>
      </c>
      <c r="E194" s="324">
        <v>16</v>
      </c>
      <c r="F194" s="324">
        <v>19</v>
      </c>
      <c r="G194" s="324">
        <v>17</v>
      </c>
      <c r="H194" s="324">
        <v>20</v>
      </c>
      <c r="I194" s="324">
        <v>18</v>
      </c>
      <c r="J194" s="324">
        <v>19</v>
      </c>
      <c r="K194" s="324">
        <v>12</v>
      </c>
      <c r="L194" s="324">
        <v>13</v>
      </c>
      <c r="M194" s="324">
        <v>15</v>
      </c>
      <c r="N194" s="324">
        <v>16</v>
      </c>
      <c r="O194" s="324">
        <v>18</v>
      </c>
      <c r="P194" s="324">
        <v>18</v>
      </c>
      <c r="Q194" s="324">
        <v>11</v>
      </c>
      <c r="R194" s="324">
        <v>14</v>
      </c>
      <c r="S194" s="324">
        <v>24</v>
      </c>
      <c r="T194" s="324">
        <v>38</v>
      </c>
      <c r="U194" s="324">
        <v>42</v>
      </c>
      <c r="V194" s="324">
        <v>39</v>
      </c>
      <c r="W194" s="324">
        <v>12</v>
      </c>
      <c r="X194" s="324">
        <v>59</v>
      </c>
      <c r="Y194" s="323">
        <v>33</v>
      </c>
      <c r="Z194" s="323">
        <v>33</v>
      </c>
      <c r="AA194" s="323">
        <v>42</v>
      </c>
      <c r="AB194" s="322">
        <v>41</v>
      </c>
      <c r="AC194" s="322">
        <v>2</v>
      </c>
      <c r="AD194" s="322">
        <v>66</v>
      </c>
      <c r="AE194" s="322">
        <v>36</v>
      </c>
      <c r="AF194" s="322">
        <v>39</v>
      </c>
      <c r="AG194" s="322">
        <v>32</v>
      </c>
      <c r="AH194" s="322">
        <v>34</v>
      </c>
      <c r="AI194" s="322">
        <v>26</v>
      </c>
      <c r="AJ194" s="322">
        <v>35</v>
      </c>
      <c r="AK194" s="322">
        <v>24</v>
      </c>
      <c r="AL194" s="322">
        <v>39</v>
      </c>
      <c r="AM194" s="322">
        <v>39</v>
      </c>
      <c r="AN194" s="322">
        <v>34</v>
      </c>
      <c r="AO194" s="322">
        <v>27</v>
      </c>
      <c r="AP194" s="322">
        <v>55</v>
      </c>
      <c r="AQ194" s="322">
        <v>71</v>
      </c>
      <c r="AR194" s="321">
        <f t="shared" ref="AR194:AY195" si="11">AVERAGE(AM194:AQ194)</f>
        <v>45.2</v>
      </c>
      <c r="AS194" s="321">
        <f t="shared" si="11"/>
        <v>46.44</v>
      </c>
      <c r="AT194" s="321">
        <f t="shared" si="11"/>
        <v>48.927999999999997</v>
      </c>
      <c r="AU194" s="321">
        <f t="shared" si="11"/>
        <v>53.313599999999994</v>
      </c>
      <c r="AV194" s="321">
        <f t="shared" si="11"/>
        <v>52.976320000000001</v>
      </c>
      <c r="AW194" s="321">
        <f t="shared" si="11"/>
        <v>49.371583999999999</v>
      </c>
      <c r="AX194" s="321">
        <f t="shared" si="11"/>
        <v>50.205900799999995</v>
      </c>
      <c r="AY194" s="321">
        <f t="shared" si="11"/>
        <v>50.959080959999994</v>
      </c>
    </row>
    <row r="195" spans="1:51" s="301" customFormat="1" x14ac:dyDescent="0.25">
      <c r="A195" s="143"/>
      <c r="B195" s="143"/>
      <c r="C195" s="143" t="s">
        <v>3709</v>
      </c>
      <c r="D195" s="324">
        <v>18.600000000000001</v>
      </c>
      <c r="E195" s="324">
        <v>14.88</v>
      </c>
      <c r="F195" s="324">
        <v>17.670000000000002</v>
      </c>
      <c r="G195" s="324">
        <v>15.81</v>
      </c>
      <c r="H195" s="324">
        <v>18.600000000000001</v>
      </c>
      <c r="I195" s="324">
        <v>16.739999999999998</v>
      </c>
      <c r="J195" s="324">
        <v>17.669</v>
      </c>
      <c r="K195" s="324">
        <v>11.16</v>
      </c>
      <c r="L195" s="324">
        <v>12.09</v>
      </c>
      <c r="M195" s="324">
        <v>13.95</v>
      </c>
      <c r="N195" s="324">
        <v>14.88</v>
      </c>
      <c r="O195" s="324">
        <v>16.739999999999998</v>
      </c>
      <c r="P195" s="324">
        <v>16.739999999999998</v>
      </c>
      <c r="Q195" s="324">
        <v>10.23</v>
      </c>
      <c r="R195" s="324">
        <v>13.02</v>
      </c>
      <c r="S195" s="324">
        <v>22.32</v>
      </c>
      <c r="T195" s="324">
        <v>0</v>
      </c>
      <c r="U195" s="324">
        <v>0</v>
      </c>
      <c r="V195" s="324">
        <v>0</v>
      </c>
      <c r="W195" s="324">
        <v>0</v>
      </c>
      <c r="X195" s="324">
        <v>0</v>
      </c>
      <c r="Y195" s="323">
        <v>0</v>
      </c>
      <c r="Z195" s="323">
        <v>0</v>
      </c>
      <c r="AA195" s="323">
        <v>0</v>
      </c>
      <c r="AB195" s="322">
        <v>38.130000000000003</v>
      </c>
      <c r="AC195" s="322">
        <v>1.86</v>
      </c>
      <c r="AD195" s="322">
        <v>61.38</v>
      </c>
      <c r="AE195" s="322">
        <v>33.479999999999997</v>
      </c>
      <c r="AF195" s="322">
        <v>36.270000000000003</v>
      </c>
      <c r="AG195" s="322">
        <v>29.759</v>
      </c>
      <c r="AH195" s="322">
        <v>31.62</v>
      </c>
      <c r="AI195" s="322">
        <v>24.18</v>
      </c>
      <c r="AJ195" s="322">
        <v>32.549999999999997</v>
      </c>
      <c r="AK195" s="322">
        <v>21.869999999999997</v>
      </c>
      <c r="AL195" s="322">
        <v>36.270000000000003</v>
      </c>
      <c r="AM195" s="322">
        <v>36.270000000000003</v>
      </c>
      <c r="AN195" s="322">
        <v>31.619999999999997</v>
      </c>
      <c r="AO195" s="322">
        <v>25.11</v>
      </c>
      <c r="AP195" s="322">
        <v>51.15</v>
      </c>
      <c r="AQ195" s="322">
        <v>66.03</v>
      </c>
      <c r="AR195" s="321">
        <f t="shared" si="11"/>
        <v>42.036000000000001</v>
      </c>
      <c r="AS195" s="321">
        <f t="shared" si="11"/>
        <v>43.1892</v>
      </c>
      <c r="AT195" s="321">
        <f t="shared" si="11"/>
        <v>45.503039999999999</v>
      </c>
      <c r="AU195" s="321">
        <f t="shared" si="11"/>
        <v>49.581648000000001</v>
      </c>
      <c r="AV195" s="321">
        <f t="shared" si="11"/>
        <v>49.267977600000002</v>
      </c>
      <c r="AW195" s="321">
        <f t="shared" si="11"/>
        <v>45.915573119999998</v>
      </c>
      <c r="AX195" s="321">
        <f t="shared" si="11"/>
        <v>46.691487744</v>
      </c>
      <c r="AY195" s="321">
        <f t="shared" si="11"/>
        <v>47.391945292800003</v>
      </c>
    </row>
    <row r="196" spans="1:51" s="301" customFormat="1" x14ac:dyDescent="0.25">
      <c r="A196" s="143"/>
      <c r="B196" s="143"/>
      <c r="C196" s="143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AB196" s="319"/>
      <c r="AC196" s="319"/>
      <c r="AD196" s="319"/>
      <c r="AE196" s="319"/>
      <c r="AF196" s="319"/>
      <c r="AG196" s="319"/>
      <c r="AH196" s="319"/>
      <c r="AI196" s="319"/>
      <c r="AJ196" s="319"/>
      <c r="AK196" s="319"/>
      <c r="AL196" s="319"/>
      <c r="AM196" s="319"/>
      <c r="AN196" s="319"/>
      <c r="AO196" s="319"/>
      <c r="AP196" s="319"/>
      <c r="AQ196" s="319"/>
      <c r="AR196" s="319"/>
      <c r="AS196" s="319"/>
      <c r="AT196" s="319"/>
      <c r="AU196" s="319"/>
      <c r="AV196" s="319"/>
      <c r="AW196" s="319"/>
      <c r="AX196" s="319"/>
      <c r="AY196" s="319"/>
    </row>
    <row r="197" spans="1:51" x14ac:dyDescent="0.25">
      <c r="A197" s="132"/>
      <c r="B197" s="132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7"/>
      <c r="U197" s="317"/>
      <c r="V197" s="317"/>
      <c r="W197" s="316"/>
      <c r="X197" s="315"/>
      <c r="Y197" s="315"/>
      <c r="Z197" s="315"/>
      <c r="AA197" s="315"/>
      <c r="AB197" s="314"/>
    </row>
    <row r="198" spans="1:51" s="307" customFormat="1" ht="14.4" thickBot="1" x14ac:dyDescent="0.3">
      <c r="C198" s="311"/>
      <c r="D198" s="313">
        <v>27324.405813427838</v>
      </c>
      <c r="E198" s="313">
        <v>47440.791549154957</v>
      </c>
      <c r="F198" s="313">
        <v>27116.411748663089</v>
      </c>
      <c r="G198" s="313">
        <v>27666.246968950527</v>
      </c>
      <c r="H198" s="313">
        <v>34227.790854382511</v>
      </c>
      <c r="I198" s="313">
        <v>32002.068269134368</v>
      </c>
      <c r="J198" s="313">
        <v>34017.806789020731</v>
      </c>
      <c r="K198" s="313">
        <v>48228.820768048128</v>
      </c>
      <c r="L198" s="313">
        <v>44666.661823362287</v>
      </c>
      <c r="M198" s="313">
        <v>39396.807051387041</v>
      </c>
      <c r="N198" s="313">
        <v>35282.267127548454</v>
      </c>
      <c r="O198" s="313">
        <v>22734.241269259699</v>
      </c>
      <c r="P198" s="313">
        <v>29688.735200242318</v>
      </c>
      <c r="Q198" s="313">
        <v>50378.638705095931</v>
      </c>
      <c r="R198" s="313">
        <v>35124.481100713012</v>
      </c>
      <c r="S198" s="313">
        <v>53881.990712578568</v>
      </c>
      <c r="T198" s="313">
        <v>26167.974490759014</v>
      </c>
      <c r="U198" s="313">
        <v>29198.905311623763</v>
      </c>
      <c r="V198" s="313">
        <v>37107.944004346173</v>
      </c>
      <c r="W198" s="313">
        <v>38811.757359370124</v>
      </c>
      <c r="X198" s="313">
        <v>46800.311329532306</v>
      </c>
      <c r="Y198" s="313">
        <v>42654.576230790917</v>
      </c>
      <c r="Z198" s="312">
        <v>36943.422294298398</v>
      </c>
      <c r="AA198" s="312">
        <v>27442.24741446499</v>
      </c>
      <c r="AB198" s="312">
        <v>25389.814203953461</v>
      </c>
      <c r="AC198" s="312">
        <v>37934.392164737335</v>
      </c>
      <c r="AD198" s="312">
        <v>26661.397690584479</v>
      </c>
      <c r="AE198" s="312">
        <f t="shared" ref="AE198:AY198" si="12">SUM(AE7:AE195)</f>
        <v>16622.073734240803</v>
      </c>
      <c r="AF198" s="312">
        <f t="shared" si="12"/>
        <v>30476.353000058985</v>
      </c>
      <c r="AG198" s="312">
        <f t="shared" si="12"/>
        <v>27974.807925184348</v>
      </c>
      <c r="AH198" s="312">
        <f t="shared" si="12"/>
        <v>32925.324731213492</v>
      </c>
      <c r="AI198" s="312">
        <f t="shared" si="12"/>
        <v>28124.434974827189</v>
      </c>
      <c r="AJ198" s="312">
        <f t="shared" si="12"/>
        <v>32273.434148707463</v>
      </c>
      <c r="AK198" s="312">
        <f t="shared" si="12"/>
        <v>31308.069740138981</v>
      </c>
      <c r="AL198" s="312">
        <f t="shared" si="12"/>
        <v>23444.018363850042</v>
      </c>
      <c r="AM198" s="312">
        <f t="shared" si="12"/>
        <v>22511.157671885907</v>
      </c>
      <c r="AN198" s="312">
        <f t="shared" si="12"/>
        <v>18491.445824678704</v>
      </c>
      <c r="AO198" s="312">
        <f t="shared" si="12"/>
        <v>22731.409305767658</v>
      </c>
      <c r="AP198" s="312">
        <f t="shared" si="12"/>
        <v>20407.158507033346</v>
      </c>
      <c r="AQ198" s="312">
        <f t="shared" si="12"/>
        <v>27158.573853901064</v>
      </c>
      <c r="AR198" s="312">
        <f t="shared" si="12"/>
        <v>24855.614829077898</v>
      </c>
      <c r="AS198" s="312">
        <f t="shared" si="12"/>
        <v>27862.131588988635</v>
      </c>
      <c r="AT198" s="312">
        <f t="shared" si="12"/>
        <v>30029.388394779657</v>
      </c>
      <c r="AU198" s="312">
        <f t="shared" si="12"/>
        <v>34680.036302470849</v>
      </c>
      <c r="AV198" s="312">
        <f t="shared" si="12"/>
        <v>32458.677053716197</v>
      </c>
      <c r="AW198" s="312">
        <f t="shared" si="12"/>
        <v>25793.291230484956</v>
      </c>
      <c r="AX198" s="312">
        <f t="shared" si="12"/>
        <v>29101.582064542705</v>
      </c>
      <c r="AY198" s="312">
        <f t="shared" si="12"/>
        <v>19163.306717639454</v>
      </c>
    </row>
    <row r="199" spans="1:51" s="307" customFormat="1" ht="14.4" thickTop="1" x14ac:dyDescent="0.25">
      <c r="C199" s="311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  <c r="R199" s="310"/>
      <c r="S199" s="310"/>
      <c r="T199" s="309"/>
      <c r="U199" s="309"/>
      <c r="V199" s="309"/>
      <c r="W199" s="308"/>
      <c r="X199" s="308"/>
      <c r="Y199" s="308"/>
      <c r="Z199" s="308"/>
      <c r="AA199" s="308"/>
      <c r="AB199" s="308"/>
    </row>
    <row r="200" spans="1:51" s="301" customFormat="1" x14ac:dyDescent="0.25">
      <c r="A200" s="132"/>
      <c r="B200" s="132"/>
      <c r="C200" s="143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W200" s="303"/>
    </row>
    <row r="201" spans="1:51" s="301" customFormat="1" x14ac:dyDescent="0.25">
      <c r="A201" s="132"/>
      <c r="B201" s="132"/>
      <c r="C201" s="143"/>
      <c r="D201" s="306">
        <v>0</v>
      </c>
      <c r="E201" s="306">
        <v>0</v>
      </c>
      <c r="F201" s="306">
        <v>0</v>
      </c>
      <c r="G201" s="306">
        <v>0</v>
      </c>
      <c r="H201" s="306">
        <v>0</v>
      </c>
      <c r="I201" s="306">
        <v>0</v>
      </c>
      <c r="J201" s="306">
        <v>0</v>
      </c>
      <c r="K201" s="306">
        <v>0</v>
      </c>
      <c r="L201" s="306">
        <v>0</v>
      </c>
      <c r="M201" s="306">
        <v>0</v>
      </c>
      <c r="N201" s="306">
        <v>0</v>
      </c>
      <c r="O201" s="306">
        <v>0</v>
      </c>
      <c r="P201" s="306">
        <v>0</v>
      </c>
      <c r="Q201" s="306">
        <v>0</v>
      </c>
      <c r="R201" s="306">
        <v>0</v>
      </c>
      <c r="S201" s="306">
        <v>0</v>
      </c>
      <c r="T201" s="306">
        <v>0</v>
      </c>
      <c r="U201" s="306">
        <v>0</v>
      </c>
      <c r="V201" s="306">
        <v>0</v>
      </c>
      <c r="W201" s="306">
        <v>0</v>
      </c>
      <c r="X201" s="306">
        <v>0</v>
      </c>
      <c r="Y201" s="306">
        <v>0</v>
      </c>
      <c r="Z201" s="306">
        <v>0</v>
      </c>
      <c r="AA201" s="306">
        <v>0</v>
      </c>
      <c r="AB201" s="306">
        <v>0</v>
      </c>
      <c r="AC201" s="306">
        <v>0</v>
      </c>
      <c r="AD201" s="306">
        <v>0</v>
      </c>
      <c r="AE201" s="306">
        <v>0</v>
      </c>
      <c r="AF201" s="306">
        <v>0</v>
      </c>
      <c r="AG201" s="306">
        <v>0</v>
      </c>
      <c r="AH201" s="306">
        <v>0</v>
      </c>
      <c r="AI201" s="306">
        <v>0</v>
      </c>
      <c r="AJ201" s="306">
        <v>0</v>
      </c>
      <c r="AK201" s="306">
        <v>0</v>
      </c>
      <c r="AL201" s="306">
        <v>0</v>
      </c>
      <c r="AM201" s="306">
        <v>0</v>
      </c>
      <c r="AN201" s="306">
        <v>0</v>
      </c>
      <c r="AO201" s="306">
        <v>0</v>
      </c>
      <c r="AP201" s="306">
        <v>0</v>
      </c>
      <c r="AQ201" s="306">
        <v>0</v>
      </c>
    </row>
    <row r="202" spans="1:51" s="301" customFormat="1" x14ac:dyDescent="0.25">
      <c r="A202" s="132"/>
      <c r="B202" s="132"/>
      <c r="C202" s="143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W202" s="303"/>
    </row>
    <row r="203" spans="1:51" s="301" customFormat="1" x14ac:dyDescent="0.25">
      <c r="A203" s="132"/>
      <c r="B203" s="132"/>
      <c r="C203" s="143"/>
      <c r="D203" s="305">
        <v>27324.405813427838</v>
      </c>
      <c r="E203" s="305">
        <v>47440.791549154957</v>
      </c>
      <c r="F203" s="305">
        <v>27116.411748663089</v>
      </c>
      <c r="G203" s="305">
        <v>27666.246968950527</v>
      </c>
      <c r="H203" s="305">
        <v>34227.790854382511</v>
      </c>
      <c r="I203" s="305">
        <v>32002.068269134368</v>
      </c>
      <c r="J203" s="305">
        <v>34017.806789020731</v>
      </c>
      <c r="K203" s="305">
        <v>48228.820768048128</v>
      </c>
      <c r="L203" s="305">
        <v>44666.661823362287</v>
      </c>
      <c r="M203" s="305">
        <v>39396.807051387041</v>
      </c>
      <c r="N203" s="305">
        <v>35282.267127548454</v>
      </c>
      <c r="O203" s="305">
        <v>22734.241269259699</v>
      </c>
      <c r="P203" s="305">
        <v>29688.735200242318</v>
      </c>
      <c r="Q203" s="305">
        <v>50378.638705095931</v>
      </c>
      <c r="R203" s="305">
        <v>35124.481100713012</v>
      </c>
      <c r="S203" s="305">
        <v>53881.990712578568</v>
      </c>
      <c r="T203" s="304">
        <v>26167.974490759014</v>
      </c>
      <c r="U203" s="304">
        <v>29198.905311623763</v>
      </c>
      <c r="V203" s="304">
        <v>37107.944004346173</v>
      </c>
      <c r="W203" s="304">
        <v>38811.757359370124</v>
      </c>
      <c r="X203" s="304">
        <v>46800.311329532306</v>
      </c>
      <c r="Y203" s="304">
        <v>42654.576230790917</v>
      </c>
      <c r="Z203" s="304">
        <v>36943.422294298398</v>
      </c>
      <c r="AA203" s="304">
        <v>27442.24741446499</v>
      </c>
      <c r="AB203" s="304">
        <v>25389.814203953461</v>
      </c>
      <c r="AC203" s="304">
        <v>37934.392164737335</v>
      </c>
      <c r="AD203" s="304">
        <v>26661.397690584479</v>
      </c>
      <c r="AE203" s="304">
        <v>16622.073734240803</v>
      </c>
      <c r="AF203" s="304">
        <v>30476.353000058989</v>
      </c>
      <c r="AG203" s="304">
        <v>27974.807925184352</v>
      </c>
      <c r="AH203" s="304">
        <v>32925.324731213499</v>
      </c>
      <c r="AI203" s="304">
        <v>28124.434974827171</v>
      </c>
      <c r="AJ203" s="304">
        <v>32273.434148707449</v>
      </c>
      <c r="AK203" s="304">
        <v>31308.069740139003</v>
      </c>
      <c r="AL203" s="304">
        <v>23444.018363850038</v>
      </c>
      <c r="AM203" s="304">
        <v>22511.157671885907</v>
      </c>
      <c r="AN203" s="304">
        <v>18491.445824678704</v>
      </c>
      <c r="AO203" s="304">
        <v>22731.409305767655</v>
      </c>
      <c r="AP203" s="304">
        <v>20407.158507033346</v>
      </c>
      <c r="AQ203" s="304">
        <v>27158.57385390106</v>
      </c>
    </row>
    <row r="204" spans="1:51" s="301" customFormat="1" x14ac:dyDescent="0.25">
      <c r="A204" s="132"/>
      <c r="B204" s="132"/>
      <c r="C204" s="143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W204" s="303"/>
    </row>
    <row r="205" spans="1:51" s="301" customFormat="1" x14ac:dyDescent="0.25">
      <c r="A205" s="132"/>
      <c r="B205" s="132"/>
      <c r="C205" s="143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W205" s="303"/>
    </row>
    <row r="206" spans="1:51" s="301" customFormat="1" x14ac:dyDescent="0.25">
      <c r="A206" s="132"/>
      <c r="B206" s="132"/>
      <c r="C206" s="143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W206" s="303"/>
      <c r="AA206" s="336" t="s">
        <v>3710</v>
      </c>
    </row>
    <row r="207" spans="1:51" s="301" customFormat="1" x14ac:dyDescent="0.25">
      <c r="A207" s="132"/>
      <c r="B207" s="132"/>
      <c r="C207" s="143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W207" s="303"/>
    </row>
    <row r="208" spans="1:51" s="301" customFormat="1" x14ac:dyDescent="0.25">
      <c r="A208" s="132"/>
      <c r="B208" s="132"/>
      <c r="C208" s="143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W208" s="303"/>
    </row>
    <row r="209" spans="1:19" s="301" customFormat="1" x14ac:dyDescent="0.25">
      <c r="A209" s="132"/>
      <c r="B209" s="132"/>
      <c r="C209" s="143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</row>
    <row r="210" spans="1:19" s="301" customFormat="1" x14ac:dyDescent="0.25">
      <c r="A210" s="132"/>
      <c r="B210" s="132"/>
      <c r="C210" s="143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</row>
    <row r="211" spans="1:19" s="301" customFormat="1" x14ac:dyDescent="0.25">
      <c r="A211" s="132"/>
      <c r="B211" s="132"/>
      <c r="C211" s="143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</row>
    <row r="212" spans="1:19" s="301" customFormat="1" x14ac:dyDescent="0.25">
      <c r="A212" s="132"/>
      <c r="B212" s="132"/>
      <c r="C212" s="143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2"/>
      <c r="P212" s="302"/>
      <c r="Q212" s="302"/>
      <c r="R212" s="302"/>
      <c r="S212" s="302"/>
    </row>
    <row r="213" spans="1:19" s="301" customFormat="1" x14ac:dyDescent="0.25">
      <c r="A213" s="132"/>
      <c r="B213" s="132"/>
      <c r="C213" s="143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</row>
    <row r="214" spans="1:19" s="301" customFormat="1" x14ac:dyDescent="0.25">
      <c r="A214" s="132"/>
      <c r="B214" s="132"/>
      <c r="C214" s="143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</row>
    <row r="215" spans="1:19" s="301" customFormat="1" x14ac:dyDescent="0.25">
      <c r="A215" s="132"/>
      <c r="B215" s="132"/>
      <c r="C215" s="143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</row>
    <row r="216" spans="1:19" s="301" customFormat="1" x14ac:dyDescent="0.25">
      <c r="A216" s="132"/>
      <c r="B216" s="132"/>
      <c r="C216" s="143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</row>
    <row r="217" spans="1:19" s="301" customFormat="1" x14ac:dyDescent="0.25">
      <c r="A217" s="132"/>
      <c r="B217" s="132"/>
      <c r="C217" s="143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2"/>
      <c r="P217" s="302"/>
      <c r="Q217" s="302"/>
      <c r="R217" s="302"/>
      <c r="S217" s="302"/>
    </row>
    <row r="218" spans="1:19" s="301" customFormat="1" x14ac:dyDescent="0.25">
      <c r="A218" s="132"/>
      <c r="B218" s="132"/>
      <c r="C218" s="143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</row>
    <row r="219" spans="1:19" s="301" customFormat="1" x14ac:dyDescent="0.25">
      <c r="A219" s="132"/>
      <c r="B219" s="132"/>
      <c r="C219" s="143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</row>
    <row r="220" spans="1:19" s="301" customFormat="1" x14ac:dyDescent="0.25">
      <c r="A220" s="132"/>
      <c r="B220" s="132"/>
      <c r="C220" s="143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</row>
    <row r="221" spans="1:19" s="301" customFormat="1" x14ac:dyDescent="0.25">
      <c r="A221" s="132"/>
      <c r="B221" s="132"/>
      <c r="C221" s="143"/>
      <c r="D221" s="302"/>
      <c r="E221" s="302"/>
      <c r="F221" s="302"/>
      <c r="G221" s="302"/>
      <c r="H221" s="302"/>
      <c r="I221" s="302"/>
      <c r="J221" s="302"/>
      <c r="K221" s="302"/>
      <c r="L221" s="302"/>
      <c r="M221" s="302"/>
      <c r="N221" s="302"/>
      <c r="O221" s="302"/>
      <c r="P221" s="302"/>
      <c r="Q221" s="302"/>
      <c r="R221" s="302"/>
      <c r="S221" s="302"/>
    </row>
    <row r="222" spans="1:19" s="301" customFormat="1" x14ac:dyDescent="0.25">
      <c r="A222" s="132"/>
      <c r="B222" s="132"/>
      <c r="C222" s="143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2"/>
      <c r="P222" s="302"/>
      <c r="Q222" s="302"/>
      <c r="R222" s="302"/>
      <c r="S222" s="302"/>
    </row>
    <row r="223" spans="1:19" s="301" customFormat="1" x14ac:dyDescent="0.25">
      <c r="A223" s="132"/>
      <c r="B223" s="132"/>
      <c r="C223" s="143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</row>
    <row r="224" spans="1:19" s="301" customFormat="1" x14ac:dyDescent="0.25">
      <c r="A224" s="132"/>
      <c r="B224" s="132"/>
      <c r="C224" s="143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</row>
    <row r="225" spans="1:19" s="301" customFormat="1" x14ac:dyDescent="0.25">
      <c r="A225" s="132"/>
      <c r="B225" s="132"/>
      <c r="C225" s="143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</row>
    <row r="226" spans="1:19" s="301" customFormat="1" x14ac:dyDescent="0.25">
      <c r="A226" s="132"/>
      <c r="B226" s="132"/>
      <c r="C226" s="143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</row>
    <row r="227" spans="1:19" s="301" customFormat="1" x14ac:dyDescent="0.25">
      <c r="A227" s="132"/>
      <c r="B227" s="132"/>
      <c r="C227" s="143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</row>
    <row r="228" spans="1:19" s="301" customFormat="1" x14ac:dyDescent="0.25">
      <c r="A228" s="132"/>
      <c r="B228" s="132"/>
      <c r="C228" s="143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2"/>
      <c r="P228" s="302"/>
      <c r="Q228" s="302"/>
      <c r="R228" s="302"/>
      <c r="S228" s="302"/>
    </row>
    <row r="229" spans="1:19" s="301" customFormat="1" x14ac:dyDescent="0.25">
      <c r="A229" s="132"/>
      <c r="B229" s="132"/>
      <c r="C229" s="143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</row>
    <row r="230" spans="1:19" s="301" customFormat="1" x14ac:dyDescent="0.25">
      <c r="A230" s="132"/>
      <c r="B230" s="132"/>
      <c r="C230" s="143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</row>
    <row r="231" spans="1:19" s="301" customFormat="1" x14ac:dyDescent="0.25">
      <c r="A231" s="132"/>
      <c r="B231" s="132"/>
      <c r="C231" s="143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</row>
    <row r="232" spans="1:19" s="301" customFormat="1" x14ac:dyDescent="0.25">
      <c r="A232" s="132"/>
      <c r="B232" s="132"/>
      <c r="C232" s="143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</row>
    <row r="233" spans="1:19" s="301" customFormat="1" x14ac:dyDescent="0.25">
      <c r="A233" s="132"/>
      <c r="B233" s="132"/>
      <c r="C233" s="143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</row>
    <row r="234" spans="1:19" s="301" customFormat="1" x14ac:dyDescent="0.25">
      <c r="A234" s="132"/>
      <c r="B234" s="132"/>
      <c r="C234" s="143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</row>
    <row r="235" spans="1:19" s="301" customFormat="1" x14ac:dyDescent="0.25">
      <c r="A235" s="132"/>
      <c r="B235" s="132"/>
      <c r="C235" s="143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</row>
    <row r="236" spans="1:19" s="301" customFormat="1" x14ac:dyDescent="0.25">
      <c r="A236" s="132"/>
      <c r="B236" s="132"/>
      <c r="C236" s="143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</row>
    <row r="237" spans="1:19" s="301" customFormat="1" x14ac:dyDescent="0.25">
      <c r="A237" s="132"/>
      <c r="B237" s="132"/>
      <c r="C237" s="143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</row>
    <row r="238" spans="1:19" s="301" customFormat="1" x14ac:dyDescent="0.25">
      <c r="A238" s="132"/>
      <c r="B238" s="132"/>
      <c r="C238" s="143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</row>
    <row r="239" spans="1:19" s="301" customFormat="1" x14ac:dyDescent="0.25">
      <c r="A239" s="132"/>
      <c r="B239" s="132"/>
      <c r="C239" s="143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</row>
    <row r="240" spans="1:19" s="301" customFormat="1" x14ac:dyDescent="0.25">
      <c r="A240" s="132"/>
      <c r="B240" s="132"/>
      <c r="C240" s="143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</row>
    <row r="241" spans="1:19" s="301" customFormat="1" x14ac:dyDescent="0.25">
      <c r="A241" s="132"/>
      <c r="B241" s="132"/>
      <c r="C241" s="143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2"/>
      <c r="P241" s="302"/>
      <c r="Q241" s="302"/>
      <c r="R241" s="302"/>
      <c r="S241" s="302"/>
    </row>
    <row r="242" spans="1:19" s="301" customFormat="1" x14ac:dyDescent="0.25">
      <c r="A242" s="132"/>
      <c r="B242" s="132"/>
      <c r="C242" s="143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2"/>
      <c r="P242" s="302"/>
      <c r="Q242" s="302"/>
      <c r="R242" s="302"/>
      <c r="S242" s="302"/>
    </row>
    <row r="243" spans="1:19" s="301" customFormat="1" x14ac:dyDescent="0.25">
      <c r="A243" s="132"/>
      <c r="B243" s="132"/>
      <c r="C243" s="143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</row>
    <row r="244" spans="1:19" x14ac:dyDescent="0.25">
      <c r="A244" s="132"/>
      <c r="B244" s="132"/>
    </row>
    <row r="245" spans="1:19" x14ac:dyDescent="0.25">
      <c r="A245" s="132"/>
      <c r="B245" s="132"/>
    </row>
    <row r="246" spans="1:19" x14ac:dyDescent="0.25">
      <c r="A246" s="132"/>
      <c r="B246" s="132"/>
    </row>
    <row r="247" spans="1:19" x14ac:dyDescent="0.25">
      <c r="A247" s="132"/>
      <c r="B247" s="132"/>
    </row>
    <row r="248" spans="1:19" x14ac:dyDescent="0.25">
      <c r="A248" s="132"/>
      <c r="B248" s="132"/>
    </row>
    <row r="249" spans="1:19" x14ac:dyDescent="0.25">
      <c r="A249" s="132"/>
      <c r="B249" s="132"/>
    </row>
    <row r="250" spans="1:19" x14ac:dyDescent="0.25">
      <c r="A250" s="132"/>
      <c r="B250" s="132"/>
    </row>
    <row r="251" spans="1:19" x14ac:dyDescent="0.25">
      <c r="A251" s="132"/>
      <c r="B251" s="132"/>
    </row>
    <row r="252" spans="1:19" x14ac:dyDescent="0.25">
      <c r="A252" s="132"/>
      <c r="B252" s="132"/>
    </row>
    <row r="253" spans="1:19" x14ac:dyDescent="0.25">
      <c r="A253" s="132"/>
      <c r="B253" s="132"/>
    </row>
    <row r="254" spans="1:19" x14ac:dyDescent="0.25">
      <c r="A254" s="132"/>
      <c r="B254" s="132"/>
    </row>
    <row r="255" spans="1:19" x14ac:dyDescent="0.25">
      <c r="A255" s="132"/>
      <c r="B255" s="132"/>
    </row>
    <row r="256" spans="1:19" x14ac:dyDescent="0.25">
      <c r="A256" s="132"/>
      <c r="B256" s="132"/>
    </row>
    <row r="257" spans="1:2" x14ac:dyDescent="0.25">
      <c r="A257" s="132"/>
      <c r="B257" s="132"/>
    </row>
    <row r="258" spans="1:2" x14ac:dyDescent="0.25">
      <c r="A258" s="132"/>
      <c r="B258" s="132"/>
    </row>
    <row r="259" spans="1:2" x14ac:dyDescent="0.25">
      <c r="A259" s="132"/>
      <c r="B259" s="132"/>
    </row>
    <row r="260" spans="1:2" x14ac:dyDescent="0.25">
      <c r="A260" s="132"/>
      <c r="B260" s="132"/>
    </row>
    <row r="261" spans="1:2" x14ac:dyDescent="0.25">
      <c r="A261" s="132"/>
      <c r="B261" s="132"/>
    </row>
    <row r="262" spans="1:2" x14ac:dyDescent="0.25">
      <c r="A262" s="132"/>
      <c r="B262" s="132"/>
    </row>
    <row r="263" spans="1:2" x14ac:dyDescent="0.25">
      <c r="A263" s="132"/>
      <c r="B263" s="132"/>
    </row>
    <row r="264" spans="1:2" x14ac:dyDescent="0.25">
      <c r="A264" s="132"/>
      <c r="B264" s="132"/>
    </row>
    <row r="265" spans="1:2" x14ac:dyDescent="0.25">
      <c r="A265" s="132"/>
      <c r="B265" s="132"/>
    </row>
    <row r="266" spans="1:2" x14ac:dyDescent="0.25">
      <c r="A266" s="132"/>
      <c r="B266" s="132"/>
    </row>
    <row r="267" spans="1:2" x14ac:dyDescent="0.25">
      <c r="A267" s="132"/>
      <c r="B267" s="132"/>
    </row>
    <row r="268" spans="1:2" x14ac:dyDescent="0.25">
      <c r="A268" s="132"/>
      <c r="B268" s="132"/>
    </row>
    <row r="269" spans="1:2" x14ac:dyDescent="0.25">
      <c r="A269" s="132"/>
      <c r="B269" s="132"/>
    </row>
    <row r="270" spans="1:2" x14ac:dyDescent="0.25">
      <c r="A270" s="132"/>
      <c r="B270" s="132"/>
    </row>
    <row r="271" spans="1:2" x14ac:dyDescent="0.25">
      <c r="A271" s="132"/>
      <c r="B271" s="132"/>
    </row>
    <row r="272" spans="1:2" x14ac:dyDescent="0.25">
      <c r="A272" s="132"/>
      <c r="B272" s="132"/>
    </row>
    <row r="273" spans="1:2" x14ac:dyDescent="0.25">
      <c r="A273" s="132"/>
      <c r="B273" s="132"/>
    </row>
    <row r="274" spans="1:2" x14ac:dyDescent="0.25">
      <c r="A274" s="132"/>
      <c r="B274" s="132"/>
    </row>
    <row r="275" spans="1:2" x14ac:dyDescent="0.25">
      <c r="A275" s="132"/>
      <c r="B275" s="132"/>
    </row>
    <row r="276" spans="1:2" x14ac:dyDescent="0.25">
      <c r="A276" s="132"/>
      <c r="B276" s="132"/>
    </row>
    <row r="277" spans="1:2" x14ac:dyDescent="0.25">
      <c r="A277" s="132"/>
      <c r="B277" s="132"/>
    </row>
    <row r="278" spans="1:2" x14ac:dyDescent="0.25">
      <c r="A278" s="132"/>
      <c r="B278" s="132"/>
    </row>
    <row r="279" spans="1:2" x14ac:dyDescent="0.25">
      <c r="A279" s="132"/>
      <c r="B279" s="132"/>
    </row>
    <row r="280" spans="1:2" x14ac:dyDescent="0.25">
      <c r="A280" s="132"/>
      <c r="B280" s="132"/>
    </row>
    <row r="281" spans="1:2" x14ac:dyDescent="0.25">
      <c r="A281" s="132"/>
      <c r="B281" s="132"/>
    </row>
    <row r="282" spans="1:2" x14ac:dyDescent="0.25">
      <c r="A282" s="132"/>
      <c r="B282" s="132"/>
    </row>
    <row r="283" spans="1:2" x14ac:dyDescent="0.25">
      <c r="A283" s="132"/>
      <c r="B283" s="132"/>
    </row>
    <row r="284" spans="1:2" x14ac:dyDescent="0.25">
      <c r="A284" s="132"/>
      <c r="B284" s="132"/>
    </row>
    <row r="285" spans="1:2" x14ac:dyDescent="0.25">
      <c r="A285" s="132"/>
      <c r="B285" s="132"/>
    </row>
    <row r="286" spans="1:2" x14ac:dyDescent="0.25">
      <c r="A286" s="132"/>
      <c r="B286" s="132"/>
    </row>
    <row r="287" spans="1:2" x14ac:dyDescent="0.25">
      <c r="A287" s="132"/>
      <c r="B287" s="132"/>
    </row>
    <row r="288" spans="1:2" x14ac:dyDescent="0.25">
      <c r="A288" s="132"/>
      <c r="B288" s="132"/>
    </row>
    <row r="289" spans="1:2" x14ac:dyDescent="0.25">
      <c r="A289" s="132"/>
      <c r="B289" s="132"/>
    </row>
    <row r="290" spans="1:2" x14ac:dyDescent="0.25">
      <c r="A290" s="132"/>
      <c r="B290" s="132"/>
    </row>
    <row r="291" spans="1:2" x14ac:dyDescent="0.25">
      <c r="A291" s="132"/>
      <c r="B291" s="132"/>
    </row>
    <row r="292" spans="1:2" x14ac:dyDescent="0.25">
      <c r="A292" s="132"/>
      <c r="B292" s="132"/>
    </row>
    <row r="293" spans="1:2" x14ac:dyDescent="0.25">
      <c r="A293" s="132"/>
      <c r="B293" s="132"/>
    </row>
    <row r="294" spans="1:2" x14ac:dyDescent="0.25">
      <c r="A294" s="132"/>
      <c r="B294" s="132"/>
    </row>
    <row r="295" spans="1:2" x14ac:dyDescent="0.25">
      <c r="A295" s="132"/>
      <c r="B295" s="132"/>
    </row>
    <row r="296" spans="1:2" x14ac:dyDescent="0.25">
      <c r="A296" s="132"/>
      <c r="B296" s="132"/>
    </row>
    <row r="297" spans="1:2" x14ac:dyDescent="0.25">
      <c r="A297" s="132"/>
      <c r="B297" s="132"/>
    </row>
    <row r="298" spans="1:2" x14ac:dyDescent="0.25">
      <c r="A298" s="132"/>
      <c r="B298" s="132"/>
    </row>
    <row r="299" spans="1:2" x14ac:dyDescent="0.25">
      <c r="A299" s="132"/>
      <c r="B299" s="132"/>
    </row>
    <row r="300" spans="1:2" x14ac:dyDescent="0.25">
      <c r="A300" s="132"/>
      <c r="B300" s="132"/>
    </row>
    <row r="301" spans="1:2" x14ac:dyDescent="0.25">
      <c r="A301" s="132"/>
      <c r="B301" s="132"/>
    </row>
    <row r="302" spans="1:2" x14ac:dyDescent="0.25">
      <c r="A302" s="132"/>
      <c r="B302" s="132"/>
    </row>
    <row r="303" spans="1:2" x14ac:dyDescent="0.25">
      <c r="A303" s="132"/>
      <c r="B303" s="132"/>
    </row>
    <row r="304" spans="1:2" x14ac:dyDescent="0.25">
      <c r="A304" s="132"/>
      <c r="B304" s="132"/>
    </row>
    <row r="305" spans="1:2" x14ac:dyDescent="0.25">
      <c r="A305" s="132"/>
      <c r="B305" s="132"/>
    </row>
    <row r="306" spans="1:2" x14ac:dyDescent="0.25">
      <c r="A306" s="132"/>
      <c r="B306" s="132"/>
    </row>
    <row r="307" spans="1:2" x14ac:dyDescent="0.25">
      <c r="A307" s="132"/>
      <c r="B307" s="132"/>
    </row>
    <row r="308" spans="1:2" x14ac:dyDescent="0.25">
      <c r="A308" s="132"/>
      <c r="B308" s="132"/>
    </row>
    <row r="309" spans="1:2" x14ac:dyDescent="0.25">
      <c r="A309" s="132"/>
      <c r="B309" s="132"/>
    </row>
    <row r="310" spans="1:2" x14ac:dyDescent="0.25">
      <c r="A310" s="132"/>
      <c r="B310" s="132"/>
    </row>
    <row r="311" spans="1:2" x14ac:dyDescent="0.25">
      <c r="A311" s="132"/>
      <c r="B311" s="132"/>
    </row>
    <row r="312" spans="1:2" x14ac:dyDescent="0.25">
      <c r="A312" s="132"/>
      <c r="B312" s="132"/>
    </row>
    <row r="313" spans="1:2" x14ac:dyDescent="0.25">
      <c r="A313" s="132"/>
      <c r="B313" s="132"/>
    </row>
    <row r="314" spans="1:2" x14ac:dyDescent="0.25">
      <c r="A314" s="132"/>
      <c r="B314" s="132"/>
    </row>
    <row r="315" spans="1:2" x14ac:dyDescent="0.25">
      <c r="A315" s="132"/>
      <c r="B315" s="132"/>
    </row>
    <row r="316" spans="1:2" x14ac:dyDescent="0.25">
      <c r="A316" s="132"/>
      <c r="B316" s="132"/>
    </row>
    <row r="317" spans="1:2" x14ac:dyDescent="0.25">
      <c r="A317" s="132"/>
      <c r="B317" s="132"/>
    </row>
    <row r="318" spans="1:2" x14ac:dyDescent="0.25">
      <c r="A318" s="132"/>
      <c r="B318" s="132"/>
    </row>
    <row r="319" spans="1:2" x14ac:dyDescent="0.25">
      <c r="A319" s="132"/>
      <c r="B319" s="132"/>
    </row>
    <row r="320" spans="1:2" x14ac:dyDescent="0.25">
      <c r="A320" s="132"/>
      <c r="B320" s="132"/>
    </row>
    <row r="321" spans="1:2" x14ac:dyDescent="0.25">
      <c r="A321" s="132"/>
      <c r="B321" s="132"/>
    </row>
    <row r="322" spans="1:2" x14ac:dyDescent="0.25">
      <c r="A322" s="132"/>
      <c r="B322" s="132"/>
    </row>
    <row r="323" spans="1:2" x14ac:dyDescent="0.25">
      <c r="A323" s="132"/>
      <c r="B323" s="132"/>
    </row>
    <row r="324" spans="1:2" x14ac:dyDescent="0.25">
      <c r="A324" s="132"/>
      <c r="B324" s="132"/>
    </row>
    <row r="325" spans="1:2" x14ac:dyDescent="0.25">
      <c r="A325" s="132"/>
      <c r="B325" s="132"/>
    </row>
    <row r="326" spans="1:2" x14ac:dyDescent="0.25">
      <c r="A326" s="132"/>
      <c r="B326" s="132"/>
    </row>
    <row r="327" spans="1:2" x14ac:dyDescent="0.25">
      <c r="A327" s="132"/>
      <c r="B327" s="132"/>
    </row>
    <row r="328" spans="1:2" x14ac:dyDescent="0.25">
      <c r="A328" s="132"/>
      <c r="B328" s="132"/>
    </row>
    <row r="329" spans="1:2" x14ac:dyDescent="0.25">
      <c r="A329" s="132"/>
      <c r="B329" s="132"/>
    </row>
    <row r="330" spans="1:2" x14ac:dyDescent="0.25">
      <c r="A330" s="132"/>
      <c r="B330" s="132"/>
    </row>
    <row r="331" spans="1:2" x14ac:dyDescent="0.25">
      <c r="A331" s="132"/>
      <c r="B331" s="132"/>
    </row>
    <row r="332" spans="1:2" x14ac:dyDescent="0.25">
      <c r="A332" s="132"/>
      <c r="B332" s="132"/>
    </row>
    <row r="333" spans="1:2" x14ac:dyDescent="0.25">
      <c r="A333" s="132"/>
      <c r="B333" s="132"/>
    </row>
    <row r="334" spans="1:2" x14ac:dyDescent="0.25">
      <c r="A334" s="132"/>
      <c r="B334" s="132"/>
    </row>
    <row r="335" spans="1:2" x14ac:dyDescent="0.25">
      <c r="A335" s="132"/>
      <c r="B335" s="132"/>
    </row>
    <row r="336" spans="1:2" x14ac:dyDescent="0.25">
      <c r="A336" s="132"/>
      <c r="B336" s="132"/>
    </row>
    <row r="337" spans="1:2" x14ac:dyDescent="0.25">
      <c r="A337" s="132"/>
      <c r="B337" s="132"/>
    </row>
    <row r="338" spans="1:2" x14ac:dyDescent="0.25">
      <c r="A338" s="132"/>
      <c r="B338" s="132"/>
    </row>
    <row r="339" spans="1:2" x14ac:dyDescent="0.25">
      <c r="A339" s="132"/>
      <c r="B339" s="132"/>
    </row>
    <row r="340" spans="1:2" x14ac:dyDescent="0.25">
      <c r="A340" s="132"/>
      <c r="B340" s="132"/>
    </row>
    <row r="341" spans="1:2" x14ac:dyDescent="0.25">
      <c r="A341" s="132"/>
      <c r="B341" s="132"/>
    </row>
    <row r="342" spans="1:2" x14ac:dyDescent="0.25">
      <c r="A342" s="132"/>
      <c r="B342" s="132"/>
    </row>
    <row r="343" spans="1:2" x14ac:dyDescent="0.25">
      <c r="A343" s="132"/>
      <c r="B343" s="132"/>
    </row>
    <row r="344" spans="1:2" x14ac:dyDescent="0.25">
      <c r="A344" s="132"/>
      <c r="B344" s="132"/>
    </row>
    <row r="345" spans="1:2" x14ac:dyDescent="0.25">
      <c r="A345" s="132"/>
      <c r="B345" s="132"/>
    </row>
    <row r="346" spans="1:2" x14ac:dyDescent="0.25">
      <c r="A346" s="132"/>
      <c r="B346" s="132"/>
    </row>
    <row r="347" spans="1:2" x14ac:dyDescent="0.25">
      <c r="A347" s="132"/>
      <c r="B347" s="132"/>
    </row>
    <row r="348" spans="1:2" x14ac:dyDescent="0.25">
      <c r="A348" s="132"/>
      <c r="B348" s="132"/>
    </row>
    <row r="349" spans="1:2" x14ac:dyDescent="0.25">
      <c r="A349" s="132"/>
      <c r="B349" s="132"/>
    </row>
    <row r="350" spans="1:2" x14ac:dyDescent="0.25">
      <c r="A350" s="132"/>
      <c r="B350" s="132"/>
    </row>
    <row r="351" spans="1:2" x14ac:dyDescent="0.25">
      <c r="A351" s="132"/>
      <c r="B351" s="132"/>
    </row>
    <row r="352" spans="1:2" x14ac:dyDescent="0.25">
      <c r="A352" s="132"/>
      <c r="B352" s="132"/>
    </row>
    <row r="353" spans="1:2" x14ac:dyDescent="0.25">
      <c r="A353" s="132"/>
      <c r="B353" s="132"/>
    </row>
    <row r="354" spans="1:2" x14ac:dyDescent="0.25">
      <c r="A354" s="132"/>
      <c r="B354" s="132"/>
    </row>
    <row r="355" spans="1:2" x14ac:dyDescent="0.25">
      <c r="A355" s="132"/>
      <c r="B355" s="132"/>
    </row>
    <row r="356" spans="1:2" x14ac:dyDescent="0.25">
      <c r="A356" s="132"/>
      <c r="B356" s="132"/>
    </row>
    <row r="357" spans="1:2" x14ac:dyDescent="0.25">
      <c r="A357" s="132"/>
      <c r="B357" s="132"/>
    </row>
    <row r="358" spans="1:2" x14ac:dyDescent="0.25">
      <c r="A358" s="132"/>
      <c r="B358" s="132"/>
    </row>
  </sheetData>
  <autoFilter ref="A5:AY5" xr:uid="{2AB95F94-9012-48DC-9C82-A35C5731EF04}">
    <sortState xmlns:xlrd2="http://schemas.microsoft.com/office/spreadsheetml/2017/richdata2" ref="A8:AY195">
      <sortCondition ref="B5"/>
    </sortState>
  </autoFilter>
  <mergeCells count="4">
    <mergeCell ref="D4:O4"/>
    <mergeCell ref="P4:AA4"/>
    <mergeCell ref="AB4:AM4"/>
    <mergeCell ref="AN4:AY4"/>
  </mergeCells>
  <conditionalFormatting sqref="A70">
    <cfRule type="duplicateValues" dxfId="6" priority="6" stopIfTrue="1"/>
  </conditionalFormatting>
  <conditionalFormatting sqref="A70">
    <cfRule type="duplicateValues" dxfId="5" priority="5" stopIfTrue="1"/>
  </conditionalFormatting>
  <conditionalFormatting sqref="A162:A163">
    <cfRule type="duplicateValues" dxfId="4" priority="4" stopIfTrue="1"/>
  </conditionalFormatting>
  <conditionalFormatting sqref="A162:A163">
    <cfRule type="duplicateValues" dxfId="3" priority="3" stopIfTrue="1"/>
  </conditionalFormatting>
  <conditionalFormatting sqref="A167">
    <cfRule type="duplicateValues" dxfId="2" priority="2" stopIfTrue="1"/>
  </conditionalFormatting>
  <conditionalFormatting sqref="A167">
    <cfRule type="duplicateValues" dxfId="1" priority="1" stopIfTrue="1"/>
  </conditionalFormatting>
  <conditionalFormatting sqref="B194:B321">
    <cfRule type="duplicateValues" dxfId="0" priority="7" stopIfTrue="1"/>
  </conditionalFormatting>
  <printOptions horizontalCentered="1" gridLines="1"/>
  <pageMargins left="0.5" right="0.15" top="0.3" bottom="0.5" header="0.25" footer="0.25"/>
  <pageSetup scale="60" fitToHeight="5" orientation="landscape" horizontalDpi="1200" verticalDpi="1200" r:id="rId1"/>
  <headerFooter alignWithMargins="0">
    <oddFooter>&amp;L&amp;Z&amp;F&amp;C&amp;8Page &amp;P of &amp;N&amp;R&amp;8&amp;D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0C29-0D55-4CBD-AB9C-F65ACB96FDBE}">
  <dimension ref="A2:AX76"/>
  <sheetViews>
    <sheetView zoomScale="90" zoomScaleNormal="90" workbookViewId="0">
      <pane xSplit="2" topLeftCell="AI1" activePane="topRight" state="frozen"/>
      <selection pane="topRight" activeCell="AZ5" sqref="AZ5"/>
    </sheetView>
  </sheetViews>
  <sheetFormatPr defaultColWidth="9.109375" defaultRowHeight="14.4" x14ac:dyDescent="0.3"/>
  <cols>
    <col min="1" max="1" width="37.6640625" style="297" bestFit="1" customWidth="1"/>
    <col min="2" max="2" width="9.109375" style="297"/>
    <col min="3" max="3" width="9.88671875" style="297" bestFit="1" customWidth="1"/>
    <col min="4" max="4" width="8.33203125" style="297" bestFit="1" customWidth="1"/>
    <col min="5" max="38" width="9.88671875" style="297" bestFit="1" customWidth="1"/>
    <col min="39" max="50" width="10.33203125" style="297" customWidth="1"/>
    <col min="51" max="16384" width="9.109375" style="297"/>
  </cols>
  <sheetData>
    <row r="2" spans="1:50" ht="24" thickBot="1" x14ac:dyDescent="0.5">
      <c r="A2" s="300" t="s">
        <v>3711</v>
      </c>
    </row>
    <row r="3" spans="1:50" ht="15" thickBot="1" x14ac:dyDescent="0.35">
      <c r="C3" s="356">
        <v>2018</v>
      </c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8"/>
      <c r="O3" s="356">
        <v>2019</v>
      </c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8"/>
      <c r="AA3" s="356">
        <v>2020</v>
      </c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8"/>
      <c r="AM3" s="356">
        <v>2021</v>
      </c>
      <c r="AN3" s="357"/>
      <c r="AO3" s="357"/>
      <c r="AP3" s="357"/>
      <c r="AQ3" s="357"/>
      <c r="AR3" s="357"/>
      <c r="AS3" s="357"/>
      <c r="AT3" s="357"/>
      <c r="AU3" s="357"/>
      <c r="AV3" s="357"/>
      <c r="AW3" s="357"/>
      <c r="AX3" s="358"/>
    </row>
    <row r="5" spans="1:50" x14ac:dyDescent="0.3">
      <c r="A5" s="299" t="s">
        <v>3712</v>
      </c>
      <c r="B5" s="299" t="s">
        <v>3713</v>
      </c>
      <c r="C5" s="267">
        <v>43101</v>
      </c>
      <c r="D5" s="267">
        <v>43132</v>
      </c>
      <c r="E5" s="267">
        <v>43160</v>
      </c>
      <c r="F5" s="267">
        <v>43191</v>
      </c>
      <c r="G5" s="267">
        <v>43221</v>
      </c>
      <c r="H5" s="267">
        <v>43252</v>
      </c>
      <c r="I5" s="267">
        <v>43282</v>
      </c>
      <c r="J5" s="267">
        <v>43313</v>
      </c>
      <c r="K5" s="267">
        <v>43344</v>
      </c>
      <c r="L5" s="267">
        <v>43374</v>
      </c>
      <c r="M5" s="267">
        <v>43405</v>
      </c>
      <c r="N5" s="267">
        <v>43435</v>
      </c>
      <c r="O5" s="267">
        <v>43466</v>
      </c>
      <c r="P5" s="267">
        <v>43497</v>
      </c>
      <c r="Q5" s="267">
        <v>43525</v>
      </c>
      <c r="R5" s="267">
        <v>43556</v>
      </c>
      <c r="S5" s="267">
        <v>43586</v>
      </c>
      <c r="T5" s="267">
        <v>43617</v>
      </c>
      <c r="U5" s="267">
        <v>43647</v>
      </c>
      <c r="V5" s="267">
        <v>43678</v>
      </c>
      <c r="W5" s="267">
        <v>43709</v>
      </c>
      <c r="X5" s="267">
        <v>43739</v>
      </c>
      <c r="Y5" s="267">
        <v>43770</v>
      </c>
      <c r="Z5" s="267">
        <v>43800</v>
      </c>
      <c r="AA5" s="267">
        <v>43831</v>
      </c>
      <c r="AB5" s="267">
        <v>43862</v>
      </c>
      <c r="AC5" s="267">
        <v>43891</v>
      </c>
      <c r="AD5" s="267">
        <v>43922</v>
      </c>
      <c r="AE5" s="267">
        <v>43952</v>
      </c>
      <c r="AF5" s="267">
        <v>43983</v>
      </c>
      <c r="AG5" s="267">
        <v>44013</v>
      </c>
      <c r="AH5" s="267">
        <v>44044</v>
      </c>
      <c r="AI5" s="267">
        <v>44075</v>
      </c>
      <c r="AJ5" s="267">
        <v>44105</v>
      </c>
      <c r="AK5" s="267">
        <v>44136</v>
      </c>
      <c r="AL5" s="267">
        <v>44166</v>
      </c>
      <c r="AM5" s="267">
        <v>44197</v>
      </c>
      <c r="AN5" s="267">
        <v>44228</v>
      </c>
      <c r="AO5" s="267">
        <v>44256</v>
      </c>
      <c r="AP5" s="267">
        <v>44287</v>
      </c>
      <c r="AQ5" s="267">
        <v>44317</v>
      </c>
      <c r="AR5" s="267">
        <v>44348</v>
      </c>
      <c r="AS5" s="267">
        <v>44378</v>
      </c>
      <c r="AT5" s="267">
        <v>44409</v>
      </c>
      <c r="AU5" s="267">
        <v>44440</v>
      </c>
      <c r="AV5" s="267">
        <v>44470</v>
      </c>
      <c r="AW5" s="267">
        <v>44501</v>
      </c>
      <c r="AX5" s="267">
        <v>44531</v>
      </c>
    </row>
    <row r="6" spans="1:50" x14ac:dyDescent="0.3">
      <c r="A6" s="297" t="s">
        <v>3714</v>
      </c>
      <c r="B6" s="297" t="s">
        <v>337</v>
      </c>
      <c r="C6" s="298">
        <v>39668.239374999997</v>
      </c>
      <c r="D6" s="298">
        <v>48959.651034482755</v>
      </c>
      <c r="E6" s="298">
        <v>32505.007241379313</v>
      </c>
      <c r="F6" s="298">
        <v>44916.662068965525</v>
      </c>
      <c r="G6" s="298">
        <v>48345.569999999992</v>
      </c>
      <c r="H6" s="298">
        <v>70445</v>
      </c>
      <c r="I6" s="298">
        <v>115746.27000000002</v>
      </c>
      <c r="J6" s="298">
        <v>134437.21</v>
      </c>
      <c r="K6" s="298">
        <v>81620.529999999897</v>
      </c>
      <c r="L6" s="298">
        <v>71322.610000000015</v>
      </c>
      <c r="M6" s="298">
        <v>56326.33</v>
      </c>
      <c r="N6" s="298">
        <v>31262.05</v>
      </c>
      <c r="O6" s="298">
        <v>28874.25</v>
      </c>
      <c r="P6" s="298">
        <v>20553.580000000002</v>
      </c>
      <c r="Q6" s="298">
        <v>32281.690000000002</v>
      </c>
      <c r="R6" s="298">
        <v>46413.884137931047</v>
      </c>
      <c r="S6" s="298">
        <v>45023.170000000013</v>
      </c>
      <c r="T6" s="298">
        <v>57797.64</v>
      </c>
      <c r="U6" s="298">
        <v>57797.64</v>
      </c>
      <c r="V6" s="298">
        <v>88443.59</v>
      </c>
      <c r="W6" s="298">
        <v>107090.94948242189</v>
      </c>
      <c r="X6" s="298">
        <v>77295.847412109375</v>
      </c>
      <c r="Y6" s="298">
        <v>55443.034301757813</v>
      </c>
      <c r="Z6" s="298">
        <v>28912.816280517578</v>
      </c>
      <c r="AA6" s="298">
        <v>29053.300000000003</v>
      </c>
      <c r="AB6" s="298">
        <v>32380.859999999993</v>
      </c>
      <c r="AC6" s="298">
        <v>24233.72</v>
      </c>
      <c r="AD6" s="298">
        <v>36387.9</v>
      </c>
      <c r="AE6" s="298">
        <v>46920.183870967739</v>
      </c>
      <c r="AF6" s="298">
        <v>59939.316333333336</v>
      </c>
      <c r="AG6" s="298">
        <v>73411.5</v>
      </c>
      <c r="AH6" s="298">
        <v>91664.996129032268</v>
      </c>
      <c r="AI6" s="298">
        <v>95541.855999999985</v>
      </c>
      <c r="AJ6" s="298">
        <v>72089.196774193537</v>
      </c>
      <c r="AK6" s="298">
        <v>51474.52666666665</v>
      </c>
      <c r="AL6" s="298">
        <v>29364.987096774203</v>
      </c>
      <c r="AM6" s="298">
        <v>33846.007741935478</v>
      </c>
      <c r="AN6" s="298">
        <v>34791.041071428561</v>
      </c>
      <c r="AO6" s="298">
        <v>32579.133225806454</v>
      </c>
      <c r="AP6" s="298">
        <v>40908.521333333338</v>
      </c>
      <c r="AQ6" s="298">
        <v>44043.824838709676</v>
      </c>
      <c r="AR6" s="298">
        <v>66991.712000000014</v>
      </c>
      <c r="AS6" s="298">
        <v>87388.519354838674</v>
      </c>
      <c r="AT6" s="298">
        <v>75478.702258064513</v>
      </c>
      <c r="AU6" s="298">
        <v>75346.944000000003</v>
      </c>
      <c r="AV6" s="298">
        <v>51742.887096774197</v>
      </c>
      <c r="AW6" s="298">
        <v>57229.402999999991</v>
      </c>
      <c r="AX6" s="298">
        <v>25884.367741935472</v>
      </c>
    </row>
    <row r="7" spans="1:50" x14ac:dyDescent="0.3">
      <c r="A7" s="297" t="s">
        <v>116</v>
      </c>
      <c r="B7" s="297" t="s">
        <v>117</v>
      </c>
      <c r="C7" s="298">
        <v>9332.9278125000001</v>
      </c>
      <c r="D7" s="298">
        <v>10775.288275862071</v>
      </c>
      <c r="E7" s="298">
        <v>11125.728965517241</v>
      </c>
      <c r="F7" s="298">
        <v>15751.200000000012</v>
      </c>
      <c r="G7" s="298">
        <v>11676.939999999999</v>
      </c>
      <c r="H7" s="298">
        <v>9496.0099999999984</v>
      </c>
      <c r="I7" s="298">
        <v>15751.200000000012</v>
      </c>
      <c r="J7" s="298">
        <v>19783.490000000002</v>
      </c>
      <c r="K7" s="298">
        <v>25187.390000000003</v>
      </c>
      <c r="L7" s="298">
        <v>28771.770000000004</v>
      </c>
      <c r="M7" s="298">
        <v>26967.579999999998</v>
      </c>
      <c r="N7" s="298">
        <v>21545.240000000005</v>
      </c>
      <c r="O7" s="298">
        <v>21123.310000000005</v>
      </c>
      <c r="P7" s="298">
        <v>19341.060000000001</v>
      </c>
      <c r="Q7" s="298">
        <v>22421.120000000003</v>
      </c>
      <c r="R7" s="298">
        <v>16276.240000000013</v>
      </c>
      <c r="S7" s="298">
        <v>25010.780000000002</v>
      </c>
      <c r="T7" s="298">
        <v>22795.17</v>
      </c>
      <c r="U7" s="298">
        <v>22795.17</v>
      </c>
      <c r="V7" s="298">
        <v>29948.310000000012</v>
      </c>
      <c r="W7" s="298">
        <v>40631.543164062503</v>
      </c>
      <c r="X7" s="298">
        <v>53636.069458007813</v>
      </c>
      <c r="Y7" s="298">
        <v>50184.83544921875</v>
      </c>
      <c r="Z7" s="298">
        <v>47554.850615234369</v>
      </c>
      <c r="AA7" s="298">
        <v>44222.130000000005</v>
      </c>
      <c r="AB7" s="298">
        <v>42705.84</v>
      </c>
      <c r="AC7" s="298">
        <v>37557.960000000006</v>
      </c>
      <c r="AD7" s="298">
        <v>32874.120000000003</v>
      </c>
      <c r="AE7" s="298">
        <v>38168.816129032261</v>
      </c>
      <c r="AF7" s="298">
        <v>38389.180666666667</v>
      </c>
      <c r="AG7" s="298">
        <v>44769.348387096776</v>
      </c>
      <c r="AH7" s="298">
        <v>42226.75032258065</v>
      </c>
      <c r="AI7" s="298">
        <v>56129.855999999992</v>
      </c>
      <c r="AJ7" s="298">
        <v>41931.43548387097</v>
      </c>
      <c r="AK7" s="298">
        <v>47324.248666666681</v>
      </c>
      <c r="AL7" s="298">
        <v>35225.932258064502</v>
      </c>
      <c r="AM7" s="298">
        <v>38024.051612903226</v>
      </c>
      <c r="AN7" s="298">
        <v>35125.504285714291</v>
      </c>
      <c r="AO7" s="298">
        <v>31390.834838709678</v>
      </c>
      <c r="AP7" s="298">
        <v>32059.954333333335</v>
      </c>
      <c r="AQ7" s="298">
        <v>34937.280430947583</v>
      </c>
      <c r="AR7" s="298">
        <v>32663.992624999999</v>
      </c>
      <c r="AS7" s="298">
        <v>31762.288835685475</v>
      </c>
      <c r="AT7" s="298">
        <v>16895.736774193549</v>
      </c>
      <c r="AU7" s="298">
        <v>23322.282666666659</v>
      </c>
      <c r="AV7" s="298">
        <v>30564.967741935481</v>
      </c>
      <c r="AW7" s="298">
        <v>44709.984000000019</v>
      </c>
      <c r="AX7" s="298">
        <v>34980.832258064518</v>
      </c>
    </row>
    <row r="8" spans="1:50" x14ac:dyDescent="0.3">
      <c r="A8" s="297" t="s">
        <v>3715</v>
      </c>
      <c r="B8" s="297" t="s">
        <v>6</v>
      </c>
      <c r="C8" s="298">
        <v>19062.859062500007</v>
      </c>
      <c r="D8" s="298">
        <v>13413.38068965517</v>
      </c>
      <c r="E8" s="298">
        <v>12808.922068965518</v>
      </c>
      <c r="F8" s="298">
        <v>15359.999999999998</v>
      </c>
      <c r="G8" s="298">
        <v>21186.430000000004</v>
      </c>
      <c r="H8" s="298">
        <v>24662.499999999996</v>
      </c>
      <c r="I8" s="298">
        <v>34341.06</v>
      </c>
      <c r="J8" s="298">
        <v>39188.890000000007</v>
      </c>
      <c r="K8" s="298">
        <v>30183.08</v>
      </c>
      <c r="L8" s="298">
        <v>23517.1</v>
      </c>
      <c r="M8" s="298">
        <v>20691.210000000006</v>
      </c>
      <c r="N8" s="298">
        <v>14589.39</v>
      </c>
      <c r="O8" s="298">
        <v>13494.119999999999</v>
      </c>
      <c r="P8" s="298">
        <v>10487.8</v>
      </c>
      <c r="Q8" s="298">
        <v>13110.869999999997</v>
      </c>
      <c r="R8" s="298">
        <v>15871.999999999998</v>
      </c>
      <c r="S8" s="298">
        <v>13570.95</v>
      </c>
      <c r="T8" s="298">
        <v>17591.849999999999</v>
      </c>
      <c r="U8" s="298">
        <v>17591.849999999999</v>
      </c>
      <c r="V8" s="298">
        <v>29285.16</v>
      </c>
      <c r="W8" s="298">
        <v>34464.383576660155</v>
      </c>
      <c r="X8" s="298">
        <v>24401.024856567383</v>
      </c>
      <c r="Y8" s="298">
        <v>15280.106918334961</v>
      </c>
      <c r="Z8" s="298">
        <v>11688.563666381837</v>
      </c>
      <c r="AA8" s="298">
        <v>11887.07</v>
      </c>
      <c r="AB8" s="298">
        <v>15005.16</v>
      </c>
      <c r="AC8" s="298">
        <v>9972.5400000000009</v>
      </c>
      <c r="AD8" s="298">
        <v>10759.73</v>
      </c>
      <c r="AE8" s="298">
        <v>15839.874193548387</v>
      </c>
      <c r="AF8" s="298">
        <v>16811.775333333335</v>
      </c>
      <c r="AG8" s="298">
        <v>18254.951612903227</v>
      </c>
      <c r="AH8" s="298">
        <v>21015.673225806451</v>
      </c>
      <c r="AI8" s="298">
        <v>21654.485333333338</v>
      </c>
      <c r="AJ8" s="298">
        <v>16913.951612903224</v>
      </c>
      <c r="AK8" s="298">
        <v>13326.016666666665</v>
      </c>
      <c r="AL8" s="298">
        <v>9923.6903225806436</v>
      </c>
      <c r="AM8" s="298">
        <v>12019.912258064516</v>
      </c>
      <c r="AN8" s="298">
        <v>11113.680357142857</v>
      </c>
      <c r="AO8" s="298">
        <v>11267.444838709678</v>
      </c>
      <c r="AP8" s="298">
        <v>11532.981</v>
      </c>
      <c r="AQ8" s="298">
        <v>12306.065806451612</v>
      </c>
      <c r="AR8" s="298">
        <v>18471.904000000002</v>
      </c>
      <c r="AS8" s="298">
        <v>20298.938709677415</v>
      </c>
      <c r="AT8" s="298">
        <v>21851.743225806451</v>
      </c>
      <c r="AU8" s="298">
        <v>24803.370666666662</v>
      </c>
      <c r="AV8" s="298">
        <v>15130.035483870972</v>
      </c>
      <c r="AW8" s="298">
        <v>15135.493999999999</v>
      </c>
      <c r="AX8" s="298">
        <v>10593.803225806452</v>
      </c>
    </row>
    <row r="9" spans="1:50" x14ac:dyDescent="0.3">
      <c r="A9" s="297" t="s">
        <v>3716</v>
      </c>
      <c r="B9" s="297" t="s">
        <v>99</v>
      </c>
      <c r="C9" s="298">
        <v>14604.468125000001</v>
      </c>
      <c r="D9" s="298">
        <v>21047.619310344824</v>
      </c>
      <c r="E9" s="298">
        <v>16368.288620689651</v>
      </c>
      <c r="F9" s="298">
        <v>19396.086206896543</v>
      </c>
      <c r="G9" s="298">
        <v>19376.009999999998</v>
      </c>
      <c r="H9" s="298">
        <v>24056.510000000002</v>
      </c>
      <c r="I9" s="298">
        <v>47919.770000000004</v>
      </c>
      <c r="J9" s="298">
        <v>61054.340000000004</v>
      </c>
      <c r="K9" s="298">
        <v>51964.740000000005</v>
      </c>
      <c r="L9" s="298">
        <v>47096.68</v>
      </c>
      <c r="M9" s="298">
        <v>41340.400000000001</v>
      </c>
      <c r="N9" s="298">
        <v>25306.079999999998</v>
      </c>
      <c r="O9" s="298">
        <v>22691.55</v>
      </c>
      <c r="P9" s="298">
        <v>16754.559999999998</v>
      </c>
      <c r="Q9" s="298">
        <v>28282.080000000002</v>
      </c>
      <c r="R9" s="298">
        <v>20042.622413793095</v>
      </c>
      <c r="S9" s="298">
        <v>25457.699999999997</v>
      </c>
      <c r="T9" s="298">
        <v>37024.42</v>
      </c>
      <c r="U9" s="298">
        <v>37024.42</v>
      </c>
      <c r="V9" s="298">
        <v>45576.32</v>
      </c>
      <c r="W9" s="298">
        <v>45906.773959960934</v>
      </c>
      <c r="X9" s="298">
        <v>43534.260864257813</v>
      </c>
      <c r="Y9" s="298">
        <v>34995.479736328125</v>
      </c>
      <c r="Z9" s="298">
        <v>26909.65066162109</v>
      </c>
      <c r="AA9" s="298">
        <v>24918.029999999995</v>
      </c>
      <c r="AB9" s="298">
        <v>33827.130000000005</v>
      </c>
      <c r="AC9" s="298">
        <v>26915.919999999995</v>
      </c>
      <c r="AD9" s="298">
        <v>35861.540000000008</v>
      </c>
      <c r="AE9" s="298">
        <v>23323.04516129032</v>
      </c>
      <c r="AF9" s="298">
        <v>29937.526666666668</v>
      </c>
      <c r="AG9" s="298">
        <v>33726.851612903229</v>
      </c>
      <c r="AH9" s="298">
        <v>45769.773870967751</v>
      </c>
      <c r="AI9" s="298">
        <v>50855.263999999988</v>
      </c>
      <c r="AJ9" s="298">
        <v>45952.867741935486</v>
      </c>
      <c r="AK9" s="298">
        <v>65374.066666666666</v>
      </c>
      <c r="AL9" s="298">
        <v>47801.941935483876</v>
      </c>
      <c r="AM9" s="298">
        <v>55087.421935483864</v>
      </c>
      <c r="AN9" s="298">
        <v>59028.526428571451</v>
      </c>
      <c r="AO9" s="298">
        <v>48431.506129032248</v>
      </c>
      <c r="AP9" s="298">
        <v>38955.332666666662</v>
      </c>
      <c r="AQ9" s="298">
        <v>36975.79516129032</v>
      </c>
      <c r="AR9" s="298">
        <v>52932.351999999999</v>
      </c>
      <c r="AS9" s="298">
        <v>51656.487096774195</v>
      </c>
      <c r="AT9" s="298">
        <v>53876.546129032264</v>
      </c>
      <c r="AU9" s="298">
        <v>64720.959999999999</v>
      </c>
      <c r="AV9" s="298">
        <v>50047.858064516113</v>
      </c>
      <c r="AW9" s="298">
        <v>59858.238000000005</v>
      </c>
      <c r="AX9" s="298">
        <v>44794.074193548382</v>
      </c>
    </row>
    <row r="10" spans="1:50" x14ac:dyDescent="0.3">
      <c r="A10" s="297" t="s">
        <v>3717</v>
      </c>
      <c r="B10" s="297" t="s">
        <v>123</v>
      </c>
      <c r="C10" s="298">
        <v>8556</v>
      </c>
      <c r="D10" s="298">
        <v>7476</v>
      </c>
      <c r="E10" s="298">
        <v>9176</v>
      </c>
      <c r="F10" s="298">
        <v>9060</v>
      </c>
      <c r="G10" s="298">
        <v>10560</v>
      </c>
      <c r="H10" s="298">
        <v>7598</v>
      </c>
      <c r="I10" s="298">
        <v>10320</v>
      </c>
      <c r="J10" s="298">
        <v>5456</v>
      </c>
      <c r="K10" s="298">
        <v>9360</v>
      </c>
      <c r="L10" s="298">
        <v>8910</v>
      </c>
      <c r="M10" s="298">
        <v>7920</v>
      </c>
      <c r="N10" s="298">
        <v>7424</v>
      </c>
      <c r="O10" s="298">
        <v>8280</v>
      </c>
      <c r="P10" s="298">
        <v>7743</v>
      </c>
      <c r="Q10" s="298">
        <v>2610</v>
      </c>
      <c r="R10" s="298">
        <v>9362</v>
      </c>
      <c r="S10" s="298">
        <v>9900</v>
      </c>
      <c r="T10" s="298">
        <v>7598</v>
      </c>
      <c r="U10" s="298">
        <v>11008</v>
      </c>
      <c r="V10" s="298">
        <v>5104</v>
      </c>
      <c r="W10" s="298">
        <v>9360</v>
      </c>
      <c r="X10" s="298">
        <v>9504</v>
      </c>
      <c r="Y10" s="298">
        <v>7200</v>
      </c>
      <c r="Z10" s="298">
        <v>7888</v>
      </c>
      <c r="AA10" s="298">
        <v>8280</v>
      </c>
      <c r="AB10" s="298">
        <v>8544</v>
      </c>
      <c r="AC10" s="298">
        <v>2610</v>
      </c>
      <c r="AD10" s="298">
        <v>8758</v>
      </c>
      <c r="AE10" s="298">
        <v>9900</v>
      </c>
      <c r="AF10" s="298">
        <v>8122</v>
      </c>
      <c r="AG10" s="298">
        <v>10320</v>
      </c>
      <c r="AH10" s="298">
        <v>5104</v>
      </c>
      <c r="AI10" s="298">
        <v>9984</v>
      </c>
      <c r="AJ10" s="298">
        <v>8910</v>
      </c>
      <c r="AK10" s="298">
        <v>7820</v>
      </c>
      <c r="AL10" s="298">
        <v>3360</v>
      </c>
      <c r="AM10" s="298">
        <v>3168</v>
      </c>
      <c r="AN10" s="298">
        <v>2610</v>
      </c>
      <c r="AO10" s="298">
        <v>1421</v>
      </c>
      <c r="AP10" s="298">
        <v>1508</v>
      </c>
      <c r="AQ10" s="298">
        <v>9570</v>
      </c>
      <c r="AR10" s="298">
        <v>8384</v>
      </c>
      <c r="AS10" s="298">
        <v>10320</v>
      </c>
      <c r="AT10" s="298">
        <v>5104</v>
      </c>
      <c r="AU10" s="298">
        <v>9984</v>
      </c>
      <c r="AV10" s="298">
        <v>8910</v>
      </c>
      <c r="AW10" s="298">
        <v>7590</v>
      </c>
      <c r="AX10" s="298">
        <v>3360</v>
      </c>
    </row>
    <row r="11" spans="1:50" x14ac:dyDescent="0.3">
      <c r="A11" s="297" t="s">
        <v>3718</v>
      </c>
      <c r="B11" s="297" t="s">
        <v>558</v>
      </c>
      <c r="C11" s="298">
        <v>21971.81667263031</v>
      </c>
      <c r="D11" s="298">
        <v>28614.348965517242</v>
      </c>
      <c r="E11" s="298">
        <v>19366.672758620694</v>
      </c>
      <c r="F11" s="298">
        <v>24286.324137931031</v>
      </c>
      <c r="G11" s="298">
        <v>19207.400000000005</v>
      </c>
      <c r="H11" s="298">
        <v>24026.739999999998</v>
      </c>
      <c r="I11" s="298">
        <v>36957.030000000006</v>
      </c>
      <c r="J11" s="298">
        <v>38112.43</v>
      </c>
      <c r="K11" s="298">
        <v>28978.330000000005</v>
      </c>
      <c r="L11" s="298">
        <v>27211.230000000003</v>
      </c>
      <c r="M11" s="298">
        <v>32205.93</v>
      </c>
      <c r="N11" s="298">
        <v>21091.02</v>
      </c>
      <c r="O11" s="298">
        <v>21441.859999999993</v>
      </c>
      <c r="P11" s="298">
        <v>16349.92</v>
      </c>
      <c r="Q11" s="298">
        <v>23591.49</v>
      </c>
      <c r="R11" s="298">
        <v>25095.868275862063</v>
      </c>
      <c r="S11" s="298">
        <v>29049.260000000002</v>
      </c>
      <c r="T11" s="298">
        <v>31917.720000000008</v>
      </c>
      <c r="U11" s="298">
        <v>31917.720000000008</v>
      </c>
      <c r="V11" s="298">
        <v>43187.15</v>
      </c>
      <c r="W11" s="298">
        <v>50122.759321289064</v>
      </c>
      <c r="X11" s="298">
        <v>39960.624084472656</v>
      </c>
      <c r="Y11" s="298">
        <v>29365.498840332031</v>
      </c>
      <c r="Z11" s="298">
        <v>21896.990629882814</v>
      </c>
      <c r="AA11" s="298">
        <v>22669.53</v>
      </c>
      <c r="AB11" s="298">
        <v>27946.880000000008</v>
      </c>
      <c r="AC11" s="298">
        <v>21503.810000000005</v>
      </c>
      <c r="AD11" s="298">
        <v>20306.799999999996</v>
      </c>
      <c r="AE11" s="298">
        <v>22854.532258064515</v>
      </c>
      <c r="AF11" s="298">
        <v>25093.301333333333</v>
      </c>
      <c r="AG11" s="298">
        <v>30215.119354838713</v>
      </c>
      <c r="AH11" s="298">
        <v>41056.974516129034</v>
      </c>
      <c r="AI11" s="298">
        <v>71187.46666666666</v>
      </c>
      <c r="AJ11" s="298">
        <v>33856.993548387094</v>
      </c>
      <c r="AK11" s="298">
        <v>29093.550666666659</v>
      </c>
      <c r="AL11" s="298">
        <v>18302.641935483876</v>
      </c>
      <c r="AM11" s="298">
        <v>20630.575483870965</v>
      </c>
      <c r="AN11" s="298">
        <v>18875.312857142857</v>
      </c>
      <c r="AO11" s="298">
        <v>16604.707741935486</v>
      </c>
      <c r="AP11" s="298">
        <v>20364.186666666668</v>
      </c>
      <c r="AQ11" s="298">
        <v>22280.494193548388</v>
      </c>
      <c r="AR11" s="298">
        <v>32678.592000000001</v>
      </c>
      <c r="AS11" s="298">
        <v>37636.170967741935</v>
      </c>
      <c r="AT11" s="298">
        <v>36833.208709677412</v>
      </c>
      <c r="AU11" s="298">
        <v>50181.183999999987</v>
      </c>
      <c r="AV11" s="298">
        <v>29320.490322580645</v>
      </c>
      <c r="AW11" s="298">
        <v>32394.802</v>
      </c>
      <c r="AX11" s="298">
        <v>15132.493548387098</v>
      </c>
    </row>
    <row r="12" spans="1:50" x14ac:dyDescent="0.3">
      <c r="A12" s="297" t="s">
        <v>3719</v>
      </c>
      <c r="B12" s="297" t="s">
        <v>93</v>
      </c>
      <c r="C12" s="298">
        <v>10492.571709384916</v>
      </c>
      <c r="D12" s="298">
        <v>11698.815172413795</v>
      </c>
      <c r="E12" s="298">
        <v>12543.711724137931</v>
      </c>
      <c r="F12" s="298">
        <v>19309.779310344824</v>
      </c>
      <c r="G12" s="298">
        <v>19156.450000000004</v>
      </c>
      <c r="H12" s="298">
        <v>30264.959999999995</v>
      </c>
      <c r="I12" s="298">
        <v>40543.42</v>
      </c>
      <c r="J12" s="298">
        <v>42574.560000000012</v>
      </c>
      <c r="K12" s="298">
        <v>34623.01</v>
      </c>
      <c r="L12" s="298">
        <v>32609.750000000004</v>
      </c>
      <c r="M12" s="298">
        <v>42019.95</v>
      </c>
      <c r="N12" s="298">
        <v>35115.189999999995</v>
      </c>
      <c r="O12" s="298">
        <v>29136.219999999994</v>
      </c>
      <c r="P12" s="298">
        <v>26012.139999999996</v>
      </c>
      <c r="Q12" s="298">
        <v>25168.269999999997</v>
      </c>
      <c r="R12" s="298">
        <v>19953.438620689649</v>
      </c>
      <c r="S12" s="298">
        <v>31411.430000000004</v>
      </c>
      <c r="T12" s="298">
        <v>36388.80000000001</v>
      </c>
      <c r="U12" s="298">
        <v>36388.80000000001</v>
      </c>
      <c r="V12" s="298">
        <v>53601.760000000017</v>
      </c>
      <c r="W12" s="298">
        <v>53911.570903320309</v>
      </c>
      <c r="X12" s="298">
        <v>40104.337066650391</v>
      </c>
      <c r="Y12" s="298">
        <v>18357.167663574219</v>
      </c>
      <c r="Z12" s="298">
        <v>12736.805310668944</v>
      </c>
      <c r="AA12" s="298">
        <v>22825.63</v>
      </c>
      <c r="AB12" s="298">
        <v>14498.619999999999</v>
      </c>
      <c r="AC12" s="298">
        <v>9696.8499999999985</v>
      </c>
      <c r="AD12" s="298">
        <v>4023.3799999999992</v>
      </c>
      <c r="AE12" s="298">
        <v>6116.1967741935487</v>
      </c>
      <c r="AF12" s="298">
        <v>21445.045666666665</v>
      </c>
      <c r="AG12" s="298">
        <v>23883.193548387098</v>
      </c>
      <c r="AH12" s="298">
        <v>26059.886451612903</v>
      </c>
      <c r="AI12" s="298">
        <v>26177.770666666664</v>
      </c>
      <c r="AJ12" s="298">
        <v>15181.441935483872</v>
      </c>
      <c r="AK12" s="298">
        <v>7771.8106666666654</v>
      </c>
      <c r="AL12" s="298">
        <v>2833.8483870967739</v>
      </c>
      <c r="AM12" s="298">
        <v>4793.1458064516137</v>
      </c>
      <c r="AN12" s="298">
        <v>4997.3835714285706</v>
      </c>
      <c r="AO12" s="298">
        <v>5010.8912903225801</v>
      </c>
      <c r="AP12" s="298">
        <v>7897.3960000000006</v>
      </c>
      <c r="AQ12" s="298">
        <v>10122.46870967742</v>
      </c>
      <c r="AR12" s="298">
        <v>22631.946666666667</v>
      </c>
      <c r="AS12" s="298">
        <v>26810.409677419364</v>
      </c>
      <c r="AT12" s="298">
        <v>34788.138064516119</v>
      </c>
      <c r="AU12" s="298">
        <v>36437.813333333324</v>
      </c>
      <c r="AV12" s="298">
        <v>21009.774193548383</v>
      </c>
      <c r="AW12" s="298">
        <v>21623.943000000003</v>
      </c>
      <c r="AX12" s="298">
        <v>11332.548387096773</v>
      </c>
    </row>
    <row r="13" spans="1:50" x14ac:dyDescent="0.3">
      <c r="A13" s="297" t="s">
        <v>3720</v>
      </c>
      <c r="B13" s="297" t="s">
        <v>72</v>
      </c>
      <c r="C13" s="298">
        <v>2711.2597767925263</v>
      </c>
      <c r="D13" s="298">
        <v>3530.780689655172</v>
      </c>
      <c r="E13" s="298">
        <v>3117.6379310344832</v>
      </c>
      <c r="F13" s="298">
        <v>4924.6034482758623</v>
      </c>
      <c r="G13" s="298">
        <v>5677.5199999999995</v>
      </c>
      <c r="H13" s="298">
        <v>7485.2400000000007</v>
      </c>
      <c r="I13" s="298">
        <v>17318.77</v>
      </c>
      <c r="J13" s="298">
        <v>24281.660000000003</v>
      </c>
      <c r="K13" s="298">
        <v>16269.779999999993</v>
      </c>
      <c r="L13" s="298">
        <v>12657.130000000001</v>
      </c>
      <c r="M13" s="298">
        <v>10194.86</v>
      </c>
      <c r="N13" s="298">
        <v>5049.96</v>
      </c>
      <c r="O13" s="298">
        <v>7568.6</v>
      </c>
      <c r="P13" s="298">
        <v>5160.25</v>
      </c>
      <c r="Q13" s="298">
        <v>8596.5600000000013</v>
      </c>
      <c r="R13" s="298">
        <v>5088.7568965517239</v>
      </c>
      <c r="S13" s="298">
        <v>11210.329999999998</v>
      </c>
      <c r="T13" s="298">
        <v>13842.680000000002</v>
      </c>
      <c r="U13" s="298">
        <v>13842.680000000002</v>
      </c>
      <c r="V13" s="298">
        <v>15277.679999999998</v>
      </c>
      <c r="W13" s="298">
        <v>15056.82</v>
      </c>
      <c r="X13" s="298">
        <v>12839.93</v>
      </c>
      <c r="Y13" s="298">
        <v>7619.7999999999993</v>
      </c>
      <c r="Z13" s="298">
        <v>7196</v>
      </c>
      <c r="AA13" s="298">
        <v>7136.7</v>
      </c>
      <c r="AB13" s="298">
        <v>9356</v>
      </c>
      <c r="AC13" s="298">
        <v>7643</v>
      </c>
      <c r="AD13" s="298">
        <v>10670</v>
      </c>
      <c r="AE13" s="298">
        <v>14582.903225806453</v>
      </c>
      <c r="AF13" s="298">
        <v>17628.666666666664</v>
      </c>
      <c r="AG13" s="298">
        <v>16246.451612903224</v>
      </c>
      <c r="AH13" s="298">
        <v>22214</v>
      </c>
      <c r="AI13" s="298">
        <v>23705.599999999999</v>
      </c>
      <c r="AJ13" s="298">
        <v>16436.129032258064</v>
      </c>
      <c r="AK13" s="298">
        <v>10887.933333333334</v>
      </c>
      <c r="AL13" s="298">
        <v>6024.1935483870966</v>
      </c>
      <c r="AM13" s="298">
        <v>6833.5483870967746</v>
      </c>
      <c r="AN13" s="298">
        <v>7174.3928571428569</v>
      </c>
      <c r="AO13" s="298">
        <v>5942.1935483870966</v>
      </c>
      <c r="AP13" s="298">
        <v>8687.4333333333325</v>
      </c>
      <c r="AQ13" s="298">
        <v>9696.2903225806458</v>
      </c>
      <c r="AR13" s="298">
        <v>16918.400000000001</v>
      </c>
      <c r="AS13" s="298">
        <v>19886.129032258064</v>
      </c>
      <c r="AT13" s="298">
        <v>21282.258064516129</v>
      </c>
      <c r="AU13" s="298">
        <v>22777.599999999999</v>
      </c>
      <c r="AV13" s="298">
        <v>14091.290322580644</v>
      </c>
      <c r="AW13" s="298">
        <v>14844.5</v>
      </c>
      <c r="AX13" s="298">
        <v>6539.0322580645161</v>
      </c>
    </row>
    <row r="14" spans="1:50" x14ac:dyDescent="0.3">
      <c r="A14" s="297" t="s">
        <v>3721</v>
      </c>
      <c r="B14" s="297" t="s">
        <v>198</v>
      </c>
      <c r="C14" s="298">
        <v>5649.8487494254105</v>
      </c>
      <c r="D14" s="298">
        <v>6299.372413793104</v>
      </c>
      <c r="E14" s="298">
        <v>6754.312068965517</v>
      </c>
      <c r="F14" s="298">
        <v>10397.575862068967</v>
      </c>
      <c r="G14" s="298">
        <v>10315.040000000003</v>
      </c>
      <c r="H14" s="298">
        <v>16296.5</v>
      </c>
      <c r="I14" s="298">
        <v>21831.079999999998</v>
      </c>
      <c r="J14" s="298">
        <v>22924.749999999993</v>
      </c>
      <c r="K14" s="298">
        <v>18643.150000000001</v>
      </c>
      <c r="L14" s="298">
        <v>17559.100000000002</v>
      </c>
      <c r="M14" s="298">
        <v>22626.129999999997</v>
      </c>
      <c r="N14" s="298">
        <v>18908.16</v>
      </c>
      <c r="O14" s="298">
        <v>15688.750000000004</v>
      </c>
      <c r="P14" s="298">
        <v>14006.53</v>
      </c>
      <c r="Q14" s="298">
        <v>13552.150000000001</v>
      </c>
      <c r="R14" s="298">
        <v>10744.161724137932</v>
      </c>
      <c r="S14" s="298">
        <v>16913.849999999999</v>
      </c>
      <c r="T14" s="298">
        <v>19593.990000000002</v>
      </c>
      <c r="U14" s="298">
        <v>19593.990000000002</v>
      </c>
      <c r="V14" s="298">
        <v>28862.47</v>
      </c>
      <c r="W14" s="298">
        <v>29029.296752929688</v>
      </c>
      <c r="X14" s="298">
        <v>21594.643356323242</v>
      </c>
      <c r="Y14" s="298">
        <v>9884.6289710998535</v>
      </c>
      <c r="Z14" s="298">
        <v>6858.2943983459481</v>
      </c>
      <c r="AA14" s="298">
        <v>12290.76</v>
      </c>
      <c r="AB14" s="298">
        <v>7806.96</v>
      </c>
      <c r="AC14" s="298">
        <v>5221.3900000000003</v>
      </c>
      <c r="AD14" s="298">
        <v>2119.71</v>
      </c>
      <c r="AE14" s="298">
        <v>3293.3322580645163</v>
      </c>
      <c r="AF14" s="298">
        <v>11547.334666666666</v>
      </c>
      <c r="AG14" s="298">
        <v>12860.177419354839</v>
      </c>
      <c r="AH14" s="298">
        <v>14032.239354838706</v>
      </c>
      <c r="AI14" s="298">
        <v>14095.744000000002</v>
      </c>
      <c r="AJ14" s="298">
        <v>8174.6129032258068</v>
      </c>
      <c r="AK14" s="298">
        <v>4184.8446666666678</v>
      </c>
      <c r="AL14" s="298">
        <v>1525.9451612903226</v>
      </c>
      <c r="AM14" s="298">
        <v>2580.9135483870964</v>
      </c>
      <c r="AN14" s="298">
        <v>2690.8892857142851</v>
      </c>
      <c r="AO14" s="298">
        <v>2698.1880645161291</v>
      </c>
      <c r="AP14" s="298">
        <v>4252.4246666666668</v>
      </c>
      <c r="AQ14" s="298">
        <v>5450.5780645161294</v>
      </c>
      <c r="AR14" s="298">
        <v>12186.453333333335</v>
      </c>
      <c r="AS14" s="298">
        <v>14436.358064516124</v>
      </c>
      <c r="AT14" s="298">
        <v>18732.063548387094</v>
      </c>
      <c r="AU14" s="298">
        <v>19620.320000000003</v>
      </c>
      <c r="AV14" s="298">
        <v>11312.951612903225</v>
      </c>
      <c r="AW14" s="298">
        <v>11643.653999999995</v>
      </c>
      <c r="AX14" s="298">
        <v>3689.4967741935484</v>
      </c>
    </row>
    <row r="15" spans="1:50" x14ac:dyDescent="0.3">
      <c r="A15" s="297" t="s">
        <v>3722</v>
      </c>
      <c r="B15" s="297" t="s">
        <v>462</v>
      </c>
      <c r="C15" s="298">
        <v>28628.363156967163</v>
      </c>
      <c r="D15" s="298">
        <v>18246.132413793104</v>
      </c>
      <c r="E15" s="298">
        <v>21026.06</v>
      </c>
      <c r="F15" s="298">
        <v>21225.786206896551</v>
      </c>
      <c r="G15" s="298">
        <v>24998.630000000005</v>
      </c>
      <c r="H15" s="298">
        <v>25553.979999999996</v>
      </c>
      <c r="I15" s="298">
        <v>29717.29</v>
      </c>
      <c r="J15" s="298">
        <v>30908.27</v>
      </c>
      <c r="K15" s="298">
        <v>25470.33</v>
      </c>
      <c r="L15" s="298">
        <v>21879.07</v>
      </c>
      <c r="M15" s="298">
        <v>20943.21</v>
      </c>
      <c r="N15" s="298">
        <v>18076.539999999997</v>
      </c>
      <c r="O15" s="298">
        <v>14978.739999999998</v>
      </c>
      <c r="P15" s="298">
        <v>11883.939999999997</v>
      </c>
      <c r="Q15" s="298">
        <v>17228.100000000002</v>
      </c>
      <c r="R15" s="298">
        <v>21933.312413793101</v>
      </c>
      <c r="S15" s="298">
        <v>19176.680000000004</v>
      </c>
      <c r="T15" s="298">
        <v>19209.269999999997</v>
      </c>
      <c r="U15" s="298">
        <v>19209.269999999997</v>
      </c>
      <c r="V15" s="298">
        <v>23264.960000000003</v>
      </c>
      <c r="W15" s="298">
        <v>29447.051342773429</v>
      </c>
      <c r="X15" s="298">
        <v>23661.217529296875</v>
      </c>
      <c r="Y15" s="298">
        <v>19323.210754394531</v>
      </c>
      <c r="Z15" s="298">
        <v>23268.460247802734</v>
      </c>
      <c r="AA15" s="298">
        <v>17571.099999999999</v>
      </c>
      <c r="AB15" s="298">
        <v>18635.18</v>
      </c>
      <c r="AC15" s="298">
        <v>12994.34</v>
      </c>
      <c r="AD15" s="298">
        <v>10617.720000000001</v>
      </c>
      <c r="AE15" s="298">
        <v>12283.461290322581</v>
      </c>
      <c r="AF15" s="298">
        <v>18337.440333333336</v>
      </c>
      <c r="AG15" s="298">
        <v>21238.877419354838</v>
      </c>
      <c r="AH15" s="298">
        <v>24821.193548387098</v>
      </c>
      <c r="AI15" s="298">
        <v>27864.693333333336</v>
      </c>
      <c r="AJ15" s="298">
        <v>22493.699999999997</v>
      </c>
      <c r="AK15" s="298">
        <v>14043.677333333333</v>
      </c>
      <c r="AL15" s="298">
        <v>8566.354838709678</v>
      </c>
      <c r="AM15" s="298">
        <v>9819.9741935483871</v>
      </c>
      <c r="AN15" s="298">
        <v>10885.160357142859</v>
      </c>
      <c r="AO15" s="298">
        <v>8485.2409677419364</v>
      </c>
      <c r="AP15" s="298">
        <v>12023.670666666669</v>
      </c>
      <c r="AQ15" s="298">
        <v>13780.379032258066</v>
      </c>
      <c r="AR15" s="298">
        <v>21634.165333333334</v>
      </c>
      <c r="AS15" s="298">
        <v>22537.519354838714</v>
      </c>
      <c r="AT15" s="298">
        <v>22498.995161290324</v>
      </c>
      <c r="AU15" s="298">
        <v>25598.880000000001</v>
      </c>
      <c r="AV15" s="298">
        <v>15216.45483870968</v>
      </c>
      <c r="AW15" s="298">
        <v>16023.941999999994</v>
      </c>
      <c r="AX15" s="298">
        <v>5635.5677419354834</v>
      </c>
    </row>
    <row r="16" spans="1:50" x14ac:dyDescent="0.3">
      <c r="A16" s="297" t="s">
        <v>3723</v>
      </c>
      <c r="B16" s="297" t="s">
        <v>329</v>
      </c>
      <c r="C16" s="298">
        <v>4444.0564018726354</v>
      </c>
      <c r="D16" s="298">
        <v>2365.5848275862072</v>
      </c>
      <c r="E16" s="298">
        <v>4766.9875862068975</v>
      </c>
      <c r="F16" s="298">
        <v>5053.4482758620688</v>
      </c>
      <c r="G16" s="298">
        <v>4940.4999999999982</v>
      </c>
      <c r="H16" s="298">
        <v>5525.8300000000008</v>
      </c>
      <c r="I16" s="298">
        <v>9554.5600000000013</v>
      </c>
      <c r="J16" s="298">
        <v>8741.3799999999992</v>
      </c>
      <c r="K16" s="298">
        <v>7470.36</v>
      </c>
      <c r="L16" s="298">
        <v>6612.7199999999993</v>
      </c>
      <c r="M16" s="298">
        <v>5581.9900000000016</v>
      </c>
      <c r="N16" s="298">
        <v>3149.4399999999996</v>
      </c>
      <c r="O16" s="298">
        <v>4035.8200000000006</v>
      </c>
      <c r="P16" s="298">
        <v>3715.13</v>
      </c>
      <c r="Q16" s="298">
        <v>4725.67</v>
      </c>
      <c r="R16" s="298">
        <v>5221.8965517241377</v>
      </c>
      <c r="S16" s="298">
        <v>5346.7199999999993</v>
      </c>
      <c r="T16" s="298">
        <v>3638.2500000000005</v>
      </c>
      <c r="U16" s="298">
        <v>3638.2500000000005</v>
      </c>
      <c r="V16" s="298">
        <v>5442.7599999999984</v>
      </c>
      <c r="W16" s="298">
        <v>7179.3267431640625</v>
      </c>
      <c r="X16" s="298">
        <v>5578.1818542480469</v>
      </c>
      <c r="Y16" s="298">
        <v>3911.2958602905273</v>
      </c>
      <c r="Z16" s="298">
        <v>3351.5701153564455</v>
      </c>
      <c r="AA16" s="298">
        <v>3264.0099999999998</v>
      </c>
      <c r="AB16" s="298">
        <v>4025.4000000000005</v>
      </c>
      <c r="AC16" s="298">
        <v>3223.1700000000005</v>
      </c>
      <c r="AD16" s="298">
        <v>2384.79</v>
      </c>
      <c r="AE16" s="298">
        <v>4699.1225806451621</v>
      </c>
      <c r="AF16" s="298">
        <v>4568.5630000000001</v>
      </c>
      <c r="AG16" s="298">
        <v>5402.5838709677419</v>
      </c>
      <c r="AH16" s="298">
        <v>5943.7183870967747</v>
      </c>
      <c r="AI16" s="298">
        <v>7107.9359999999997</v>
      </c>
      <c r="AJ16" s="298">
        <v>5348.5645161290331</v>
      </c>
      <c r="AK16" s="298">
        <v>4717.8966666666665</v>
      </c>
      <c r="AL16" s="298">
        <v>1903.5290322580643</v>
      </c>
      <c r="AM16" s="298">
        <v>2750.007741935483</v>
      </c>
      <c r="AN16" s="298">
        <v>2833.7867857142855</v>
      </c>
      <c r="AO16" s="298">
        <v>3080.7167741935486</v>
      </c>
      <c r="AP16" s="298">
        <v>4932.2813333333334</v>
      </c>
      <c r="AQ16" s="298">
        <v>4377.4564516129049</v>
      </c>
      <c r="AR16" s="298">
        <v>6543.754666666664</v>
      </c>
      <c r="AS16" s="298">
        <v>6699.4451612903213</v>
      </c>
      <c r="AT16" s="298">
        <v>5900.5645161290313</v>
      </c>
      <c r="AU16" s="298">
        <v>6851.0399999999991</v>
      </c>
      <c r="AV16" s="298">
        <v>4724.061290322581</v>
      </c>
      <c r="AW16" s="298">
        <v>5024.8990000000003</v>
      </c>
      <c r="AX16" s="298">
        <v>2868.6580645161289</v>
      </c>
    </row>
    <row r="17" spans="1:50" x14ac:dyDescent="0.3">
      <c r="A17" s="297" t="s">
        <v>3724</v>
      </c>
      <c r="B17" s="297" t="s">
        <v>39</v>
      </c>
      <c r="C17" s="298">
        <v>10369.943645253181</v>
      </c>
      <c r="D17" s="298">
        <v>11972.568275862064</v>
      </c>
      <c r="E17" s="298">
        <v>12361.902068965515</v>
      </c>
      <c r="F17" s="298">
        <v>17501.399999999991</v>
      </c>
      <c r="G17" s="298">
        <v>18489.890000000003</v>
      </c>
      <c r="H17" s="298">
        <v>19170.100000000002</v>
      </c>
      <c r="I17" s="298">
        <v>18429.899999999994</v>
      </c>
      <c r="J17" s="298">
        <v>21981.69999999999</v>
      </c>
      <c r="K17" s="298">
        <v>27985.94</v>
      </c>
      <c r="L17" s="298">
        <v>31968.619999999995</v>
      </c>
      <c r="M17" s="298">
        <v>29964.000000000004</v>
      </c>
      <c r="N17" s="298">
        <v>23939.18</v>
      </c>
      <c r="O17" s="298">
        <v>23470.36</v>
      </c>
      <c r="P17" s="298">
        <v>21490.059999999994</v>
      </c>
      <c r="Q17" s="298">
        <v>24912.370000000006</v>
      </c>
      <c r="R17" s="298">
        <v>18084.779999999988</v>
      </c>
      <c r="S17" s="298">
        <v>27789.759999999998</v>
      </c>
      <c r="T17" s="298">
        <v>25327.98</v>
      </c>
      <c r="U17" s="298">
        <v>25327.98</v>
      </c>
      <c r="V17" s="298">
        <v>33275.9</v>
      </c>
      <c r="W17" s="298">
        <v>45146.173515625</v>
      </c>
      <c r="X17" s="298">
        <v>59595.63330078125</v>
      </c>
      <c r="Y17" s="298">
        <v>55760.92822265625</v>
      </c>
      <c r="Z17" s="298">
        <v>52838.691767578122</v>
      </c>
      <c r="AA17" s="298">
        <v>49135.689999999995</v>
      </c>
      <c r="AB17" s="298">
        <v>47450.950000000004</v>
      </c>
      <c r="AC17" s="298">
        <v>41731.06</v>
      </c>
      <c r="AD17" s="298">
        <v>36526.78</v>
      </c>
      <c r="AE17" s="298">
        <v>42416.922580645165</v>
      </c>
      <c r="AF17" s="298">
        <v>42654.64633333333</v>
      </c>
      <c r="AG17" s="298">
        <v>49743.716129032255</v>
      </c>
      <c r="AH17" s="298">
        <v>46918.604193548381</v>
      </c>
      <c r="AI17" s="298">
        <v>62366.485333333338</v>
      </c>
      <c r="AJ17" s="298">
        <v>46590.503225806468</v>
      </c>
      <c r="AK17" s="298">
        <v>52582.54133333332</v>
      </c>
      <c r="AL17" s="298">
        <v>39212.525806451617</v>
      </c>
      <c r="AM17" s="298">
        <v>44284.23225806452</v>
      </c>
      <c r="AN17" s="298">
        <v>36431.508928571435</v>
      </c>
      <c r="AO17" s="298">
        <v>32095.366451612903</v>
      </c>
      <c r="AP17" s="298">
        <v>35309.220666666668</v>
      </c>
      <c r="AQ17" s="298">
        <v>39034.835700447329</v>
      </c>
      <c r="AR17" s="298">
        <v>31780.777526041671</v>
      </c>
      <c r="AS17" s="298">
        <v>24363.900000000005</v>
      </c>
      <c r="AT17" s="298">
        <v>22497.984838709679</v>
      </c>
      <c r="AU17" s="298">
        <v>44953.290666666668</v>
      </c>
      <c r="AV17" s="298">
        <v>42058.006451612906</v>
      </c>
      <c r="AW17" s="298">
        <v>49677.792999999991</v>
      </c>
      <c r="AX17" s="298">
        <v>38867.574193548389</v>
      </c>
    </row>
    <row r="18" spans="1:50" x14ac:dyDescent="0.3">
      <c r="A18" s="297" t="s">
        <v>3725</v>
      </c>
      <c r="B18" s="297" t="s">
        <v>42</v>
      </c>
      <c r="C18" s="298">
        <v>1550</v>
      </c>
      <c r="D18" s="298">
        <v>1599.1657472418162</v>
      </c>
      <c r="E18" s="298">
        <v>2655.5349311022278</v>
      </c>
      <c r="F18" s="298">
        <v>5100</v>
      </c>
      <c r="G18" s="298">
        <v>8512.7544846656401</v>
      </c>
      <c r="H18" s="298">
        <v>8062</v>
      </c>
      <c r="I18" s="298">
        <v>9973.5363667144011</v>
      </c>
      <c r="J18" s="298">
        <v>11728.33445036332</v>
      </c>
      <c r="K18" s="298">
        <v>11619.206718480042</v>
      </c>
      <c r="L18" s="298">
        <v>7409.5795867179977</v>
      </c>
      <c r="M18" s="298">
        <v>3960</v>
      </c>
      <c r="N18" s="298">
        <v>1920</v>
      </c>
      <c r="O18" s="298">
        <v>1500</v>
      </c>
      <c r="P18" s="298">
        <v>1656.2788096433096</v>
      </c>
      <c r="Q18" s="298">
        <v>2484.210096837568</v>
      </c>
      <c r="R18" s="298">
        <v>5270</v>
      </c>
      <c r="S18" s="298">
        <v>7980.7073293740377</v>
      </c>
      <c r="T18" s="298">
        <v>8062</v>
      </c>
      <c r="U18" s="298">
        <v>10638.438791162029</v>
      </c>
      <c r="V18" s="298">
        <v>10971.667711630203</v>
      </c>
      <c r="W18" s="298">
        <v>11619.206718480042</v>
      </c>
      <c r="X18" s="298">
        <v>7903.5515591658641</v>
      </c>
      <c r="Y18" s="298">
        <v>3600</v>
      </c>
      <c r="Z18" s="298">
        <v>2040</v>
      </c>
      <c r="AA18" s="298">
        <v>1500</v>
      </c>
      <c r="AB18" s="298">
        <v>1827.61799684779</v>
      </c>
      <c r="AC18" s="298">
        <v>2484.210096837568</v>
      </c>
      <c r="AD18" s="298">
        <v>4930</v>
      </c>
      <c r="AE18" s="298">
        <v>7980.7073293740377</v>
      </c>
      <c r="AF18" s="298">
        <v>8618</v>
      </c>
      <c r="AG18" s="298">
        <v>9973.5363667144011</v>
      </c>
      <c r="AH18" s="298">
        <v>10971.667711630203</v>
      </c>
      <c r="AI18" s="298">
        <v>12393.820499712045</v>
      </c>
      <c r="AJ18" s="298">
        <v>7409.5795867179977</v>
      </c>
      <c r="AK18" s="298">
        <v>8738</v>
      </c>
      <c r="AL18" s="298">
        <v>5940</v>
      </c>
      <c r="AM18" s="298">
        <v>3520</v>
      </c>
      <c r="AN18" s="298">
        <v>2900</v>
      </c>
      <c r="AO18" s="298">
        <v>3045</v>
      </c>
      <c r="AP18" s="298">
        <v>3770</v>
      </c>
      <c r="AQ18" s="298">
        <v>7714.6837517282365</v>
      </c>
      <c r="AR18" s="298">
        <v>8896</v>
      </c>
      <c r="AS18" s="298">
        <v>9973.5363667144011</v>
      </c>
      <c r="AT18" s="298">
        <v>10971.667711630203</v>
      </c>
      <c r="AU18" s="298">
        <v>12393.820499712045</v>
      </c>
      <c r="AV18" s="298">
        <v>7409.5795867179977</v>
      </c>
      <c r="AW18" s="298">
        <v>8481</v>
      </c>
      <c r="AX18" s="298">
        <v>5940</v>
      </c>
    </row>
    <row r="19" spans="1:50" x14ac:dyDescent="0.3">
      <c r="A19" s="297" t="s">
        <v>3726</v>
      </c>
      <c r="B19" s="297" t="s">
        <v>63</v>
      </c>
      <c r="C19" s="298">
        <v>8823.0165625000009</v>
      </c>
      <c r="D19" s="298">
        <v>7820.1200000000008</v>
      </c>
      <c r="E19" s="298">
        <v>32745.69551724138</v>
      </c>
      <c r="F19" s="298">
        <v>36173.865517241378</v>
      </c>
      <c r="G19" s="298">
        <v>40761.219999999994</v>
      </c>
      <c r="H19" s="298">
        <v>40144.50999999998</v>
      </c>
      <c r="I19" s="298">
        <v>43890</v>
      </c>
      <c r="J19" s="298">
        <v>52896.010000000009</v>
      </c>
      <c r="K19" s="298">
        <v>54982.569999999992</v>
      </c>
      <c r="L19" s="298">
        <v>41175.170000000006</v>
      </c>
      <c r="M19" s="298">
        <v>107116.57999999999</v>
      </c>
      <c r="N19" s="298">
        <v>86622.629999999976</v>
      </c>
      <c r="O19" s="298">
        <v>103437.74999999996</v>
      </c>
      <c r="P19" s="298">
        <v>72681.640000000014</v>
      </c>
      <c r="Q19" s="298">
        <v>74513.489999999991</v>
      </c>
      <c r="R19" s="298">
        <v>37379.661034482757</v>
      </c>
      <c r="S19" s="298">
        <v>85214.33</v>
      </c>
      <c r="T19" s="298">
        <v>83023.25</v>
      </c>
      <c r="U19" s="298">
        <v>83023.25</v>
      </c>
      <c r="V19" s="298">
        <v>92042.8</v>
      </c>
      <c r="W19" s="298">
        <v>28885.876529541016</v>
      </c>
      <c r="X19" s="298">
        <v>17547.552131652832</v>
      </c>
      <c r="Y19" s="298">
        <v>18774.168960571289</v>
      </c>
      <c r="Z19" s="298">
        <v>32869.085249023439</v>
      </c>
      <c r="AA19" s="298">
        <v>28529.19</v>
      </c>
      <c r="AB19" s="298">
        <v>11930.939999999999</v>
      </c>
      <c r="AC19" s="298">
        <v>10491.7</v>
      </c>
      <c r="AD19" s="298">
        <v>9937.409999999998</v>
      </c>
      <c r="AE19" s="298">
        <v>2182.4032258064517</v>
      </c>
      <c r="AF19" s="298">
        <v>2566.0146666666665</v>
      </c>
      <c r="AG19" s="298">
        <v>2092.6838709677422</v>
      </c>
      <c r="AH19" s="298">
        <v>32399.576451612906</v>
      </c>
      <c r="AI19" s="298">
        <v>52396.85333333334</v>
      </c>
      <c r="AJ19" s="298">
        <v>34276.054838709686</v>
      </c>
      <c r="AK19" s="298">
        <v>112120.16800000001</v>
      </c>
      <c r="AL19" s="298">
        <v>179600.535483871</v>
      </c>
      <c r="AM19" s="298">
        <v>164027.47870967741</v>
      </c>
      <c r="AN19" s="298">
        <v>159284.57142857139</v>
      </c>
      <c r="AO19" s="298">
        <v>83777.230000000025</v>
      </c>
      <c r="AP19" s="298">
        <v>35716.20666666668</v>
      </c>
      <c r="AQ19" s="298">
        <v>32602.744838709677</v>
      </c>
      <c r="AR19" s="298">
        <v>41518.975999999995</v>
      </c>
      <c r="AS19" s="298">
        <v>33577.083870967748</v>
      </c>
      <c r="AT19" s="298">
        <v>31053.59290322581</v>
      </c>
      <c r="AU19" s="298">
        <v>34979.562666666672</v>
      </c>
      <c r="AV19" s="298">
        <v>28748.874193548385</v>
      </c>
      <c r="AW19" s="298">
        <v>22175.038087463381</v>
      </c>
      <c r="AX19" s="298">
        <v>13927.586546867125</v>
      </c>
    </row>
    <row r="20" spans="1:50" x14ac:dyDescent="0.3">
      <c r="A20" s="297" t="s">
        <v>3727</v>
      </c>
      <c r="B20" s="297" t="s">
        <v>474</v>
      </c>
      <c r="C20" s="298">
        <v>15456.245215415955</v>
      </c>
      <c r="D20" s="298">
        <v>16654.206896551725</v>
      </c>
      <c r="E20" s="298">
        <v>11442.559655172414</v>
      </c>
      <c r="F20" s="298">
        <v>10798.086206896551</v>
      </c>
      <c r="G20" s="298">
        <v>2778.66</v>
      </c>
      <c r="H20" s="298">
        <v>5973</v>
      </c>
      <c r="I20" s="298">
        <v>21794</v>
      </c>
      <c r="J20" s="298">
        <v>43590.979999999996</v>
      </c>
      <c r="K20" s="298">
        <v>48014.020000000004</v>
      </c>
      <c r="L20" s="298">
        <v>45000</v>
      </c>
      <c r="M20" s="298">
        <v>47267</v>
      </c>
      <c r="N20" s="298">
        <v>36261</v>
      </c>
      <c r="O20" s="298">
        <v>29679</v>
      </c>
      <c r="P20" s="298">
        <v>23747</v>
      </c>
      <c r="Q20" s="298">
        <v>30436.979999999996</v>
      </c>
      <c r="R20" s="298">
        <v>11158.022413793104</v>
      </c>
      <c r="S20" s="298">
        <v>32596.67</v>
      </c>
      <c r="T20" s="298">
        <v>16214</v>
      </c>
      <c r="U20" s="298">
        <v>16214</v>
      </c>
      <c r="V20" s="298">
        <v>25443</v>
      </c>
      <c r="W20" s="298">
        <v>29457.34</v>
      </c>
      <c r="X20" s="298">
        <v>23352.99560546875</v>
      </c>
      <c r="Y20" s="298">
        <v>17880.004516601563</v>
      </c>
      <c r="Z20" s="298">
        <v>10456.002227783203</v>
      </c>
      <c r="AA20" s="298">
        <v>14648</v>
      </c>
      <c r="AB20" s="298">
        <v>17820.989999999998</v>
      </c>
      <c r="AC20" s="298">
        <v>7408</v>
      </c>
      <c r="AD20" s="298">
        <v>8510.67</v>
      </c>
      <c r="AE20" s="298">
        <v>16031.612903225807</v>
      </c>
      <c r="AF20" s="298">
        <v>16593.266666666666</v>
      </c>
      <c r="AG20" s="298">
        <v>18839.032258064515</v>
      </c>
      <c r="AH20" s="298">
        <v>25279.580645161292</v>
      </c>
      <c r="AI20" s="298">
        <v>31400.533333333333</v>
      </c>
      <c r="AJ20" s="298">
        <v>30883.006451612906</v>
      </c>
      <c r="AK20" s="298">
        <v>30554.791333333334</v>
      </c>
      <c r="AL20" s="298">
        <v>22108.26774193548</v>
      </c>
      <c r="AM20" s="298">
        <v>23031.360000000001</v>
      </c>
      <c r="AN20" s="298">
        <v>19434.142857142855</v>
      </c>
      <c r="AO20" s="298">
        <v>19932.30494623656</v>
      </c>
      <c r="AP20" s="298">
        <v>8226.9809999999998</v>
      </c>
      <c r="AQ20" s="298">
        <v>14640.324693249118</v>
      </c>
      <c r="AR20" s="298">
        <v>39578.655999999995</v>
      </c>
      <c r="AS20" s="298">
        <v>77950.645161290333</v>
      </c>
      <c r="AT20" s="298">
        <v>101515.95935483871</v>
      </c>
      <c r="AU20" s="298">
        <v>93143.509333333335</v>
      </c>
      <c r="AV20" s="298">
        <v>85009.393548387103</v>
      </c>
      <c r="AW20" s="298">
        <v>85024.598999999987</v>
      </c>
      <c r="AX20" s="298">
        <v>70663.577419354828</v>
      </c>
    </row>
    <row r="21" spans="1:50" x14ac:dyDescent="0.3">
      <c r="A21" s="297" t="s">
        <v>3728</v>
      </c>
      <c r="B21" s="297" t="s">
        <v>66</v>
      </c>
      <c r="C21" s="298">
        <v>14105.869187049864</v>
      </c>
      <c r="D21" s="298">
        <v>15132.599999999999</v>
      </c>
      <c r="E21" s="298">
        <v>12545.507586206897</v>
      </c>
      <c r="F21" s="298">
        <v>21353.131034482758</v>
      </c>
      <c r="G21" s="298">
        <v>20206.349999999999</v>
      </c>
      <c r="H21" s="298">
        <v>27459.969999999994</v>
      </c>
      <c r="I21" s="298">
        <v>48670.890000000007</v>
      </c>
      <c r="J21" s="298">
        <v>52595.329999999994</v>
      </c>
      <c r="K21" s="298">
        <v>39074.14</v>
      </c>
      <c r="L21" s="298">
        <v>29775.079999999998</v>
      </c>
      <c r="M21" s="298">
        <v>20667.859999999997</v>
      </c>
      <c r="N21" s="298">
        <v>8669.2800000000007</v>
      </c>
      <c r="O21" s="298">
        <v>7465.869999999999</v>
      </c>
      <c r="P21" s="298">
        <v>4286.0499999999993</v>
      </c>
      <c r="Q21" s="298">
        <v>10744.010000000002</v>
      </c>
      <c r="R21" s="298">
        <v>22064.902068965519</v>
      </c>
      <c r="S21" s="298">
        <v>14489.189999999999</v>
      </c>
      <c r="T21" s="298">
        <v>22688.809999999998</v>
      </c>
      <c r="U21" s="298">
        <v>22688.809999999998</v>
      </c>
      <c r="V21" s="298">
        <v>44162.53</v>
      </c>
      <c r="W21" s="298">
        <v>50240.668828125003</v>
      </c>
      <c r="X21" s="298">
        <v>30410.808715820313</v>
      </c>
      <c r="Y21" s="298">
        <v>18843.316192626953</v>
      </c>
      <c r="Z21" s="298">
        <v>9696.8916329956082</v>
      </c>
      <c r="AA21" s="298">
        <v>8740.42</v>
      </c>
      <c r="AB21" s="298">
        <v>17855.54</v>
      </c>
      <c r="AC21" s="298">
        <v>16522.260000000002</v>
      </c>
      <c r="AD21" s="298">
        <v>23637.679999999997</v>
      </c>
      <c r="AE21" s="298">
        <v>30045.919354838708</v>
      </c>
      <c r="AF21" s="298">
        <v>34049.500999999997</v>
      </c>
      <c r="AG21" s="298">
        <v>39636.416129032252</v>
      </c>
      <c r="AH21" s="298">
        <v>47552.787419354849</v>
      </c>
      <c r="AI21" s="298">
        <v>59029.770666666656</v>
      </c>
      <c r="AJ21" s="298">
        <v>44104.470967741931</v>
      </c>
      <c r="AK21" s="298">
        <v>28959.602000000006</v>
      </c>
      <c r="AL21" s="298">
        <v>10256.254838709679</v>
      </c>
      <c r="AM21" s="298">
        <v>12164.655483870969</v>
      </c>
      <c r="AN21" s="298">
        <v>12124.703214285713</v>
      </c>
      <c r="AO21" s="298">
        <v>5043.7454838709682</v>
      </c>
      <c r="AP21" s="298">
        <v>5093.927333333334</v>
      </c>
      <c r="AQ21" s="298">
        <v>6550.6883870967758</v>
      </c>
      <c r="AR21" s="298">
        <v>26664.533333333336</v>
      </c>
      <c r="AS21" s="298">
        <v>48683.661290322576</v>
      </c>
      <c r="AT21" s="298">
        <v>41897.740645161306</v>
      </c>
      <c r="AU21" s="298">
        <v>47388.383999999998</v>
      </c>
      <c r="AV21" s="298">
        <v>25232.709677419363</v>
      </c>
      <c r="AW21" s="298">
        <v>23478.905999999999</v>
      </c>
      <c r="AX21" s="298">
        <v>4680.8322580645163</v>
      </c>
    </row>
    <row r="22" spans="1:50" x14ac:dyDescent="0.3">
      <c r="A22" s="297" t="s">
        <v>3729</v>
      </c>
      <c r="B22" s="297" t="s">
        <v>372</v>
      </c>
      <c r="C22" s="298">
        <v>14104.549417872429</v>
      </c>
      <c r="D22" s="298">
        <v>13618.910344827584</v>
      </c>
      <c r="E22" s="298">
        <v>9177.5606896551726</v>
      </c>
      <c r="F22" s="298">
        <v>15970.375862068966</v>
      </c>
      <c r="G22" s="298">
        <v>15001.37</v>
      </c>
      <c r="H22" s="298">
        <v>19851.13</v>
      </c>
      <c r="I22" s="298">
        <v>21225.420000000006</v>
      </c>
      <c r="J22" s="298">
        <v>20994.33</v>
      </c>
      <c r="K22" s="298">
        <v>28427.949999999997</v>
      </c>
      <c r="L22" s="298">
        <v>21012.639999999999</v>
      </c>
      <c r="M22" s="298">
        <v>13721.009999999998</v>
      </c>
      <c r="N22" s="298">
        <v>3134.11</v>
      </c>
      <c r="O22" s="298">
        <v>6184.52</v>
      </c>
      <c r="P22" s="298">
        <v>4169.2000000000007</v>
      </c>
      <c r="Q22" s="298">
        <v>9348.9500000000007</v>
      </c>
      <c r="R22" s="298">
        <v>16502.721724137929</v>
      </c>
      <c r="S22" s="298">
        <v>10756.930000000002</v>
      </c>
      <c r="T22" s="298">
        <v>16655.400000000001</v>
      </c>
      <c r="U22" s="298">
        <v>16655.400000000001</v>
      </c>
      <c r="V22" s="298">
        <v>28381.870000000006</v>
      </c>
      <c r="W22" s="298">
        <v>34212.106784667965</v>
      </c>
      <c r="X22" s="298">
        <v>22149.839584350586</v>
      </c>
      <c r="Y22" s="298">
        <v>13802.945114135742</v>
      </c>
      <c r="Z22" s="298">
        <v>5370.7078579521185</v>
      </c>
      <c r="AA22" s="298">
        <v>5656.4400000000014</v>
      </c>
      <c r="AB22" s="298">
        <v>9156.340000000002</v>
      </c>
      <c r="AC22" s="298">
        <v>5833.68</v>
      </c>
      <c r="AD22" s="298">
        <v>9205.91</v>
      </c>
      <c r="AE22" s="298">
        <v>13888.016129032258</v>
      </c>
      <c r="AF22" s="298">
        <v>17692.578333333331</v>
      </c>
      <c r="AG22" s="298">
        <v>12483.37741935484</v>
      </c>
      <c r="AH22" s="298">
        <v>13564.151290322578</v>
      </c>
      <c r="AI22" s="298">
        <v>15441.621333333331</v>
      </c>
      <c r="AJ22" s="298">
        <v>14960.206451612903</v>
      </c>
      <c r="AK22" s="298">
        <v>18463.813333333335</v>
      </c>
      <c r="AL22" s="298">
        <v>10562.999999999998</v>
      </c>
      <c r="AM22" s="298">
        <v>13789.254193548391</v>
      </c>
      <c r="AN22" s="298">
        <v>11768.645357142857</v>
      </c>
      <c r="AO22" s="298">
        <v>9487.8458064516126</v>
      </c>
      <c r="AP22" s="298">
        <v>8899.0463333333337</v>
      </c>
      <c r="AQ22" s="298">
        <v>13084.774303806134</v>
      </c>
      <c r="AR22" s="298">
        <v>9263.8272708333334</v>
      </c>
      <c r="AS22" s="298">
        <v>13075.645161290322</v>
      </c>
      <c r="AT22" s="298">
        <v>13230.782258064515</v>
      </c>
      <c r="AU22" s="298">
        <v>13325.642666666668</v>
      </c>
      <c r="AV22" s="298">
        <v>13060.451612903222</v>
      </c>
      <c r="AW22" s="298">
        <v>16440.094000000001</v>
      </c>
      <c r="AX22" s="298">
        <v>7017.0580645161299</v>
      </c>
    </row>
    <row r="23" spans="1:50" x14ac:dyDescent="0.3">
      <c r="A23" s="297" t="s">
        <v>3730</v>
      </c>
      <c r="B23" s="297" t="s">
        <v>102</v>
      </c>
      <c r="C23" s="298">
        <v>3522.3444485139848</v>
      </c>
      <c r="D23" s="298">
        <v>10772.594482758621</v>
      </c>
      <c r="E23" s="298">
        <v>15235.901379310342</v>
      </c>
      <c r="F23" s="298">
        <v>12339.682758620691</v>
      </c>
      <c r="G23" s="298">
        <v>10397.329999999998</v>
      </c>
      <c r="H23" s="298">
        <v>10370.949999999999</v>
      </c>
      <c r="I23" s="298">
        <v>11416.75</v>
      </c>
      <c r="J23" s="298">
        <v>16517.5</v>
      </c>
      <c r="K23" s="298">
        <v>14477.660000000002</v>
      </c>
      <c r="L23" s="298">
        <v>11991.630000000003</v>
      </c>
      <c r="M23" s="298">
        <v>10820.26</v>
      </c>
      <c r="N23" s="298">
        <v>8566.3900000000012</v>
      </c>
      <c r="O23" s="298">
        <v>9596.7699999999986</v>
      </c>
      <c r="P23" s="298">
        <v>7143.7300000000023</v>
      </c>
      <c r="Q23" s="298">
        <v>10050.629999999999</v>
      </c>
      <c r="R23" s="298">
        <v>12751.005517241379</v>
      </c>
      <c r="S23" s="298">
        <v>11064.579999999998</v>
      </c>
      <c r="T23" s="298">
        <v>10509.789999999995</v>
      </c>
      <c r="U23" s="298">
        <v>10509.789999999995</v>
      </c>
      <c r="V23" s="298">
        <v>11882.43</v>
      </c>
      <c r="W23" s="298">
        <v>12478.059999999998</v>
      </c>
      <c r="X23" s="298">
        <v>12183.710000000001</v>
      </c>
      <c r="Y23" s="298">
        <v>9395.32</v>
      </c>
      <c r="Z23" s="298">
        <v>9636.4700000000012</v>
      </c>
      <c r="AA23" s="298">
        <v>4074.3799999999992</v>
      </c>
      <c r="AB23" s="298">
        <v>7110.0999999999995</v>
      </c>
      <c r="AC23" s="298">
        <v>5161.5600000000004</v>
      </c>
      <c r="AD23" s="298">
        <v>6763.9999999999991</v>
      </c>
      <c r="AE23" s="298">
        <v>7832.8064516129025</v>
      </c>
      <c r="AF23" s="298">
        <v>7668.1186666666663</v>
      </c>
      <c r="AG23" s="298">
        <v>8446.1322580645174</v>
      </c>
      <c r="AH23" s="298">
        <v>9344.6232258064538</v>
      </c>
      <c r="AI23" s="298">
        <v>10214.261333333334</v>
      </c>
      <c r="AJ23" s="298">
        <v>9665.6903225806454</v>
      </c>
      <c r="AK23" s="298">
        <v>7426.4726666666656</v>
      </c>
      <c r="AL23" s="298">
        <v>5144.6903225806464</v>
      </c>
      <c r="AM23" s="298">
        <v>5412.2941935483868</v>
      </c>
      <c r="AN23" s="298">
        <v>5028.6724999999997</v>
      </c>
      <c r="AO23" s="298">
        <v>4510.9687096774196</v>
      </c>
      <c r="AP23" s="298">
        <v>6538.5333333333328</v>
      </c>
      <c r="AQ23" s="298">
        <v>7456.528998922533</v>
      </c>
      <c r="AR23" s="298">
        <v>6900.5410490722661</v>
      </c>
      <c r="AS23" s="298">
        <v>5633.1536208860343</v>
      </c>
      <c r="AT23" s="298">
        <v>12497.521935483868</v>
      </c>
      <c r="AU23" s="298">
        <v>32533.813333333332</v>
      </c>
      <c r="AV23" s="298">
        <v>21903.880645161291</v>
      </c>
      <c r="AW23" s="298">
        <v>13341.822999999997</v>
      </c>
      <c r="AX23" s="298">
        <v>5344.2290322580639</v>
      </c>
    </row>
    <row r="24" spans="1:50" x14ac:dyDescent="0.3">
      <c r="A24" s="297" t="s">
        <v>170</v>
      </c>
      <c r="B24" s="297" t="s">
        <v>171</v>
      </c>
      <c r="C24" s="298">
        <v>3670.3399536418915</v>
      </c>
      <c r="D24" s="298">
        <v>2527.0482758620692</v>
      </c>
      <c r="E24" s="298">
        <v>7817.4303448275869</v>
      </c>
      <c r="F24" s="298">
        <v>6497.6068965517243</v>
      </c>
      <c r="G24" s="298">
        <v>5310.409999999998</v>
      </c>
      <c r="H24" s="298">
        <v>3881.2799999999997</v>
      </c>
      <c r="I24" s="298">
        <v>1834.3200000000004</v>
      </c>
      <c r="J24" s="298">
        <v>2486.5600000000004</v>
      </c>
      <c r="K24" s="298">
        <v>5409.3099999999995</v>
      </c>
      <c r="L24" s="298">
        <v>3835.9800000000005</v>
      </c>
      <c r="M24" s="298">
        <v>9270.3499999999985</v>
      </c>
      <c r="N24" s="298">
        <v>7966.0499999999984</v>
      </c>
      <c r="O24" s="298">
        <v>3502.56</v>
      </c>
      <c r="P24" s="298">
        <v>6257.2800000000007</v>
      </c>
      <c r="Q24" s="298">
        <v>8399.5099999999984</v>
      </c>
      <c r="R24" s="298">
        <v>6714.193793103449</v>
      </c>
      <c r="S24" s="298">
        <v>9157.1999999999971</v>
      </c>
      <c r="T24" s="298">
        <v>8879.98</v>
      </c>
      <c r="U24" s="298">
        <v>8879.98</v>
      </c>
      <c r="V24" s="298">
        <v>5773.5099999999993</v>
      </c>
      <c r="W24" s="298">
        <v>7782.1125408935568</v>
      </c>
      <c r="X24" s="298">
        <v>8075.7625408935564</v>
      </c>
      <c r="Y24" s="298">
        <v>5944.0925408935527</v>
      </c>
      <c r="Z24" s="298">
        <v>5373.5515454101551</v>
      </c>
      <c r="AA24" s="298">
        <v>3394.4999999999995</v>
      </c>
      <c r="AB24" s="298">
        <v>7537.5999999999995</v>
      </c>
      <c r="AC24" s="298">
        <v>5626.909999999998</v>
      </c>
      <c r="AD24" s="298">
        <v>5534.7699999999995</v>
      </c>
      <c r="AE24" s="298">
        <v>8727.2999999999993</v>
      </c>
      <c r="AF24" s="298">
        <v>8626.0290000000005</v>
      </c>
      <c r="AG24" s="298">
        <v>8787.2903225806458</v>
      </c>
      <c r="AH24" s="298">
        <v>7641.0790322580651</v>
      </c>
      <c r="AI24" s="298">
        <v>8706.8159999999989</v>
      </c>
      <c r="AJ24" s="298">
        <v>5459.4967741935488</v>
      </c>
      <c r="AK24" s="298">
        <v>5136.9013333333332</v>
      </c>
      <c r="AL24" s="298">
        <v>3240.07741935484</v>
      </c>
      <c r="AM24" s="298">
        <v>3671.8451612903232</v>
      </c>
      <c r="AN24" s="298">
        <v>4079.7303571428579</v>
      </c>
      <c r="AO24" s="298">
        <v>3555.362580645161</v>
      </c>
      <c r="AP24" s="298">
        <v>4250.0756666666666</v>
      </c>
      <c r="AQ24" s="298">
        <v>4820.1554838709681</v>
      </c>
      <c r="AR24" s="298">
        <v>6342.3040000000001</v>
      </c>
      <c r="AS24" s="298">
        <v>5181.203225806451</v>
      </c>
      <c r="AT24" s="298">
        <v>4654.5374193548387</v>
      </c>
      <c r="AU24" s="298">
        <v>5249.0453333333344</v>
      </c>
      <c r="AV24" s="298">
        <v>4879.4612903225807</v>
      </c>
      <c r="AW24" s="298">
        <v>5471.3340000000007</v>
      </c>
      <c r="AX24" s="298">
        <v>2840.1</v>
      </c>
    </row>
    <row r="25" spans="1:50" x14ac:dyDescent="0.3">
      <c r="A25" s="297" t="s">
        <v>56</v>
      </c>
      <c r="B25" s="297" t="s">
        <v>57</v>
      </c>
      <c r="C25" s="298">
        <v>13009.112348594666</v>
      </c>
      <c r="D25" s="298">
        <v>6637.9213793103454</v>
      </c>
      <c r="E25" s="298">
        <v>13075.885517241377</v>
      </c>
      <c r="F25" s="298">
        <v>18944.368965517246</v>
      </c>
      <c r="G25" s="298">
        <v>19631.28</v>
      </c>
      <c r="H25" s="298">
        <v>29405.939999999995</v>
      </c>
      <c r="I25" s="298">
        <v>50696.339999999989</v>
      </c>
      <c r="J25" s="298">
        <v>57323.519999999997</v>
      </c>
      <c r="K25" s="298">
        <v>41623.389999999992</v>
      </c>
      <c r="L25" s="298">
        <v>30570.979999999992</v>
      </c>
      <c r="M25" s="298">
        <v>22490.23</v>
      </c>
      <c r="N25" s="298">
        <v>11729.170000000002</v>
      </c>
      <c r="O25" s="298">
        <v>11375.12</v>
      </c>
      <c r="P25" s="298">
        <v>8311.5800000000017</v>
      </c>
      <c r="Q25" s="298">
        <v>14710.270000000002</v>
      </c>
      <c r="R25" s="298">
        <v>19575.847931034485</v>
      </c>
      <c r="S25" s="298">
        <v>20162.419999999998</v>
      </c>
      <c r="T25" s="298">
        <v>30487.119999999992</v>
      </c>
      <c r="U25" s="298">
        <v>30487.119999999995</v>
      </c>
      <c r="V25" s="298">
        <v>44688.36</v>
      </c>
      <c r="W25" s="298">
        <v>47409.603149414048</v>
      </c>
      <c r="X25" s="298">
        <v>28748.343688964844</v>
      </c>
      <c r="Y25" s="298">
        <v>18547.301605224609</v>
      </c>
      <c r="Z25" s="298">
        <v>10263.654594726562</v>
      </c>
      <c r="AA25" s="298">
        <v>10673.74</v>
      </c>
      <c r="AB25" s="298">
        <v>14502.179999999998</v>
      </c>
      <c r="AC25" s="298">
        <v>10510.360000000002</v>
      </c>
      <c r="AD25" s="298">
        <v>16288.890000000001</v>
      </c>
      <c r="AE25" s="298">
        <v>21673.916129032259</v>
      </c>
      <c r="AF25" s="298">
        <v>24894.25033333333</v>
      </c>
      <c r="AG25" s="298">
        <v>30960.512903225805</v>
      </c>
      <c r="AH25" s="298">
        <v>34113.149032258072</v>
      </c>
      <c r="AI25" s="298">
        <v>35953.503999999994</v>
      </c>
      <c r="AJ25" s="298">
        <v>32093.874193548385</v>
      </c>
      <c r="AK25" s="298">
        <v>18463.597999999998</v>
      </c>
      <c r="AL25" s="298">
        <v>9615.8322580645163</v>
      </c>
      <c r="AM25" s="298">
        <v>11712.732903225804</v>
      </c>
      <c r="AN25" s="298">
        <v>10402.403571428573</v>
      </c>
      <c r="AO25" s="298">
        <v>8962.8522580645167</v>
      </c>
      <c r="AP25" s="298">
        <v>13554.628999999999</v>
      </c>
      <c r="AQ25" s="298">
        <v>17253.849354838712</v>
      </c>
      <c r="AR25" s="298">
        <v>32125.898666666664</v>
      </c>
      <c r="AS25" s="298">
        <v>41577.154838709685</v>
      </c>
      <c r="AT25" s="298">
        <v>38514.06741935484</v>
      </c>
      <c r="AU25" s="298">
        <v>35976.618666666669</v>
      </c>
      <c r="AV25" s="298">
        <v>18410.651612903224</v>
      </c>
      <c r="AW25" s="298">
        <v>17011.884999999998</v>
      </c>
      <c r="AX25" s="298">
        <v>5164.4709677419369</v>
      </c>
    </row>
    <row r="26" spans="1:50" x14ac:dyDescent="0.3">
      <c r="A26" s="297" t="s">
        <v>3731</v>
      </c>
      <c r="B26" s="297" t="s">
        <v>456</v>
      </c>
      <c r="C26" s="298">
        <v>48865.429028701787</v>
      </c>
      <c r="D26" s="298">
        <v>28574.434482758621</v>
      </c>
      <c r="E26" s="298">
        <v>29958.528275862071</v>
      </c>
      <c r="F26" s="298">
        <v>42987.486206896552</v>
      </c>
      <c r="G26" s="298">
        <v>35284.19</v>
      </c>
      <c r="H26" s="298">
        <v>59832.760000000009</v>
      </c>
      <c r="I26" s="298">
        <v>91364.060000000027</v>
      </c>
      <c r="J26" s="298">
        <v>96917.579999999973</v>
      </c>
      <c r="K26" s="298">
        <v>76874.23000000001</v>
      </c>
      <c r="L26" s="298">
        <v>60632.770000000004</v>
      </c>
      <c r="M26" s="298">
        <v>48372.549999999988</v>
      </c>
      <c r="N26" s="298">
        <v>28116.639999999996</v>
      </c>
      <c r="O26" s="298">
        <v>31270.400000000005</v>
      </c>
      <c r="P26" s="298">
        <v>21383.829999999998</v>
      </c>
      <c r="Q26" s="298">
        <v>69396.429999999993</v>
      </c>
      <c r="R26" s="298">
        <v>44420.402413793105</v>
      </c>
      <c r="S26" s="298">
        <v>127319.06999999998</v>
      </c>
      <c r="T26" s="298">
        <v>161317.16999999998</v>
      </c>
      <c r="U26" s="298">
        <v>161317.16999999998</v>
      </c>
      <c r="V26" s="298">
        <v>223654.51000000004</v>
      </c>
      <c r="W26" s="298">
        <v>206683.01494140617</v>
      </c>
      <c r="X26" s="298">
        <v>104080.28271484375</v>
      </c>
      <c r="Y26" s="298">
        <v>68157.880187988281</v>
      </c>
      <c r="Z26" s="298">
        <v>28848.723022460941</v>
      </c>
      <c r="AA26" s="298">
        <v>40883.010000000009</v>
      </c>
      <c r="AB26" s="298">
        <v>61012.010000000009</v>
      </c>
      <c r="AC26" s="298">
        <v>48910.259999999995</v>
      </c>
      <c r="AD26" s="298">
        <v>78477</v>
      </c>
      <c r="AE26" s="298">
        <v>95961.222580645146</v>
      </c>
      <c r="AF26" s="298">
        <v>117232.018</v>
      </c>
      <c r="AG26" s="298">
        <v>167769.69677419352</v>
      </c>
      <c r="AH26" s="298">
        <v>187789.46258064525</v>
      </c>
      <c r="AI26" s="298">
        <v>229430.07999999996</v>
      </c>
      <c r="AJ26" s="298">
        <v>158570.16774193553</v>
      </c>
      <c r="AK26" s="298">
        <v>147661.28599999993</v>
      </c>
      <c r="AL26" s="298">
        <v>98245.151612903239</v>
      </c>
      <c r="AM26" s="298">
        <v>89152.949677419354</v>
      </c>
      <c r="AN26" s="298">
        <v>63594.907857142862</v>
      </c>
      <c r="AO26" s="298">
        <v>58057.784838709689</v>
      </c>
      <c r="AP26" s="298">
        <v>92335.023666666646</v>
      </c>
      <c r="AQ26" s="298">
        <v>90340.743870967737</v>
      </c>
      <c r="AR26" s="298">
        <v>160914.94400000002</v>
      </c>
      <c r="AS26" s="298">
        <v>188671.00645161289</v>
      </c>
      <c r="AT26" s="298">
        <v>173455.02451612902</v>
      </c>
      <c r="AU26" s="298">
        <v>197822.76266666668</v>
      </c>
      <c r="AV26" s="298">
        <v>138197.60322580644</v>
      </c>
      <c r="AW26" s="298">
        <v>129568.73600000003</v>
      </c>
      <c r="AX26" s="298">
        <v>63491.51612903225</v>
      </c>
    </row>
    <row r="27" spans="1:50" x14ac:dyDescent="0.3">
      <c r="A27" s="297" t="s">
        <v>3732</v>
      </c>
      <c r="B27" s="297" t="s">
        <v>323</v>
      </c>
      <c r="C27" s="298">
        <v>14863.579239606857</v>
      </c>
      <c r="D27" s="298">
        <v>17160.659310344829</v>
      </c>
      <c r="E27" s="298">
        <v>17718.723448275858</v>
      </c>
      <c r="F27" s="298">
        <v>25085.400000000005</v>
      </c>
      <c r="G27" s="298">
        <v>26757.760000000006</v>
      </c>
      <c r="H27" s="298">
        <v>24249.220000000005</v>
      </c>
      <c r="I27" s="298">
        <v>25085.400000000005</v>
      </c>
      <c r="J27" s="298">
        <v>31507.15</v>
      </c>
      <c r="K27" s="298">
        <v>40113.21</v>
      </c>
      <c r="L27" s="298">
        <v>45821.720000000008</v>
      </c>
      <c r="M27" s="298">
        <v>42948.380000000019</v>
      </c>
      <c r="N27" s="298">
        <v>34312.789999999994</v>
      </c>
      <c r="O27" s="298">
        <v>33640.85</v>
      </c>
      <c r="P27" s="298">
        <v>30802.439999999995</v>
      </c>
      <c r="Q27" s="298">
        <v>35707.710000000006</v>
      </c>
      <c r="R27" s="298">
        <v>25921.580000000005</v>
      </c>
      <c r="S27" s="298">
        <v>39831.980000000003</v>
      </c>
      <c r="T27" s="298">
        <v>36303.440000000017</v>
      </c>
      <c r="U27" s="298">
        <v>36303.440000000017</v>
      </c>
      <c r="V27" s="298">
        <v>47695.469999999994</v>
      </c>
      <c r="W27" s="298">
        <v>64709.488046874998</v>
      </c>
      <c r="X27" s="298">
        <v>85420.405517578125</v>
      </c>
      <c r="Y27" s="298">
        <v>79923.9951171875</v>
      </c>
      <c r="Z27" s="298">
        <v>75735.496679687494</v>
      </c>
      <c r="AA27" s="298">
        <v>70427.86</v>
      </c>
      <c r="AB27" s="298">
        <v>68013.01999999999</v>
      </c>
      <c r="AC27" s="298">
        <v>59814.5</v>
      </c>
      <c r="AD27" s="298">
        <v>52355.069999999985</v>
      </c>
      <c r="AE27" s="298">
        <v>60797.593548387093</v>
      </c>
      <c r="AF27" s="298">
        <v>61138.324000000008</v>
      </c>
      <c r="AG27" s="298">
        <v>71299.335483870964</v>
      </c>
      <c r="AH27" s="298">
        <v>67250.017741935473</v>
      </c>
      <c r="AI27" s="298">
        <v>89391.967999999979</v>
      </c>
      <c r="AJ27" s="298">
        <v>66779.709677419349</v>
      </c>
      <c r="AK27" s="298">
        <v>75368.287333333312</v>
      </c>
      <c r="AL27" s="298">
        <v>55990.34516129033</v>
      </c>
      <c r="AM27" s="298">
        <v>64956.851612903229</v>
      </c>
      <c r="AN27" s="298">
        <v>57135.737857142856</v>
      </c>
      <c r="AO27" s="298">
        <v>52258.561290322592</v>
      </c>
      <c r="AP27" s="298">
        <v>50609.900999999983</v>
      </c>
      <c r="AQ27" s="298">
        <v>55949.925461662053</v>
      </c>
      <c r="AR27" s="298">
        <v>42390.950651041669</v>
      </c>
      <c r="AS27" s="298">
        <v>29194.664516129033</v>
      </c>
      <c r="AT27" s="298">
        <v>27071.649677419347</v>
      </c>
      <c r="AU27" s="298">
        <v>32533.813333333332</v>
      </c>
      <c r="AV27" s="298">
        <v>35418.987096774195</v>
      </c>
      <c r="AW27" s="298">
        <v>52141.121999999996</v>
      </c>
      <c r="AX27" s="298">
        <v>56641.596774193546</v>
      </c>
    </row>
    <row r="28" spans="1:50" x14ac:dyDescent="0.3">
      <c r="A28" s="297" t="s">
        <v>3733</v>
      </c>
      <c r="B28" s="297" t="s">
        <v>509</v>
      </c>
      <c r="C28" s="298">
        <v>24083.409109115601</v>
      </c>
      <c r="D28" s="298">
        <v>40042.771034482757</v>
      </c>
      <c r="E28" s="298">
        <v>19675.913793103449</v>
      </c>
      <c r="F28" s="298">
        <v>24825.041379310351</v>
      </c>
      <c r="G28" s="298">
        <v>23119.390000000003</v>
      </c>
      <c r="H28" s="298">
        <v>24523.399999999994</v>
      </c>
      <c r="I28" s="298">
        <v>29287.789999999997</v>
      </c>
      <c r="J28" s="298">
        <v>38927.030000000006</v>
      </c>
      <c r="K28" s="298">
        <v>34640.629999999997</v>
      </c>
      <c r="L28" s="298">
        <v>29550.139999999989</v>
      </c>
      <c r="M28" s="298">
        <v>30932.409999999993</v>
      </c>
      <c r="N28" s="298">
        <v>30991.669999999995</v>
      </c>
      <c r="O28" s="298">
        <v>29391.719999999994</v>
      </c>
      <c r="P28" s="298">
        <v>27495.479999999996</v>
      </c>
      <c r="Q28" s="298">
        <v>27455.959999999992</v>
      </c>
      <c r="R28" s="298">
        <v>25652.542758620693</v>
      </c>
      <c r="S28" s="298">
        <v>26916.120000000014</v>
      </c>
      <c r="T28" s="298">
        <v>38105.009999999995</v>
      </c>
      <c r="U28" s="298">
        <v>38105.009999999995</v>
      </c>
      <c r="V28" s="298">
        <v>37717.990000000005</v>
      </c>
      <c r="W28" s="298">
        <v>50028.04</v>
      </c>
      <c r="X28" s="298">
        <v>51611.9375</v>
      </c>
      <c r="Y28" s="298">
        <v>47576.96875</v>
      </c>
      <c r="Z28" s="298">
        <v>48877</v>
      </c>
      <c r="AA28" s="298">
        <v>45634</v>
      </c>
      <c r="AB28" s="298">
        <v>53352</v>
      </c>
      <c r="AC28" s="298">
        <v>40219</v>
      </c>
      <c r="AD28" s="298">
        <v>26515</v>
      </c>
      <c r="AE28" s="298">
        <v>27634.672131147541</v>
      </c>
      <c r="AF28" s="298">
        <v>28555.827868852459</v>
      </c>
      <c r="AG28" s="298">
        <v>27634.672131147541</v>
      </c>
      <c r="AH28" s="298">
        <v>26713.516393442624</v>
      </c>
      <c r="AI28" s="298">
        <v>29476.983606557376</v>
      </c>
      <c r="AJ28" s="298">
        <v>27634.672131147541</v>
      </c>
      <c r="AK28" s="298">
        <v>31319.295081967211</v>
      </c>
      <c r="AL28" s="298">
        <v>27634.672131147541</v>
      </c>
      <c r="AM28" s="298">
        <v>14482.58064516129</v>
      </c>
      <c r="AN28" s="298">
        <v>13124.838709677419</v>
      </c>
      <c r="AO28" s="298">
        <v>21850.106129032258</v>
      </c>
      <c r="AP28" s="298">
        <v>17137.984999999997</v>
      </c>
      <c r="AQ28" s="298">
        <v>18566.492258064518</v>
      </c>
      <c r="AR28" s="298">
        <v>31839.978666666666</v>
      </c>
      <c r="AS28" s="298">
        <v>38249.032258064515</v>
      </c>
      <c r="AT28" s="298">
        <v>42816.142580645159</v>
      </c>
      <c r="AU28" s="298">
        <v>63721.599999999999</v>
      </c>
      <c r="AV28" s="298">
        <v>37796.138709677412</v>
      </c>
      <c r="AW28" s="298">
        <v>42463.3</v>
      </c>
      <c r="AX28" s="298">
        <v>19358.709677419352</v>
      </c>
    </row>
    <row r="29" spans="1:50" x14ac:dyDescent="0.3">
      <c r="A29" s="297" t="s">
        <v>3734</v>
      </c>
      <c r="B29" s="297" t="s">
        <v>3735</v>
      </c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>
        <v>17793.442622950821</v>
      </c>
      <c r="AF29" s="298">
        <v>18386.557377049179</v>
      </c>
      <c r="AG29" s="298">
        <v>17793.442622950821</v>
      </c>
      <c r="AH29" s="298">
        <v>17200.327868852459</v>
      </c>
      <c r="AI29" s="298">
        <v>18979.672131147541</v>
      </c>
      <c r="AJ29" s="298">
        <v>17793.442622950821</v>
      </c>
      <c r="AK29" s="298">
        <v>20165.901639344262</v>
      </c>
      <c r="AL29" s="298">
        <v>17793.442622950821</v>
      </c>
      <c r="AM29" s="298">
        <v>12097.6</v>
      </c>
      <c r="AN29" s="298">
        <v>11355.001785714287</v>
      </c>
      <c r="AO29" s="298">
        <v>9693.4838709677424</v>
      </c>
      <c r="AP29" s="298">
        <v>11500.365666666668</v>
      </c>
      <c r="AQ29" s="298">
        <v>12112.589032258065</v>
      </c>
      <c r="AR29" s="298">
        <v>20271.989333333331</v>
      </c>
      <c r="AS29" s="298">
        <v>24565.161290322583</v>
      </c>
      <c r="AT29" s="298">
        <v>31221.764838709674</v>
      </c>
      <c r="AU29" s="298">
        <v>51402.666666666664</v>
      </c>
      <c r="AV29" s="298">
        <v>30707.419354838712</v>
      </c>
      <c r="AW29" s="298">
        <v>34809.5</v>
      </c>
      <c r="AX29" s="298">
        <v>16450.645161290322</v>
      </c>
    </row>
    <row r="30" spans="1:50" x14ac:dyDescent="0.3">
      <c r="A30" s="297" t="s">
        <v>3650</v>
      </c>
      <c r="B30" s="297" t="s">
        <v>582</v>
      </c>
      <c r="C30" s="298">
        <v>0</v>
      </c>
      <c r="D30" s="298">
        <v>0</v>
      </c>
      <c r="E30" s="298">
        <v>0</v>
      </c>
      <c r="F30" s="298">
        <v>0</v>
      </c>
      <c r="G30" s="298">
        <v>0</v>
      </c>
      <c r="H30" s="298">
        <v>0</v>
      </c>
      <c r="I30" s="298">
        <v>0</v>
      </c>
      <c r="J30" s="298">
        <v>0</v>
      </c>
      <c r="K30" s="298">
        <v>0</v>
      </c>
      <c r="L30" s="298">
        <v>0</v>
      </c>
      <c r="M30" s="298">
        <v>0</v>
      </c>
      <c r="N30" s="298">
        <v>0</v>
      </c>
      <c r="O30" s="298">
        <v>0</v>
      </c>
      <c r="P30" s="298">
        <v>0</v>
      </c>
      <c r="Q30" s="298">
        <v>0</v>
      </c>
      <c r="R30" s="298">
        <v>0</v>
      </c>
      <c r="S30" s="298">
        <v>0</v>
      </c>
      <c r="T30" s="298">
        <v>0</v>
      </c>
      <c r="U30" s="298">
        <v>0</v>
      </c>
      <c r="V30" s="298">
        <v>0</v>
      </c>
      <c r="W30" s="298">
        <v>20760.22</v>
      </c>
      <c r="X30" s="298">
        <v>13741.630000000001</v>
      </c>
      <c r="Y30" s="298">
        <v>8765.52</v>
      </c>
      <c r="Z30" s="298">
        <v>5709.2300000000005</v>
      </c>
      <c r="AA30" s="298">
        <v>4327.7300000000005</v>
      </c>
      <c r="AB30" s="298">
        <v>6358.7600000000011</v>
      </c>
      <c r="AC30" s="298">
        <v>3343.49</v>
      </c>
      <c r="AD30" s="298">
        <v>4458.42</v>
      </c>
      <c r="AE30" s="298">
        <v>3990.8612903225808</v>
      </c>
      <c r="AF30" s="298">
        <v>9221.8076666666675</v>
      </c>
      <c r="AG30" s="298">
        <v>11755.722580645162</v>
      </c>
      <c r="AH30" s="298">
        <v>14750.653548387098</v>
      </c>
      <c r="AI30" s="298">
        <v>17819.573333333337</v>
      </c>
      <c r="AJ30" s="298">
        <v>12653.922580645163</v>
      </c>
      <c r="AK30" s="298">
        <v>9036.4406666666637</v>
      </c>
      <c r="AL30" s="298">
        <v>9442.5967741935474</v>
      </c>
      <c r="AM30" s="298">
        <v>9004.851612903225</v>
      </c>
      <c r="AN30" s="298">
        <v>7666.2535714285705</v>
      </c>
      <c r="AO30" s="298">
        <v>5730.3532258064506</v>
      </c>
      <c r="AP30" s="298">
        <v>6911.3379999999997</v>
      </c>
      <c r="AQ30" s="298">
        <v>4737.3370967741939</v>
      </c>
      <c r="AR30" s="298">
        <v>7826.1013333333331</v>
      </c>
      <c r="AS30" s="298">
        <v>12887.806451612902</v>
      </c>
      <c r="AT30" s="298">
        <v>10400.915483870966</v>
      </c>
      <c r="AU30" s="298">
        <v>11244.671999999997</v>
      </c>
      <c r="AV30" s="298">
        <v>4590.9096774193558</v>
      </c>
      <c r="AW30" s="298">
        <v>4722.4320000000007</v>
      </c>
      <c r="AX30" s="298">
        <v>1799.3999999999999</v>
      </c>
    </row>
    <row r="31" spans="1:50" x14ac:dyDescent="0.3">
      <c r="A31" s="297" t="s">
        <v>3736</v>
      </c>
      <c r="B31" s="297" t="s">
        <v>574</v>
      </c>
      <c r="C31" s="298">
        <v>14495.404156875609</v>
      </c>
      <c r="D31" s="298">
        <v>13020</v>
      </c>
      <c r="E31" s="298">
        <v>12031.206896551725</v>
      </c>
      <c r="F31" s="298">
        <v>18241.03448275862</v>
      </c>
      <c r="G31" s="298">
        <v>14798.67</v>
      </c>
      <c r="H31" s="298">
        <v>21263</v>
      </c>
      <c r="I31" s="298">
        <v>35831</v>
      </c>
      <c r="J31" s="298">
        <v>44586.69</v>
      </c>
      <c r="K31" s="298">
        <v>41754</v>
      </c>
      <c r="L31" s="298">
        <v>35286</v>
      </c>
      <c r="M31" s="298">
        <v>28136</v>
      </c>
      <c r="N31" s="298">
        <v>9510</v>
      </c>
      <c r="O31" s="298">
        <v>11680</v>
      </c>
      <c r="P31" s="298">
        <v>5994</v>
      </c>
      <c r="Q31" s="298">
        <v>13693</v>
      </c>
      <c r="R31" s="298">
        <v>18849.068965517243</v>
      </c>
      <c r="S31" s="298">
        <v>16435</v>
      </c>
      <c r="T31" s="298">
        <v>25326</v>
      </c>
      <c r="U31" s="298">
        <v>25326</v>
      </c>
      <c r="V31" s="298">
        <v>38005</v>
      </c>
      <c r="W31" s="298">
        <v>51519</v>
      </c>
      <c r="X31" s="298">
        <v>37216</v>
      </c>
      <c r="Y31" s="298">
        <v>28901</v>
      </c>
      <c r="Z31" s="298">
        <v>19169</v>
      </c>
      <c r="AA31" s="298">
        <v>19579</v>
      </c>
      <c r="AB31" s="298">
        <v>23348</v>
      </c>
      <c r="AC31" s="298">
        <v>16284</v>
      </c>
      <c r="AD31" s="298">
        <v>11795.01</v>
      </c>
      <c r="AE31" s="298">
        <v>14549.032258064515</v>
      </c>
      <c r="AF31" s="298">
        <v>5887.9333333333334</v>
      </c>
      <c r="AG31" s="298">
        <v>7929.6774193548381</v>
      </c>
      <c r="AH31" s="298">
        <v>24442.322580645163</v>
      </c>
      <c r="AI31" s="298">
        <v>30729.599999999999</v>
      </c>
      <c r="AJ31" s="298">
        <v>17067.096774193549</v>
      </c>
      <c r="AK31" s="298">
        <v>11162.2</v>
      </c>
      <c r="AL31" s="298">
        <v>5992.2580645161288</v>
      </c>
      <c r="AM31" s="298">
        <v>6968.7741935483873</v>
      </c>
      <c r="AN31" s="298">
        <v>6677.25</v>
      </c>
      <c r="AO31" s="298">
        <v>5005.7741935483873</v>
      </c>
      <c r="AP31" s="298">
        <v>7648.2666666666673</v>
      </c>
      <c r="AQ31" s="298">
        <v>12760.935483870968</v>
      </c>
      <c r="AR31" s="298">
        <v>26176</v>
      </c>
      <c r="AS31" s="298">
        <v>37287.096774193553</v>
      </c>
      <c r="AT31" s="298">
        <v>37693.451612903227</v>
      </c>
      <c r="AU31" s="298">
        <v>48086.400000000001</v>
      </c>
      <c r="AV31" s="298">
        <v>27265.161290322583</v>
      </c>
      <c r="AW31" s="298">
        <v>37582.6</v>
      </c>
      <c r="AX31" s="298">
        <v>9737.4193548387084</v>
      </c>
    </row>
    <row r="32" spans="1:50" x14ac:dyDescent="0.3">
      <c r="A32" s="297" t="s">
        <v>3737</v>
      </c>
      <c r="B32" s="297" t="s">
        <v>222</v>
      </c>
      <c r="C32" s="298">
        <v>775</v>
      </c>
      <c r="D32" s="298">
        <v>672</v>
      </c>
      <c r="E32" s="298">
        <v>1271</v>
      </c>
      <c r="F32" s="298">
        <v>2100</v>
      </c>
      <c r="G32" s="298">
        <v>2528</v>
      </c>
      <c r="H32" s="298">
        <v>2494</v>
      </c>
      <c r="I32" s="298">
        <v>4170</v>
      </c>
      <c r="J32" s="298">
        <v>9889</v>
      </c>
      <c r="K32" s="298">
        <v>3300</v>
      </c>
      <c r="L32" s="298">
        <v>2430</v>
      </c>
      <c r="M32" s="298">
        <v>1353</v>
      </c>
      <c r="N32" s="298">
        <v>640</v>
      </c>
      <c r="O32" s="298">
        <v>750</v>
      </c>
      <c r="P32" s="298">
        <v>696</v>
      </c>
      <c r="Q32" s="298">
        <v>1189</v>
      </c>
      <c r="R32" s="298">
        <v>2170</v>
      </c>
      <c r="S32" s="298">
        <v>2370</v>
      </c>
      <c r="T32" s="298">
        <v>2494</v>
      </c>
      <c r="U32" s="298">
        <v>4448</v>
      </c>
      <c r="V32" s="298">
        <v>9251</v>
      </c>
      <c r="W32" s="298">
        <v>3300</v>
      </c>
      <c r="X32" s="298">
        <v>2592</v>
      </c>
      <c r="Y32" s="298">
        <v>1230</v>
      </c>
      <c r="Z32" s="298">
        <v>680</v>
      </c>
      <c r="AA32" s="298">
        <v>750</v>
      </c>
      <c r="AB32" s="298">
        <v>768</v>
      </c>
      <c r="AC32" s="298">
        <v>1189</v>
      </c>
      <c r="AD32" s="298">
        <v>2030</v>
      </c>
      <c r="AE32" s="298">
        <v>2370</v>
      </c>
      <c r="AF32" s="298">
        <v>2666</v>
      </c>
      <c r="AG32" s="298">
        <v>4170</v>
      </c>
      <c r="AH32" s="298">
        <v>9251</v>
      </c>
      <c r="AI32" s="298">
        <v>3520</v>
      </c>
      <c r="AJ32" s="298">
        <v>2430</v>
      </c>
      <c r="AK32" s="298">
        <v>2516</v>
      </c>
      <c r="AL32" s="298">
        <v>1830</v>
      </c>
      <c r="AM32" s="298">
        <v>1280</v>
      </c>
      <c r="AN32" s="298">
        <v>1450</v>
      </c>
      <c r="AO32" s="298">
        <v>1566</v>
      </c>
      <c r="AP32" s="298">
        <v>1798</v>
      </c>
      <c r="AQ32" s="298">
        <v>2291</v>
      </c>
      <c r="AR32" s="298">
        <v>2752</v>
      </c>
      <c r="AS32" s="298">
        <v>4170</v>
      </c>
      <c r="AT32" s="298">
        <v>9251</v>
      </c>
      <c r="AU32" s="298">
        <v>3520</v>
      </c>
      <c r="AV32" s="298">
        <v>2430</v>
      </c>
      <c r="AW32" s="298">
        <v>2442</v>
      </c>
      <c r="AX32" s="298">
        <v>1830</v>
      </c>
    </row>
    <row r="33" spans="1:50" x14ac:dyDescent="0.3">
      <c r="A33" s="297" t="s">
        <v>3738</v>
      </c>
      <c r="B33" s="297" t="s">
        <v>3025</v>
      </c>
      <c r="C33" s="298">
        <v>24954.471088752744</v>
      </c>
      <c r="D33" s="298">
        <v>19175.819310344821</v>
      </c>
      <c r="E33" s="298">
        <v>13251.912068965521</v>
      </c>
      <c r="F33" s="298">
        <v>19055.441379310338</v>
      </c>
      <c r="G33" s="298">
        <v>18329.990000000005</v>
      </c>
      <c r="H33" s="298">
        <v>25777.79</v>
      </c>
      <c r="I33" s="298">
        <v>34466.239999999998</v>
      </c>
      <c r="J33" s="298">
        <v>37012.090000000011</v>
      </c>
      <c r="K33" s="298">
        <v>38937.830000000009</v>
      </c>
      <c r="L33" s="298">
        <v>33923.24</v>
      </c>
      <c r="M33" s="298">
        <v>28802.599999999995</v>
      </c>
      <c r="N33" s="298">
        <v>18154.88</v>
      </c>
      <c r="O33" s="298">
        <v>16424.780000000002</v>
      </c>
      <c r="P33" s="298">
        <v>10893.54</v>
      </c>
      <c r="Q33" s="298">
        <v>18991.270000000004</v>
      </c>
      <c r="R33" s="298">
        <v>19690.622758620684</v>
      </c>
      <c r="S33" s="298">
        <v>25025.539999999997</v>
      </c>
      <c r="T33" s="298">
        <v>29174.93</v>
      </c>
      <c r="U33" s="298">
        <v>29174.93</v>
      </c>
      <c r="V33" s="298">
        <v>35218.61</v>
      </c>
      <c r="W33" s="298">
        <v>43542.016313476553</v>
      </c>
      <c r="X33" s="298">
        <v>32226.602294921875</v>
      </c>
      <c r="Y33" s="298">
        <v>18848.178359985352</v>
      </c>
      <c r="Z33" s="298">
        <v>10112.706369628902</v>
      </c>
      <c r="AA33" s="298">
        <v>7709.0000000000009</v>
      </c>
      <c r="AB33" s="298">
        <v>10647.859999999999</v>
      </c>
      <c r="AC33" s="298">
        <v>4321.4000000000005</v>
      </c>
      <c r="AD33" s="298">
        <v>646.81999999999994</v>
      </c>
      <c r="AE33" s="298">
        <v>1681.9064516129033</v>
      </c>
      <c r="AF33" s="298">
        <v>7766.8123333333333</v>
      </c>
      <c r="AG33" s="298">
        <v>4704.5225806451608</v>
      </c>
      <c r="AH33" s="298">
        <v>10283.596451612904</v>
      </c>
      <c r="AI33" s="298">
        <v>15255.253333333336</v>
      </c>
      <c r="AJ33" s="298">
        <v>6726.648387096775</v>
      </c>
      <c r="AK33" s="298">
        <v>3345.2146666666672</v>
      </c>
      <c r="AL33" s="298">
        <v>887.06129032258082</v>
      </c>
      <c r="AM33" s="298">
        <v>213.04774193548386</v>
      </c>
      <c r="AN33" s="298">
        <v>230.27035714285714</v>
      </c>
      <c r="AO33" s="298">
        <v>201.48451612903222</v>
      </c>
      <c r="AP33" s="298">
        <v>920.64366666666672</v>
      </c>
      <c r="AQ33" s="298">
        <v>7102.558387096773</v>
      </c>
      <c r="AR33" s="298">
        <v>11689.354666666664</v>
      </c>
      <c r="AS33" s="298">
        <v>20336.129032258064</v>
      </c>
      <c r="AT33" s="298">
        <v>24087.661935483873</v>
      </c>
      <c r="AU33" s="298">
        <v>33214.655999999995</v>
      </c>
      <c r="AV33" s="298">
        <v>18899.796774193554</v>
      </c>
      <c r="AW33" s="298">
        <v>19920.34</v>
      </c>
      <c r="AX33" s="298">
        <v>9756.0870967741921</v>
      </c>
    </row>
    <row r="34" spans="1:50" x14ac:dyDescent="0.3">
      <c r="A34" s="297" t="s">
        <v>3739</v>
      </c>
      <c r="B34" s="297" t="s">
        <v>554</v>
      </c>
      <c r="C34" s="298">
        <v>33328.713008136743</v>
      </c>
      <c r="D34" s="298">
        <v>24925.078620689645</v>
      </c>
      <c r="E34" s="298">
        <v>27157.913448275856</v>
      </c>
      <c r="F34" s="298">
        <v>42108.031034482752</v>
      </c>
      <c r="G34" s="298">
        <v>43350.84</v>
      </c>
      <c r="H34" s="298">
        <v>58349.69999999999</v>
      </c>
      <c r="I34" s="298">
        <v>90499.81</v>
      </c>
      <c r="J34" s="298">
        <v>125229.20000000001</v>
      </c>
      <c r="K34" s="298">
        <v>177372.19</v>
      </c>
      <c r="L34" s="298">
        <v>171081.7</v>
      </c>
      <c r="M34" s="298">
        <v>4151.66</v>
      </c>
      <c r="N34" s="298">
        <v>34912.289999999994</v>
      </c>
      <c r="O34" s="298">
        <v>44574.61</v>
      </c>
      <c r="P34" s="298">
        <v>28084.179999999997</v>
      </c>
      <c r="Q34" s="298">
        <v>44053.07</v>
      </c>
      <c r="R34" s="298">
        <v>43511.632068965511</v>
      </c>
      <c r="S34" s="298">
        <v>48629.939999999995</v>
      </c>
      <c r="T34" s="298">
        <v>71716.36</v>
      </c>
      <c r="U34" s="298">
        <v>71716.36</v>
      </c>
      <c r="V34" s="298">
        <v>97909.610000000015</v>
      </c>
      <c r="W34" s="298">
        <v>123775.90774414066</v>
      </c>
      <c r="X34" s="298">
        <v>73242.607482910156</v>
      </c>
      <c r="Y34" s="298">
        <v>53593.992309570313</v>
      </c>
      <c r="Z34" s="298">
        <v>35329.772500000006</v>
      </c>
      <c r="AA34" s="298">
        <v>32719.739999999991</v>
      </c>
      <c r="AB34" s="298">
        <v>41837.159999999996</v>
      </c>
      <c r="AC34" s="298">
        <v>22439.420000000006</v>
      </c>
      <c r="AD34" s="298">
        <v>15639.039999999999</v>
      </c>
      <c r="AE34" s="298">
        <v>130754.06129032258</v>
      </c>
      <c r="AF34" s="298">
        <v>161904.09266666669</v>
      </c>
      <c r="AG34" s="298">
        <v>96807.9</v>
      </c>
      <c r="AH34" s="298">
        <v>93442.967419354871</v>
      </c>
      <c r="AI34" s="298">
        <v>117198.52799999999</v>
      </c>
      <c r="AJ34" s="298">
        <v>90916.577419354842</v>
      </c>
      <c r="AK34" s="298">
        <v>16776.688000000002</v>
      </c>
      <c r="AL34" s="298">
        <v>19638.416129032263</v>
      </c>
      <c r="AM34" s="298">
        <v>28545.754838709679</v>
      </c>
      <c r="AN34" s="298">
        <v>28806.248928571425</v>
      </c>
      <c r="AO34" s="298">
        <v>15076.641612903226</v>
      </c>
      <c r="AP34" s="298">
        <v>25049.523333333334</v>
      </c>
      <c r="AQ34" s="298">
        <v>30094.282258064515</v>
      </c>
      <c r="AR34" s="298">
        <v>60826.97600000001</v>
      </c>
      <c r="AS34" s="298">
        <v>81769.180645161279</v>
      </c>
      <c r="AT34" s="298">
        <v>93937.810322580626</v>
      </c>
      <c r="AU34" s="298">
        <v>139617.13066666669</v>
      </c>
      <c r="AV34" s="298">
        <v>139202.70967741933</v>
      </c>
      <c r="AW34" s="298">
        <v>123393.21500000003</v>
      </c>
      <c r="AX34" s="298">
        <v>89891.53548387099</v>
      </c>
    </row>
    <row r="35" spans="1:50" x14ac:dyDescent="0.3">
      <c r="A35" s="297" t="s">
        <v>458</v>
      </c>
      <c r="B35" s="297" t="s">
        <v>459</v>
      </c>
      <c r="C35" s="298">
        <v>27098.404799938202</v>
      </c>
      <c r="D35" s="298">
        <v>24362.104827586209</v>
      </c>
      <c r="E35" s="298">
        <v>28242.186551724131</v>
      </c>
      <c r="F35" s="298">
        <v>36868.468965517233</v>
      </c>
      <c r="G35" s="298">
        <v>35484.470000000008</v>
      </c>
      <c r="H35" s="298">
        <v>28980.75</v>
      </c>
      <c r="I35" s="298">
        <v>65205.81</v>
      </c>
      <c r="J35" s="298">
        <v>57734.8</v>
      </c>
      <c r="K35" s="298">
        <v>63402.510000000009</v>
      </c>
      <c r="L35" s="298">
        <v>52644.19</v>
      </c>
      <c r="M35" s="298">
        <v>5231.3900000000031</v>
      </c>
      <c r="N35" s="298">
        <v>22271.75</v>
      </c>
      <c r="O35" s="298">
        <v>9555.4399999999987</v>
      </c>
      <c r="P35" s="298">
        <v>25519.89</v>
      </c>
      <c r="Q35" s="298">
        <v>35061.489999999991</v>
      </c>
      <c r="R35" s="298">
        <v>38097.41793103447</v>
      </c>
      <c r="S35" s="298">
        <v>40795.53</v>
      </c>
      <c r="T35" s="298">
        <v>48502.709999999992</v>
      </c>
      <c r="U35" s="298">
        <v>48502.709999999992</v>
      </c>
      <c r="V35" s="298">
        <v>56300.19</v>
      </c>
      <c r="W35" s="298">
        <v>66202.719521484367</v>
      </c>
      <c r="X35" s="298">
        <v>52809.345520019531</v>
      </c>
      <c r="Y35" s="298">
        <v>45879.230773925781</v>
      </c>
      <c r="Z35" s="298">
        <v>36261.727368164065</v>
      </c>
      <c r="AA35" s="298">
        <v>15345.160000000002</v>
      </c>
      <c r="AB35" s="298">
        <v>540.65000000000009</v>
      </c>
      <c r="AC35" s="298">
        <v>343.24</v>
      </c>
      <c r="AD35" s="298">
        <v>28206.230000000003</v>
      </c>
      <c r="AE35" s="298">
        <v>37161.116129032256</v>
      </c>
      <c r="AF35" s="298">
        <v>41127.762000000002</v>
      </c>
      <c r="AG35" s="298">
        <v>52497.358064516127</v>
      </c>
      <c r="AH35" s="298">
        <v>60958.467741935485</v>
      </c>
      <c r="AI35" s="298">
        <v>63399.797333333328</v>
      </c>
      <c r="AJ35" s="298">
        <v>50878.993548387101</v>
      </c>
      <c r="AK35" s="298">
        <v>68540.31666666668</v>
      </c>
      <c r="AL35" s="298">
        <v>39907.480645161289</v>
      </c>
      <c r="AM35" s="298">
        <v>28920.578064516125</v>
      </c>
      <c r="AN35" s="298">
        <v>26810.800357142864</v>
      </c>
      <c r="AO35" s="298">
        <v>18505.704516129033</v>
      </c>
      <c r="AP35" s="298">
        <v>27910.866333333335</v>
      </c>
      <c r="AQ35" s="298">
        <v>29210.072258064512</v>
      </c>
      <c r="AR35" s="298">
        <v>29630.613333333331</v>
      </c>
      <c r="AS35" s="298">
        <v>30792.193548387098</v>
      </c>
      <c r="AT35" s="298">
        <v>21624.5235483871</v>
      </c>
      <c r="AU35" s="298">
        <v>74877.834666666662</v>
      </c>
      <c r="AV35" s="298">
        <v>43020.832258064518</v>
      </c>
      <c r="AW35" s="298">
        <v>50851.911</v>
      </c>
      <c r="AX35" s="298">
        <v>18618.677419354837</v>
      </c>
    </row>
    <row r="36" spans="1:50" x14ac:dyDescent="0.3">
      <c r="A36" s="297" t="s">
        <v>3740</v>
      </c>
      <c r="B36" s="297" t="s">
        <v>578</v>
      </c>
      <c r="C36" s="298">
        <v>5659.8499466133107</v>
      </c>
      <c r="D36" s="298">
        <v>9184</v>
      </c>
      <c r="E36" s="298">
        <v>5626.6817241379313</v>
      </c>
      <c r="F36" s="298">
        <v>8144.4931034482761</v>
      </c>
      <c r="G36" s="298">
        <v>10046</v>
      </c>
      <c r="H36" s="298">
        <v>18256</v>
      </c>
      <c r="I36" s="298">
        <v>22405</v>
      </c>
      <c r="J36" s="298">
        <v>22898</v>
      </c>
      <c r="K36" s="298">
        <v>21270</v>
      </c>
      <c r="L36" s="298">
        <v>16272.999999999998</v>
      </c>
      <c r="M36" s="298">
        <v>10462</v>
      </c>
      <c r="N36" s="298">
        <v>4292</v>
      </c>
      <c r="O36" s="298">
        <v>5256</v>
      </c>
      <c r="P36" s="298">
        <v>2381</v>
      </c>
      <c r="Q36" s="298">
        <v>5286</v>
      </c>
      <c r="R36" s="298">
        <v>8415.976206896552</v>
      </c>
      <c r="S36" s="298">
        <v>7823</v>
      </c>
      <c r="T36" s="298">
        <v>14118</v>
      </c>
      <c r="U36" s="298">
        <v>14118</v>
      </c>
      <c r="V36" s="298">
        <v>20917</v>
      </c>
      <c r="W36" s="298">
        <v>25143</v>
      </c>
      <c r="X36" s="298">
        <v>14633</v>
      </c>
      <c r="Y36" s="298">
        <v>8992</v>
      </c>
      <c r="Z36" s="298">
        <v>4083.3366870117188</v>
      </c>
      <c r="AA36" s="298">
        <v>2308.67</v>
      </c>
      <c r="AB36" s="298">
        <v>3966.68</v>
      </c>
      <c r="AC36" s="298">
        <v>3780</v>
      </c>
      <c r="AD36" s="298">
        <v>6047</v>
      </c>
      <c r="AE36" s="298">
        <v>11017.741935483871</v>
      </c>
      <c r="AF36" s="298">
        <v>12247.066666666666</v>
      </c>
      <c r="AG36" s="298">
        <v>13488.387096774193</v>
      </c>
      <c r="AH36" s="298">
        <v>17022.064516129034</v>
      </c>
      <c r="AI36" s="298">
        <v>21093.333333333332</v>
      </c>
      <c r="AJ36" s="298">
        <v>16303.548387096776</v>
      </c>
      <c r="AK36" s="298">
        <v>5251.8666666666668</v>
      </c>
      <c r="AL36" s="298">
        <v>1805.8064516129032</v>
      </c>
      <c r="AM36" s="298">
        <v>2604.3870967741937</v>
      </c>
      <c r="AN36" s="298">
        <v>3033.6071428571431</v>
      </c>
      <c r="AO36" s="298">
        <v>2392.9677419354839</v>
      </c>
      <c r="AP36" s="298">
        <v>5538.0333333333338</v>
      </c>
      <c r="AQ36" s="298">
        <v>9913.322580645161</v>
      </c>
      <c r="AR36" s="298">
        <v>16184.533333333333</v>
      </c>
      <c r="AS36" s="298">
        <v>18411.290322580648</v>
      </c>
      <c r="AT36" s="298">
        <v>17400</v>
      </c>
      <c r="AU36" s="298">
        <v>23861.333333333332</v>
      </c>
      <c r="AV36" s="298">
        <v>14337.096774193547</v>
      </c>
      <c r="AW36" s="298">
        <v>15057.9</v>
      </c>
      <c r="AX36" s="298">
        <v>2425.161290322581</v>
      </c>
    </row>
    <row r="37" spans="1:50" x14ac:dyDescent="0.3">
      <c r="A37" s="297" t="s">
        <v>3741</v>
      </c>
      <c r="B37" s="297" t="s">
        <v>33</v>
      </c>
      <c r="C37" s="298">
        <v>33204.211504402163</v>
      </c>
      <c r="D37" s="298">
        <v>32709.397241379302</v>
      </c>
      <c r="E37" s="298">
        <v>31725.74206896553</v>
      </c>
      <c r="F37" s="298">
        <v>44063.637931034478</v>
      </c>
      <c r="G37" s="298">
        <v>42067.23</v>
      </c>
      <c r="H37" s="298">
        <v>57364.310000000005</v>
      </c>
      <c r="I37" s="298">
        <v>72043.06</v>
      </c>
      <c r="J37" s="298">
        <v>77823.5</v>
      </c>
      <c r="K37" s="298">
        <v>68451.499999999985</v>
      </c>
      <c r="L37" s="298">
        <v>58325.150000000009</v>
      </c>
      <c r="M37" s="298">
        <v>51914.910000000011</v>
      </c>
      <c r="N37" s="298">
        <v>23753.680000000008</v>
      </c>
      <c r="O37" s="298">
        <v>24001.7</v>
      </c>
      <c r="P37" s="298">
        <v>11946.849999999999</v>
      </c>
      <c r="Q37" s="298">
        <v>26807.300000000003</v>
      </c>
      <c r="R37" s="298">
        <v>45532.425862068965</v>
      </c>
      <c r="S37" s="298">
        <v>36605.649999999994</v>
      </c>
      <c r="T37" s="298">
        <v>42276.85</v>
      </c>
      <c r="U37" s="298">
        <v>42276.85</v>
      </c>
      <c r="V37" s="298">
        <v>46426.499999999985</v>
      </c>
      <c r="W37" s="298">
        <v>65489.890908203117</v>
      </c>
      <c r="X37" s="298">
        <v>49394.934448242188</v>
      </c>
      <c r="Y37" s="298">
        <v>47269.139038085938</v>
      </c>
      <c r="Z37" s="298">
        <v>83680.347250976556</v>
      </c>
      <c r="AA37" s="298">
        <v>63247.229999999996</v>
      </c>
      <c r="AB37" s="298">
        <v>29352.160000000003</v>
      </c>
      <c r="AC37" s="298">
        <v>18707.300000000003</v>
      </c>
      <c r="AD37" s="298">
        <v>30614.53</v>
      </c>
      <c r="AE37" s="298">
        <v>37866.948387096774</v>
      </c>
      <c r="AF37" s="298">
        <v>42785.507666666665</v>
      </c>
      <c r="AG37" s="298">
        <v>37445.15806451613</v>
      </c>
      <c r="AH37" s="298">
        <v>41661.680645161301</v>
      </c>
      <c r="AI37" s="298">
        <v>44396.831999999988</v>
      </c>
      <c r="AJ37" s="298">
        <v>33721.548387096766</v>
      </c>
      <c r="AK37" s="298">
        <v>27331.783999999996</v>
      </c>
      <c r="AL37" s="298">
        <v>17697.077419354835</v>
      </c>
      <c r="AM37" s="298">
        <v>18288.598709677419</v>
      </c>
      <c r="AN37" s="298">
        <v>20320.558928571427</v>
      </c>
      <c r="AO37" s="298">
        <v>23186.865806451613</v>
      </c>
      <c r="AP37" s="298">
        <v>23707.519333333323</v>
      </c>
      <c r="AQ37" s="298">
        <v>21721.645483870969</v>
      </c>
      <c r="AR37" s="298">
        <v>38142.528000000013</v>
      </c>
      <c r="AS37" s="298">
        <v>57349.703225806457</v>
      </c>
      <c r="AT37" s="298">
        <v>45287.887419354833</v>
      </c>
      <c r="AU37" s="298">
        <v>49354.026666666665</v>
      </c>
      <c r="AV37" s="298">
        <v>60615.793548387104</v>
      </c>
      <c r="AW37" s="298">
        <v>47735.6</v>
      </c>
      <c r="AX37" s="298">
        <v>19678.509677419355</v>
      </c>
    </row>
    <row r="38" spans="1:50" x14ac:dyDescent="0.3">
      <c r="A38" s="297" t="s">
        <v>3742</v>
      </c>
      <c r="B38" s="297" t="s">
        <v>366</v>
      </c>
      <c r="C38" s="298">
        <v>5297.6241081714625</v>
      </c>
      <c r="D38" s="298">
        <v>2091.9668965517244</v>
      </c>
      <c r="E38" s="298">
        <v>5093.3</v>
      </c>
      <c r="F38" s="298">
        <v>13117.313793103447</v>
      </c>
      <c r="G38" s="298">
        <v>10145.929999999997</v>
      </c>
      <c r="H38" s="298">
        <v>11968.5</v>
      </c>
      <c r="I38" s="298">
        <v>11618.290000000003</v>
      </c>
      <c r="J38" s="298">
        <v>11914.269999999999</v>
      </c>
      <c r="K38" s="298">
        <v>10039.949999999999</v>
      </c>
      <c r="L38" s="298">
        <v>9762.0400000000027</v>
      </c>
      <c r="M38" s="298">
        <v>12140.48</v>
      </c>
      <c r="N38" s="298">
        <v>20097.970000000005</v>
      </c>
      <c r="O38" s="298">
        <v>13074.130000000001</v>
      </c>
      <c r="P38" s="298">
        <v>13397.750000000004</v>
      </c>
      <c r="Q38" s="298">
        <v>12992.07</v>
      </c>
      <c r="R38" s="298">
        <v>13554.557586206896</v>
      </c>
      <c r="S38" s="298">
        <v>12522.319999999998</v>
      </c>
      <c r="T38" s="298">
        <v>15716.530000000004</v>
      </c>
      <c r="U38" s="298">
        <v>15716.530000000004</v>
      </c>
      <c r="V38" s="298">
        <v>14959.570000000002</v>
      </c>
      <c r="W38" s="298">
        <v>19726.406579589842</v>
      </c>
      <c r="X38" s="298">
        <v>13907.845001220703</v>
      </c>
      <c r="Y38" s="298">
        <v>9218.1053314208984</v>
      </c>
      <c r="Z38" s="298">
        <v>7618.3838085556035</v>
      </c>
      <c r="AA38" s="298">
        <v>5418.85</v>
      </c>
      <c r="AB38" s="298">
        <v>13917.119999999997</v>
      </c>
      <c r="AC38" s="298">
        <v>12569.519999999999</v>
      </c>
      <c r="AD38" s="298">
        <v>17755.150000000001</v>
      </c>
      <c r="AE38" s="298">
        <v>20260.335483870967</v>
      </c>
      <c r="AF38" s="298">
        <v>15233.431</v>
      </c>
      <c r="AG38" s="298">
        <v>14066.274193548386</v>
      </c>
      <c r="AH38" s="298">
        <v>12813.593870967739</v>
      </c>
      <c r="AI38" s="298">
        <v>16416.053333333337</v>
      </c>
      <c r="AJ38" s="298">
        <v>11057.641935483873</v>
      </c>
      <c r="AK38" s="298">
        <v>6295.3720000000003</v>
      </c>
      <c r="AL38" s="298">
        <v>3047.1483870967745</v>
      </c>
      <c r="AM38" s="298">
        <v>3978.1470967741939</v>
      </c>
      <c r="AN38" s="298">
        <v>3629.6917857142853</v>
      </c>
      <c r="AO38" s="298">
        <v>3702.4019354838706</v>
      </c>
      <c r="AP38" s="298">
        <v>5796.6553333333322</v>
      </c>
      <c r="AQ38" s="298">
        <v>6386.8664516129029</v>
      </c>
      <c r="AR38" s="298">
        <v>9372.9920000000002</v>
      </c>
      <c r="AS38" s="298">
        <v>8818.4225806451632</v>
      </c>
      <c r="AT38" s="298">
        <v>9216.920322580645</v>
      </c>
      <c r="AU38" s="298">
        <v>11527.01866666667</v>
      </c>
      <c r="AV38" s="298">
        <v>8441.8451612903227</v>
      </c>
      <c r="AW38" s="298">
        <v>8092.5789999999979</v>
      </c>
      <c r="AX38" s="298">
        <v>1268.4967741935484</v>
      </c>
    </row>
    <row r="39" spans="1:50" x14ac:dyDescent="0.3">
      <c r="A39" s="297" t="s">
        <v>3743</v>
      </c>
      <c r="B39" s="297" t="s">
        <v>108</v>
      </c>
      <c r="C39" s="298">
        <v>3100</v>
      </c>
      <c r="D39" s="298">
        <v>4200</v>
      </c>
      <c r="E39" s="298">
        <v>6200</v>
      </c>
      <c r="F39" s="298">
        <v>7620</v>
      </c>
      <c r="G39" s="298">
        <v>9099.5261419645849</v>
      </c>
      <c r="H39" s="298">
        <v>12554.158639346111</v>
      </c>
      <c r="I39" s="298">
        <v>18005.568750617931</v>
      </c>
      <c r="J39" s="298">
        <v>22516.770977681634</v>
      </c>
      <c r="K39" s="298">
        <v>19654.756060867541</v>
      </c>
      <c r="L39" s="298">
        <v>6503.907971759837</v>
      </c>
      <c r="M39" s="298">
        <v>5940</v>
      </c>
      <c r="N39" s="298">
        <v>2880</v>
      </c>
      <c r="O39" s="298">
        <v>3000</v>
      </c>
      <c r="P39" s="298">
        <v>4350</v>
      </c>
      <c r="Q39" s="298">
        <v>5800</v>
      </c>
      <c r="R39" s="298">
        <v>7874</v>
      </c>
      <c r="S39" s="298">
        <v>8530.8057580917975</v>
      </c>
      <c r="T39" s="298">
        <v>12554.158639346111</v>
      </c>
      <c r="U39" s="298">
        <v>19205.940000659128</v>
      </c>
      <c r="V39" s="298">
        <v>21064.076075895722</v>
      </c>
      <c r="W39" s="298">
        <v>19654.756060867541</v>
      </c>
      <c r="X39" s="298">
        <v>6937.5018365438264</v>
      </c>
      <c r="Y39" s="298">
        <v>5400</v>
      </c>
      <c r="Z39" s="298">
        <v>3060</v>
      </c>
      <c r="AA39" s="298">
        <v>3000</v>
      </c>
      <c r="AB39" s="298">
        <v>4800</v>
      </c>
      <c r="AC39" s="298">
        <v>5800</v>
      </c>
      <c r="AD39" s="298">
        <v>7366</v>
      </c>
      <c r="AE39" s="298">
        <v>8530.8057580917975</v>
      </c>
      <c r="AF39" s="298">
        <v>13419.962683438947</v>
      </c>
      <c r="AG39" s="298">
        <v>18005.568750617931</v>
      </c>
      <c r="AH39" s="298">
        <v>21064.076075895722</v>
      </c>
      <c r="AI39" s="298">
        <v>20965.073131592046</v>
      </c>
      <c r="AJ39" s="298">
        <v>6503.907971759837</v>
      </c>
      <c r="AK39" s="298">
        <v>6426</v>
      </c>
      <c r="AL39" s="298">
        <v>3360</v>
      </c>
      <c r="AM39" s="298">
        <v>3136</v>
      </c>
      <c r="AN39" s="298">
        <v>2610</v>
      </c>
      <c r="AO39" s="298">
        <v>2900</v>
      </c>
      <c r="AP39" s="298">
        <v>3335</v>
      </c>
      <c r="AQ39" s="298">
        <v>8246.4455661554057</v>
      </c>
      <c r="AR39" s="298">
        <v>13852.864705485365</v>
      </c>
      <c r="AS39" s="298">
        <v>18005.568750617931</v>
      </c>
      <c r="AT39" s="298">
        <v>21064.076075895722</v>
      </c>
      <c r="AU39" s="298">
        <v>20965.073131592046</v>
      </c>
      <c r="AV39" s="298">
        <v>6503.907971759837</v>
      </c>
      <c r="AW39" s="298">
        <v>6237</v>
      </c>
      <c r="AX39" s="298">
        <v>3360</v>
      </c>
    </row>
    <row r="40" spans="1:50" x14ac:dyDescent="0.3">
      <c r="A40" s="297" t="s">
        <v>3744</v>
      </c>
      <c r="B40" s="348" t="s">
        <v>420</v>
      </c>
      <c r="C40" s="298">
        <v>16162.882529983523</v>
      </c>
      <c r="D40" s="298">
        <v>11422.358620689656</v>
      </c>
      <c r="E40" s="298">
        <v>16270.029310344824</v>
      </c>
      <c r="F40" s="298">
        <v>22667.12068965517</v>
      </c>
      <c r="G40" s="298">
        <v>26570.17</v>
      </c>
      <c r="H40" s="298">
        <v>32389.399999999998</v>
      </c>
      <c r="I40" s="298">
        <v>40287.879999999997</v>
      </c>
      <c r="J40" s="298">
        <v>44794.409999999989</v>
      </c>
      <c r="K40" s="298">
        <v>40896.730000000003</v>
      </c>
      <c r="L40" s="298">
        <v>36519.15</v>
      </c>
      <c r="M40" s="298">
        <v>44982.910000000011</v>
      </c>
      <c r="N40" s="298">
        <v>40825.849999999991</v>
      </c>
      <c r="O40" s="298">
        <v>38254.36</v>
      </c>
      <c r="P40" s="298">
        <v>27949.510000000006</v>
      </c>
      <c r="Q40" s="298">
        <v>27656.279999999995</v>
      </c>
      <c r="R40" s="298">
        <v>23422.691379310345</v>
      </c>
      <c r="S40" s="298">
        <v>32779.19</v>
      </c>
      <c r="T40" s="298">
        <v>34451.600000000006</v>
      </c>
      <c r="U40" s="298">
        <v>34451.600000000006</v>
      </c>
      <c r="V40" s="298">
        <v>27924.93</v>
      </c>
      <c r="W40" s="298">
        <v>26243.436925048831</v>
      </c>
      <c r="X40" s="298">
        <v>21538.201550292968</v>
      </c>
      <c r="Y40" s="298">
        <v>17943.160775146487</v>
      </c>
      <c r="Z40" s="298">
        <v>19431.55</v>
      </c>
      <c r="AA40" s="298">
        <v>21030.22</v>
      </c>
      <c r="AB40" s="298">
        <v>18016.730000000003</v>
      </c>
      <c r="AC40" s="298">
        <v>12217.69</v>
      </c>
      <c r="AD40" s="298">
        <v>14631.45</v>
      </c>
      <c r="AE40" s="298">
        <v>17427.900000000001</v>
      </c>
      <c r="AF40" s="298">
        <v>18844.91033333333</v>
      </c>
      <c r="AG40" s="298">
        <v>16951.751612903226</v>
      </c>
      <c r="AH40" s="298">
        <v>20524.160645161293</v>
      </c>
      <c r="AI40" s="298">
        <v>25490.303999999996</v>
      </c>
      <c r="AJ40" s="298">
        <v>23687.738709677411</v>
      </c>
      <c r="AK40" s="298">
        <v>14806.444666666668</v>
      </c>
      <c r="AL40" s="298">
        <v>9809.6903225806473</v>
      </c>
      <c r="AM40" s="298">
        <v>10519.205161290323</v>
      </c>
      <c r="AN40" s="298">
        <v>11561.626785714288</v>
      </c>
      <c r="AO40" s="298">
        <v>12535.55870967742</v>
      </c>
      <c r="AP40" s="298">
        <v>15338.767000000003</v>
      </c>
      <c r="AQ40" s="298">
        <v>16050.265161290325</v>
      </c>
      <c r="AR40" s="298">
        <v>23807.114666666661</v>
      </c>
      <c r="AS40" s="298">
        <v>21190.712903225805</v>
      </c>
      <c r="AT40" s="298">
        <v>29832.552580645162</v>
      </c>
      <c r="AU40" s="298">
        <v>35042.762666666662</v>
      </c>
      <c r="AV40" s="298">
        <v>17092.354838709678</v>
      </c>
      <c r="AW40" s="298">
        <v>23415.171999999999</v>
      </c>
      <c r="AX40" s="298">
        <v>7383.9870967741936</v>
      </c>
    </row>
    <row r="41" spans="1:50" x14ac:dyDescent="0.3">
      <c r="A41" s="297" t="s">
        <v>3615</v>
      </c>
      <c r="B41" s="297" t="s">
        <v>506</v>
      </c>
      <c r="C41" s="298">
        <v>393.73874999999998</v>
      </c>
      <c r="D41" s="298">
        <v>378.39586206896541</v>
      </c>
      <c r="E41" s="298">
        <v>442.57310344827584</v>
      </c>
      <c r="F41" s="298">
        <v>847.31379310344812</v>
      </c>
      <c r="G41" s="298">
        <v>835.28</v>
      </c>
      <c r="H41" s="298">
        <v>1326.4299999999998</v>
      </c>
      <c r="I41" s="298">
        <v>2766.5099999999993</v>
      </c>
      <c r="J41" s="298">
        <v>2575.7800000000002</v>
      </c>
      <c r="K41" s="298">
        <v>1378.35</v>
      </c>
      <c r="L41" s="298">
        <v>900.93999999999994</v>
      </c>
      <c r="M41" s="298">
        <v>520.34</v>
      </c>
      <c r="N41" s="298">
        <v>54.89</v>
      </c>
      <c r="O41" s="298">
        <v>3.8600000000000003</v>
      </c>
      <c r="P41" s="298">
        <v>0</v>
      </c>
      <c r="Q41" s="298">
        <v>137.47000000000003</v>
      </c>
      <c r="R41" s="298">
        <v>875.55758620689642</v>
      </c>
      <c r="S41" s="298">
        <v>197.94000000000003</v>
      </c>
      <c r="T41" s="298">
        <v>756</v>
      </c>
      <c r="U41" s="298">
        <v>756</v>
      </c>
      <c r="V41" s="298">
        <v>696.79</v>
      </c>
      <c r="W41" s="298">
        <v>1104.6300000000001</v>
      </c>
      <c r="X41" s="298">
        <v>430.203125</v>
      </c>
      <c r="Y41" s="298">
        <v>225.32942712306976</v>
      </c>
      <c r="Z41" s="298">
        <v>32.488906249999999</v>
      </c>
      <c r="AA41" s="298">
        <v>14.21</v>
      </c>
      <c r="AB41" s="298">
        <v>42.5</v>
      </c>
      <c r="AC41" s="298">
        <v>2.1</v>
      </c>
      <c r="AD41" s="298">
        <v>220.65</v>
      </c>
      <c r="AE41" s="298">
        <v>640.92580645161286</v>
      </c>
      <c r="AF41" s="298">
        <v>966.7556666666668</v>
      </c>
      <c r="AG41" s="298">
        <v>1508.9032258064517</v>
      </c>
      <c r="AH41" s="298">
        <v>2020.3551612903227</v>
      </c>
      <c r="AI41" s="298">
        <v>1695.5733333333333</v>
      </c>
      <c r="AJ41" s="298">
        <v>1255.7612903225806</v>
      </c>
      <c r="AK41" s="298">
        <v>409.19</v>
      </c>
      <c r="AL41" s="298">
        <v>71.07096774193549</v>
      </c>
      <c r="AM41" s="298">
        <v>14.038709677419355</v>
      </c>
      <c r="AN41" s="298">
        <v>80.09178571428572</v>
      </c>
      <c r="AO41" s="298">
        <v>107.62741935483871</v>
      </c>
      <c r="AP41" s="298">
        <v>112.29766666666664</v>
      </c>
      <c r="AQ41" s="298">
        <v>175.2348387096774</v>
      </c>
      <c r="AR41" s="298">
        <v>95.47733333333332</v>
      </c>
      <c r="AS41" s="298">
        <v>48.387096774193544</v>
      </c>
      <c r="AT41" s="298">
        <v>155.5709677419355</v>
      </c>
      <c r="AU41" s="298">
        <v>136.68266666666665</v>
      </c>
      <c r="AV41" s="298">
        <v>97.983870967741936</v>
      </c>
      <c r="AW41" s="298">
        <v>107.44799999999999</v>
      </c>
      <c r="AX41" s="298">
        <v>4.5290322580645164</v>
      </c>
    </row>
    <row r="42" spans="1:50" x14ac:dyDescent="0.3">
      <c r="A42" s="297" t="s">
        <v>119</v>
      </c>
      <c r="B42" s="297" t="s">
        <v>120</v>
      </c>
      <c r="C42" s="298">
        <v>4669.1456181049352</v>
      </c>
      <c r="D42" s="298">
        <v>14279.922758620693</v>
      </c>
      <c r="E42" s="298">
        <v>20196.435862068964</v>
      </c>
      <c r="F42" s="298">
        <v>15749.286206896548</v>
      </c>
      <c r="G42" s="298">
        <v>13782.529999999997</v>
      </c>
      <c r="H42" s="298">
        <v>13880.06</v>
      </c>
      <c r="I42" s="298">
        <v>14659.949999999997</v>
      </c>
      <c r="J42" s="298">
        <v>21895.27</v>
      </c>
      <c r="K42" s="298">
        <v>19191.34</v>
      </c>
      <c r="L42" s="298">
        <v>15895.920000000002</v>
      </c>
      <c r="M42" s="298">
        <v>14343.13</v>
      </c>
      <c r="N42" s="298">
        <v>11355.44</v>
      </c>
      <c r="O42" s="298">
        <v>12721.32</v>
      </c>
      <c r="P42" s="298">
        <v>9469.59</v>
      </c>
      <c r="Q42" s="298">
        <v>13322.919999999998</v>
      </c>
      <c r="R42" s="298">
        <v>16274.2624137931</v>
      </c>
      <c r="S42" s="298">
        <v>14667.020000000004</v>
      </c>
      <c r="T42" s="298">
        <v>13931.59</v>
      </c>
      <c r="U42" s="298">
        <v>13931.59</v>
      </c>
      <c r="V42" s="298">
        <v>15751.16</v>
      </c>
      <c r="W42" s="298">
        <v>16388.381978149417</v>
      </c>
      <c r="X42" s="298">
        <v>15757.44317817688</v>
      </c>
      <c r="Y42" s="298">
        <v>10241.081002197265</v>
      </c>
      <c r="Z42" s="298">
        <v>6209.8400000000011</v>
      </c>
      <c r="AA42" s="298">
        <v>5400.9199999999992</v>
      </c>
      <c r="AB42" s="298">
        <v>9425.0300000000007</v>
      </c>
      <c r="AC42" s="298">
        <v>6842.0700000000006</v>
      </c>
      <c r="AD42" s="298">
        <v>8966.2000000000025</v>
      </c>
      <c r="AE42" s="298">
        <v>10383.029032258064</v>
      </c>
      <c r="AF42" s="298">
        <v>10164.714</v>
      </c>
      <c r="AG42" s="298">
        <v>11196.038709677419</v>
      </c>
      <c r="AH42" s="298">
        <v>12387.003870967739</v>
      </c>
      <c r="AI42" s="298">
        <v>13539.871999999999</v>
      </c>
      <c r="AJ42" s="298">
        <v>12812.641935483874</v>
      </c>
      <c r="AK42" s="298">
        <v>9844.4166666666697</v>
      </c>
      <c r="AL42" s="298">
        <v>6669.8612903225776</v>
      </c>
      <c r="AM42" s="298">
        <v>7829.4193548387075</v>
      </c>
      <c r="AN42" s="298">
        <v>7137.625</v>
      </c>
      <c r="AO42" s="298">
        <v>6307.4064516129038</v>
      </c>
      <c r="AP42" s="298">
        <v>8667.3266666666677</v>
      </c>
      <c r="AQ42" s="298">
        <v>9884.2402508274208</v>
      </c>
      <c r="AR42" s="298">
        <v>7594.6845887044283</v>
      </c>
      <c r="AS42" s="298">
        <v>6562.4901301722366</v>
      </c>
      <c r="AT42" s="298">
        <v>6080.6712184044618</v>
      </c>
      <c r="AU42" s="298">
        <v>7869.1072540690102</v>
      </c>
      <c r="AV42" s="298">
        <v>5815.9747759419106</v>
      </c>
      <c r="AW42" s="298">
        <v>7043.7620000000006</v>
      </c>
      <c r="AX42" s="298">
        <v>6444.638709677417</v>
      </c>
    </row>
    <row r="43" spans="1:50" x14ac:dyDescent="0.3">
      <c r="A43" s="297" t="s">
        <v>3745</v>
      </c>
      <c r="B43" s="348" t="s">
        <v>201</v>
      </c>
      <c r="C43" s="298">
        <v>11206.766833152771</v>
      </c>
      <c r="D43" s="298">
        <v>5965.3710344827578</v>
      </c>
      <c r="E43" s="298">
        <v>12021.126551724139</v>
      </c>
      <c r="F43" s="298">
        <v>12743.400000000003</v>
      </c>
      <c r="G43" s="298">
        <v>12458.639999999998</v>
      </c>
      <c r="H43" s="298">
        <v>13934.729999999998</v>
      </c>
      <c r="I43" s="298">
        <v>24094.06</v>
      </c>
      <c r="J43" s="298">
        <v>22043.529999999995</v>
      </c>
      <c r="K43" s="298">
        <v>18838.309999999998</v>
      </c>
      <c r="L43" s="298">
        <v>16675.57</v>
      </c>
      <c r="M43" s="298">
        <v>14076.340000000002</v>
      </c>
      <c r="N43" s="298">
        <v>7941.9699999999993</v>
      </c>
      <c r="O43" s="298">
        <v>10177.27</v>
      </c>
      <c r="P43" s="298">
        <v>9368.6099999999988</v>
      </c>
      <c r="Q43" s="298">
        <v>11916.98</v>
      </c>
      <c r="R43" s="298">
        <v>13168.180000000002</v>
      </c>
      <c r="S43" s="298">
        <v>13482.999999999998</v>
      </c>
      <c r="T43" s="298">
        <v>9174.6499999999978</v>
      </c>
      <c r="U43" s="298">
        <v>9174.6499999999978</v>
      </c>
      <c r="V43" s="298">
        <v>13725.26</v>
      </c>
      <c r="W43" s="298">
        <v>18104.390429687497</v>
      </c>
      <c r="X43" s="298">
        <v>14066.718627929688</v>
      </c>
      <c r="Y43" s="298">
        <v>9863.267333984375</v>
      </c>
      <c r="Z43" s="298">
        <v>8451.8081103515615</v>
      </c>
      <c r="AA43" s="298">
        <v>8231</v>
      </c>
      <c r="AB43" s="298">
        <v>10151</v>
      </c>
      <c r="AC43" s="298">
        <v>8127.9600000000009</v>
      </c>
      <c r="AD43" s="298">
        <v>6013.91</v>
      </c>
      <c r="AE43" s="298">
        <v>11849.961290322579</v>
      </c>
      <c r="AF43" s="298">
        <v>11520.726333333332</v>
      </c>
      <c r="AG43" s="298">
        <v>13623.9</v>
      </c>
      <c r="AH43" s="298">
        <v>14988.565806451614</v>
      </c>
      <c r="AI43" s="298">
        <v>17924.362666666671</v>
      </c>
      <c r="AJ43" s="298">
        <v>13487.651612903226</v>
      </c>
      <c r="AK43" s="298">
        <v>11897.359333333339</v>
      </c>
      <c r="AL43" s="298">
        <v>4800.2032258064519</v>
      </c>
      <c r="AM43" s="298">
        <v>6934.833548387096</v>
      </c>
      <c r="AN43" s="298">
        <v>7145.9935714285721</v>
      </c>
      <c r="AO43" s="298">
        <v>7768.7725806451626</v>
      </c>
      <c r="AP43" s="298">
        <v>12437.97433333333</v>
      </c>
      <c r="AQ43" s="298">
        <v>11038.849999999999</v>
      </c>
      <c r="AR43" s="298">
        <v>16501.631999999998</v>
      </c>
      <c r="AS43" s="298">
        <v>16894.267741935488</v>
      </c>
      <c r="AT43" s="298">
        <v>14879.712903225807</v>
      </c>
      <c r="AU43" s="298">
        <v>17276.586666666662</v>
      </c>
      <c r="AV43" s="298">
        <v>11912.91290322581</v>
      </c>
      <c r="AW43" s="298">
        <v>12671.494000000006</v>
      </c>
      <c r="AX43" s="298">
        <v>7234.0548387096778</v>
      </c>
    </row>
    <row r="44" spans="1:50" x14ac:dyDescent="0.3">
      <c r="A44" s="297" t="s">
        <v>182</v>
      </c>
      <c r="B44" s="297" t="s">
        <v>183</v>
      </c>
      <c r="C44" s="298">
        <v>3974.7369159698487</v>
      </c>
      <c r="D44" s="298">
        <v>4157.8937931034479</v>
      </c>
      <c r="E44" s="298">
        <v>3525.2451724137932</v>
      </c>
      <c r="F44" s="298">
        <v>3833.5448275862063</v>
      </c>
      <c r="G44" s="298">
        <v>5259.3499999999995</v>
      </c>
      <c r="H44" s="298">
        <v>6744.0799999999981</v>
      </c>
      <c r="I44" s="298">
        <v>9952.69</v>
      </c>
      <c r="J44" s="298">
        <v>13888.160000000002</v>
      </c>
      <c r="K44" s="298">
        <v>11528.21</v>
      </c>
      <c r="L44" s="298">
        <v>7482.2500000000009</v>
      </c>
      <c r="M44" s="298">
        <v>5170.3500000000004</v>
      </c>
      <c r="N44" s="298">
        <v>3135.0700000000015</v>
      </c>
      <c r="O44" s="298">
        <v>2833.5499999999993</v>
      </c>
      <c r="P44" s="298">
        <v>2637.4700000000007</v>
      </c>
      <c r="Q44" s="298">
        <v>3803.04</v>
      </c>
      <c r="R44" s="298">
        <v>3961.3296551724129</v>
      </c>
      <c r="S44" s="298">
        <v>4552.1699999999992</v>
      </c>
      <c r="T44" s="298">
        <v>5708.19</v>
      </c>
      <c r="U44" s="298">
        <v>5708.19</v>
      </c>
      <c r="V44" s="298">
        <v>10331.480000000001</v>
      </c>
      <c r="W44" s="298">
        <v>11383.725888671874</v>
      </c>
      <c r="X44" s="298">
        <v>5214.1714477539063</v>
      </c>
      <c r="Y44" s="298">
        <v>2718.6473045349121</v>
      </c>
      <c r="Z44" s="298">
        <v>2192.6447058105464</v>
      </c>
      <c r="AA44" s="298">
        <v>2060.4199999999992</v>
      </c>
      <c r="AB44" s="298">
        <v>3016.89</v>
      </c>
      <c r="AC44" s="298">
        <v>1804.7</v>
      </c>
      <c r="AD44" s="298">
        <v>1557.8999999999996</v>
      </c>
      <c r="AE44" s="298">
        <v>2448.9870967741936</v>
      </c>
      <c r="AF44" s="298">
        <v>3225.9840000000004</v>
      </c>
      <c r="AG44" s="298">
        <v>3521.6709677419353</v>
      </c>
      <c r="AH44" s="298">
        <v>4817.5735483870967</v>
      </c>
      <c r="AI44" s="298">
        <v>7054.1333333333359</v>
      </c>
      <c r="AJ44" s="298">
        <v>6236.6903225806445</v>
      </c>
      <c r="AK44" s="298">
        <v>4123.5766666666668</v>
      </c>
      <c r="AL44" s="298">
        <v>2343.3967741935485</v>
      </c>
      <c r="AM44" s="298">
        <v>2218.425806451613</v>
      </c>
      <c r="AN44" s="298">
        <v>2338.8499999999995</v>
      </c>
      <c r="AO44" s="298">
        <v>2221.0445161290318</v>
      </c>
      <c r="AP44" s="298">
        <v>3979.4959999999996</v>
      </c>
      <c r="AQ44" s="298">
        <v>4938.6064516129027</v>
      </c>
      <c r="AR44" s="298">
        <v>8988.1173333333336</v>
      </c>
      <c r="AS44" s="298">
        <v>5742.4451612903204</v>
      </c>
      <c r="AT44" s="298">
        <v>8673.0393548387092</v>
      </c>
      <c r="AU44" s="298">
        <v>11250.880000000003</v>
      </c>
      <c r="AV44" s="298">
        <v>7088.7</v>
      </c>
      <c r="AW44" s="298">
        <v>7479.9229999999998</v>
      </c>
      <c r="AX44" s="298">
        <v>3609.7451612903224</v>
      </c>
    </row>
    <row r="45" spans="1:50" x14ac:dyDescent="0.3">
      <c r="A45" s="297" t="s">
        <v>3746</v>
      </c>
      <c r="B45" s="297" t="s">
        <v>105</v>
      </c>
      <c r="C45" s="298">
        <v>1705</v>
      </c>
      <c r="D45" s="298">
        <v>2100</v>
      </c>
      <c r="E45" s="298">
        <v>3100</v>
      </c>
      <c r="F45" s="298">
        <v>3450</v>
      </c>
      <c r="G45" s="298">
        <v>3840</v>
      </c>
      <c r="H45" s="298">
        <v>3625</v>
      </c>
      <c r="I45" s="298">
        <v>4500</v>
      </c>
      <c r="J45" s="298">
        <v>5735</v>
      </c>
      <c r="K45" s="298">
        <v>5787.9956085496488</v>
      </c>
      <c r="L45" s="298">
        <v>4920</v>
      </c>
      <c r="M45" s="298">
        <v>3630</v>
      </c>
      <c r="N45" s="298">
        <v>1760</v>
      </c>
      <c r="O45" s="298">
        <v>1650</v>
      </c>
      <c r="P45" s="298">
        <v>2175</v>
      </c>
      <c r="Q45" s="298">
        <v>2900</v>
      </c>
      <c r="R45" s="298">
        <v>3565</v>
      </c>
      <c r="S45" s="298">
        <v>3600</v>
      </c>
      <c r="T45" s="298">
        <v>3670.2400000000002</v>
      </c>
      <c r="U45" s="298">
        <v>4800</v>
      </c>
      <c r="V45" s="298">
        <v>5365</v>
      </c>
      <c r="W45" s="298">
        <v>5787.9956085496488</v>
      </c>
      <c r="X45" s="298">
        <v>5248</v>
      </c>
      <c r="Y45" s="298">
        <v>3300</v>
      </c>
      <c r="Z45" s="298">
        <v>1870</v>
      </c>
      <c r="AA45" s="298">
        <v>1650</v>
      </c>
      <c r="AB45" s="298">
        <v>2400</v>
      </c>
      <c r="AC45" s="298">
        <v>2900</v>
      </c>
      <c r="AD45" s="298">
        <v>3335</v>
      </c>
      <c r="AE45" s="298">
        <v>3600</v>
      </c>
      <c r="AF45" s="298">
        <v>3923.36</v>
      </c>
      <c r="AG45" s="298">
        <v>4500</v>
      </c>
      <c r="AH45" s="298">
        <v>5365</v>
      </c>
      <c r="AI45" s="298">
        <v>6173.8619824529587</v>
      </c>
      <c r="AJ45" s="298">
        <v>4920</v>
      </c>
      <c r="AK45" s="298">
        <v>4760</v>
      </c>
      <c r="AL45" s="298">
        <v>2940</v>
      </c>
      <c r="AM45" s="298">
        <v>2688</v>
      </c>
      <c r="AN45" s="298">
        <v>2320</v>
      </c>
      <c r="AO45" s="298">
        <v>2581</v>
      </c>
      <c r="AP45" s="298">
        <v>2784</v>
      </c>
      <c r="AQ45" s="298">
        <v>3480</v>
      </c>
      <c r="AR45" s="298">
        <v>4049.92</v>
      </c>
      <c r="AS45" s="298">
        <v>4500</v>
      </c>
      <c r="AT45" s="298">
        <v>5365</v>
      </c>
      <c r="AU45" s="298">
        <v>6173.8619824529587</v>
      </c>
      <c r="AV45" s="298">
        <v>4920</v>
      </c>
      <c r="AW45" s="298">
        <v>4620</v>
      </c>
      <c r="AX45" s="298">
        <v>2940</v>
      </c>
    </row>
    <row r="46" spans="1:50" x14ac:dyDescent="0.3">
      <c r="A46" s="297" t="s">
        <v>3747</v>
      </c>
      <c r="B46" s="297" t="s">
        <v>332</v>
      </c>
      <c r="C46" s="298">
        <v>70118.357499999998</v>
      </c>
      <c r="D46" s="298">
        <v>15504.044137931032</v>
      </c>
      <c r="E46" s="298">
        <v>95009.099310344842</v>
      </c>
      <c r="F46" s="298">
        <v>106886.95862068965</v>
      </c>
      <c r="G46" s="298">
        <v>94066.860000000015</v>
      </c>
      <c r="H46" s="298">
        <v>117373.18</v>
      </c>
      <c r="I46" s="298">
        <v>197512.15000000002</v>
      </c>
      <c r="J46" s="298">
        <v>231293.93</v>
      </c>
      <c r="K46" s="298">
        <v>203408.67999999996</v>
      </c>
      <c r="L46" s="298">
        <v>205606.29</v>
      </c>
      <c r="M46" s="298">
        <v>199216.37000000005</v>
      </c>
      <c r="N46" s="298">
        <v>161400.61999999997</v>
      </c>
      <c r="O46" s="298">
        <v>155522.39000000001</v>
      </c>
      <c r="P46" s="298">
        <v>108761.50999999998</v>
      </c>
      <c r="Q46" s="298">
        <v>143724.43000000002</v>
      </c>
      <c r="R46" s="298">
        <v>110449.8572413793</v>
      </c>
      <c r="S46" s="298">
        <v>53835.110000000095</v>
      </c>
      <c r="T46" s="298">
        <v>46079.88999999997</v>
      </c>
      <c r="U46" s="298">
        <v>60079.89</v>
      </c>
      <c r="V46" s="298">
        <v>56560.560000000158</v>
      </c>
      <c r="W46" s="298">
        <v>47442.664179687301</v>
      </c>
      <c r="X46" s="298">
        <v>60100.608886718721</v>
      </c>
      <c r="Y46" s="298">
        <v>37749.658447265698</v>
      </c>
      <c r="Z46" s="298">
        <v>16573.265583496093</v>
      </c>
      <c r="AA46" s="298">
        <v>15307.489999999998</v>
      </c>
      <c r="AB46" s="298">
        <v>19540.11</v>
      </c>
      <c r="AC46" s="298">
        <v>13508.58</v>
      </c>
      <c r="AD46" s="298">
        <v>9043.7000000000007</v>
      </c>
      <c r="AE46" s="298">
        <v>11361.145161290322</v>
      </c>
      <c r="AF46" s="298">
        <v>15445.998</v>
      </c>
      <c r="AG46" s="298">
        <v>31189.180645161294</v>
      </c>
      <c r="AH46" s="298">
        <v>41298.039354838707</v>
      </c>
      <c r="AI46" s="298">
        <v>43579.626666666671</v>
      </c>
      <c r="AJ46" s="298">
        <v>40635.048387096766</v>
      </c>
      <c r="AK46" s="298">
        <v>29327.946666666659</v>
      </c>
      <c r="AL46" s="298">
        <v>15956.032258064513</v>
      </c>
      <c r="AM46" s="298">
        <v>19578.188387096776</v>
      </c>
      <c r="AN46" s="298">
        <v>17224.456785714287</v>
      </c>
      <c r="AO46" s="298">
        <v>17174.426774193544</v>
      </c>
      <c r="AP46" s="298">
        <v>18446.552000000003</v>
      </c>
      <c r="AQ46" s="298">
        <v>18133.23225806452</v>
      </c>
      <c r="AR46" s="298">
        <v>31522.453333333331</v>
      </c>
      <c r="AS46" s="298">
        <v>33560.109677419343</v>
      </c>
      <c r="AT46" s="298">
        <v>36516.042258064517</v>
      </c>
      <c r="AU46" s="298">
        <v>40205.909333333337</v>
      </c>
      <c r="AV46" s="298">
        <v>27031.354838709674</v>
      </c>
      <c r="AW46" s="298">
        <v>35969.967000000004</v>
      </c>
      <c r="AX46" s="298">
        <v>16346.177419354839</v>
      </c>
    </row>
    <row r="47" spans="1:50" x14ac:dyDescent="0.3">
      <c r="A47" s="297" t="s">
        <v>3748</v>
      </c>
      <c r="B47" s="297" t="s">
        <v>292</v>
      </c>
      <c r="C47" s="298">
        <v>8441.7746874999993</v>
      </c>
      <c r="D47" s="298">
        <v>5812.2303448275879</v>
      </c>
      <c r="E47" s="298">
        <v>17980.07482758621</v>
      </c>
      <c r="F47" s="298">
        <v>14944.468965517242</v>
      </c>
      <c r="G47" s="298">
        <v>10242.549999999999</v>
      </c>
      <c r="H47" s="298">
        <v>10028.16</v>
      </c>
      <c r="I47" s="298">
        <v>12516.489999999998</v>
      </c>
      <c r="J47" s="298">
        <v>5719.1</v>
      </c>
      <c r="K47" s="298">
        <v>12441.42</v>
      </c>
      <c r="L47" s="298">
        <v>8822.74</v>
      </c>
      <c r="M47" s="298">
        <v>21321.789999999997</v>
      </c>
      <c r="N47" s="298">
        <v>18321.940000000002</v>
      </c>
      <c r="O47" s="298">
        <v>8055.9</v>
      </c>
      <c r="P47" s="298">
        <v>14391.88</v>
      </c>
      <c r="Q47" s="298">
        <v>19318.900000000001</v>
      </c>
      <c r="R47" s="298">
        <v>15442.617931034485</v>
      </c>
      <c r="S47" s="298">
        <v>21061.510000000006</v>
      </c>
      <c r="T47" s="298">
        <v>10333.670000000002</v>
      </c>
      <c r="U47" s="298">
        <v>10333.670000000002</v>
      </c>
      <c r="V47" s="298">
        <v>18085.899999999998</v>
      </c>
      <c r="W47" s="298">
        <v>17588.696410522465</v>
      </c>
      <c r="X47" s="298">
        <v>13802.510000000002</v>
      </c>
      <c r="Y47" s="298">
        <v>14597.49</v>
      </c>
      <c r="Z47" s="298">
        <v>12950.26</v>
      </c>
      <c r="AA47" s="298">
        <v>7807.28</v>
      </c>
      <c r="AB47" s="298">
        <v>17336.510000000002</v>
      </c>
      <c r="AC47" s="298">
        <v>12941.890000000003</v>
      </c>
      <c r="AD47" s="298">
        <v>12730.050000000001</v>
      </c>
      <c r="AE47" s="298">
        <v>20072.787096774195</v>
      </c>
      <c r="AF47" s="298">
        <v>19839.876</v>
      </c>
      <c r="AG47" s="298">
        <v>20210.777419354839</v>
      </c>
      <c r="AH47" s="298">
        <v>17574.533225806452</v>
      </c>
      <c r="AI47" s="298">
        <v>20025.706666666665</v>
      </c>
      <c r="AJ47" s="298">
        <v>12556.819354838713</v>
      </c>
      <c r="AK47" s="298">
        <v>11814.841333333334</v>
      </c>
      <c r="AL47" s="298">
        <v>7452.1161290322589</v>
      </c>
      <c r="AM47" s="298">
        <v>8445.2748387096781</v>
      </c>
      <c r="AN47" s="298">
        <v>9383.3746428571394</v>
      </c>
      <c r="AO47" s="298">
        <v>8177.3170967741926</v>
      </c>
      <c r="AP47" s="298">
        <v>9775.1750000000011</v>
      </c>
      <c r="AQ47" s="298">
        <v>11086.344516129035</v>
      </c>
      <c r="AR47" s="298">
        <v>14587.328</v>
      </c>
      <c r="AS47" s="298">
        <v>11916.764516129037</v>
      </c>
      <c r="AT47" s="298">
        <v>10705.35</v>
      </c>
      <c r="AU47" s="298">
        <v>12072.746666666666</v>
      </c>
      <c r="AV47" s="298">
        <v>11222.767741935484</v>
      </c>
      <c r="AW47" s="298">
        <v>12584.055</v>
      </c>
      <c r="AX47" s="298">
        <v>6532.2387096774191</v>
      </c>
    </row>
    <row r="48" spans="1:50" x14ac:dyDescent="0.3">
      <c r="A48" s="297" t="s">
        <v>3749</v>
      </c>
      <c r="B48" s="297" t="s">
        <v>84</v>
      </c>
      <c r="C48" s="298">
        <v>19568.953437499993</v>
      </c>
      <c r="D48" s="298">
        <v>14745.823448275862</v>
      </c>
      <c r="E48" s="298">
        <v>17993.736206896545</v>
      </c>
      <c r="F48" s="298">
        <v>24616.965517241377</v>
      </c>
      <c r="G48" s="298">
        <v>25014.63</v>
      </c>
      <c r="H48" s="298">
        <v>34031.019999999997</v>
      </c>
      <c r="I48" s="298">
        <v>59723.400000000009</v>
      </c>
      <c r="J48" s="298">
        <v>68532.23</v>
      </c>
      <c r="K48" s="298">
        <v>51178.79</v>
      </c>
      <c r="L48" s="298">
        <v>38597.96</v>
      </c>
      <c r="M48" s="298">
        <v>36313.259999999995</v>
      </c>
      <c r="N48" s="298">
        <v>19837.199999999997</v>
      </c>
      <c r="O48" s="298">
        <v>23801.46</v>
      </c>
      <c r="P48" s="298">
        <v>20726.359999999993</v>
      </c>
      <c r="Q48" s="298">
        <v>26976.319999999992</v>
      </c>
      <c r="R48" s="298">
        <v>25437.531034482756</v>
      </c>
      <c r="S48" s="298">
        <v>21226.259999999995</v>
      </c>
      <c r="T48" s="298">
        <v>22747.290000000005</v>
      </c>
      <c r="U48" s="298">
        <v>22747.290000000005</v>
      </c>
      <c r="V48" s="298">
        <v>36082.300000000003</v>
      </c>
      <c r="W48" s="298">
        <v>44027.795229492207</v>
      </c>
      <c r="X48" s="298">
        <v>22607.979583740234</v>
      </c>
      <c r="Y48" s="298">
        <v>17326.375701904297</v>
      </c>
      <c r="Z48" s="298">
        <v>9474.8417663574182</v>
      </c>
      <c r="AA48" s="298">
        <v>10907.59</v>
      </c>
      <c r="AB48" s="298">
        <v>15320.320000000002</v>
      </c>
      <c r="AC48" s="298">
        <v>12477.69</v>
      </c>
      <c r="AD48" s="298">
        <v>17549.32</v>
      </c>
      <c r="AE48" s="298">
        <v>23648.438709677423</v>
      </c>
      <c r="AF48" s="298">
        <v>25958.252999999997</v>
      </c>
      <c r="AG48" s="298">
        <v>33031.703225806457</v>
      </c>
      <c r="AH48" s="298">
        <v>39391.841290322584</v>
      </c>
      <c r="AI48" s="298">
        <v>44207.637333333339</v>
      </c>
      <c r="AJ48" s="298">
        <v>33471.058064516139</v>
      </c>
      <c r="AK48" s="298">
        <v>24118.342000000001</v>
      </c>
      <c r="AL48" s="298">
        <v>13157.070967741935</v>
      </c>
      <c r="AM48" s="298">
        <v>13067.437419354841</v>
      </c>
      <c r="AN48" s="298">
        <v>12036.78142857143</v>
      </c>
      <c r="AO48" s="298">
        <v>11339.692258064515</v>
      </c>
      <c r="AP48" s="298">
        <v>18377.754333333331</v>
      </c>
      <c r="AQ48" s="298">
        <v>19807.991612903224</v>
      </c>
      <c r="AR48" s="298">
        <v>32242.015999999992</v>
      </c>
      <c r="AS48" s="298">
        <v>39015.25161290323</v>
      </c>
      <c r="AT48" s="298">
        <v>32468.85838709677</v>
      </c>
      <c r="AU48" s="298">
        <v>37015.68</v>
      </c>
      <c r="AV48" s="298">
        <v>23005.141935483876</v>
      </c>
      <c r="AW48" s="298">
        <v>26110.171999999999</v>
      </c>
      <c r="AX48" s="298">
        <v>8044.2387096774191</v>
      </c>
    </row>
    <row r="49" spans="1:50" x14ac:dyDescent="0.3">
      <c r="A49" s="297" t="s">
        <v>3750</v>
      </c>
      <c r="B49" s="297" t="s">
        <v>317</v>
      </c>
      <c r="C49" s="298">
        <v>46943.454999999994</v>
      </c>
      <c r="D49" s="298">
        <v>38338.449655172415</v>
      </c>
      <c r="E49" s="298">
        <v>49825.829655172412</v>
      </c>
      <c r="F49" s="298">
        <v>52327.055172413806</v>
      </c>
      <c r="G49" s="298">
        <v>45881.290000000008</v>
      </c>
      <c r="H49" s="298">
        <v>40709.030000000006</v>
      </c>
      <c r="I49" s="298">
        <v>55793.399999999987</v>
      </c>
      <c r="J49" s="298">
        <v>62659.509999999995</v>
      </c>
      <c r="K49" s="298">
        <v>60831.780000000013</v>
      </c>
      <c r="L49" s="298">
        <v>55994.58</v>
      </c>
      <c r="M49" s="298">
        <v>55840.909999999996</v>
      </c>
      <c r="N49" s="298">
        <v>53871.990000000005</v>
      </c>
      <c r="O49" s="298">
        <v>152795.44</v>
      </c>
      <c r="P49" s="298">
        <v>245210.66000000009</v>
      </c>
      <c r="Q49" s="298">
        <v>46892.399999999987</v>
      </c>
      <c r="R49" s="298">
        <v>54071.290344827597</v>
      </c>
      <c r="S49" s="298">
        <v>43241.489999999991</v>
      </c>
      <c r="T49" s="298">
        <v>37625.960000000006</v>
      </c>
      <c r="U49" s="298">
        <v>37625.960000000006</v>
      </c>
      <c r="V49" s="298">
        <v>48383.61</v>
      </c>
      <c r="W49" s="298">
        <v>59629.474741210943</v>
      </c>
      <c r="X49" s="298">
        <v>54386.043823242188</v>
      </c>
      <c r="Y49" s="298">
        <v>48317.79931640625</v>
      </c>
      <c r="Z49" s="298">
        <v>50984.723979492199</v>
      </c>
      <c r="AA49" s="298">
        <v>42488.679999999993</v>
      </c>
      <c r="AB49" s="298">
        <v>51307.569999999992</v>
      </c>
      <c r="AC49" s="298">
        <v>39562.22</v>
      </c>
      <c r="AD49" s="298">
        <v>28748.880000000001</v>
      </c>
      <c r="AE49" s="298">
        <v>36928.896774193548</v>
      </c>
      <c r="AF49" s="298">
        <v>33275.183000000005</v>
      </c>
      <c r="AG49" s="298">
        <v>36554.651612903224</v>
      </c>
      <c r="AH49" s="298">
        <v>32995.648064516128</v>
      </c>
      <c r="AI49" s="298">
        <v>37057.130666666671</v>
      </c>
      <c r="AJ49" s="298">
        <v>30534.416129032259</v>
      </c>
      <c r="AK49" s="298">
        <v>28345.199333333338</v>
      </c>
      <c r="AL49" s="298">
        <v>19082.29354838709</v>
      </c>
      <c r="AM49" s="298">
        <v>20163.303225806449</v>
      </c>
      <c r="AN49" s="298">
        <v>21476.240000000005</v>
      </c>
      <c r="AO49" s="298">
        <v>18354.558387096771</v>
      </c>
      <c r="AP49" s="298">
        <v>18115.130333333334</v>
      </c>
      <c r="AQ49" s="298">
        <v>18635.194193548385</v>
      </c>
      <c r="AR49" s="298">
        <v>28759.871999999996</v>
      </c>
      <c r="AS49" s="298">
        <v>33675.880645161291</v>
      </c>
      <c r="AT49" s="298">
        <v>39049.173548387087</v>
      </c>
      <c r="AU49" s="298">
        <v>54562.282666666666</v>
      </c>
      <c r="AV49" s="298">
        <v>41360.216129032247</v>
      </c>
      <c r="AW49" s="298">
        <v>49626.61</v>
      </c>
      <c r="AX49" s="298">
        <v>28251.667741935478</v>
      </c>
    </row>
    <row r="50" spans="1:50" x14ac:dyDescent="0.3">
      <c r="A50" s="297" t="s">
        <v>3751</v>
      </c>
      <c r="B50" s="297" t="s">
        <v>3609</v>
      </c>
      <c r="C50" s="298">
        <v>7236.4849999999988</v>
      </c>
      <c r="D50" s="298">
        <v>6584.5475862068961</v>
      </c>
      <c r="E50" s="298">
        <v>7543.1872413793099</v>
      </c>
      <c r="F50" s="298">
        <v>11432.12068965517</v>
      </c>
      <c r="G50" s="298">
        <v>11572.58</v>
      </c>
      <c r="H50" s="298">
        <v>15737.010000000002</v>
      </c>
      <c r="I50" s="298">
        <v>16908.430000000004</v>
      </c>
      <c r="J50" s="298">
        <v>17816.050000000003</v>
      </c>
      <c r="K50" s="298">
        <v>1818</v>
      </c>
      <c r="L50" s="298">
        <v>11207.319999999998</v>
      </c>
      <c r="M50" s="298">
        <v>2985.8900000000003</v>
      </c>
      <c r="N50" s="298">
        <v>284.96999999999997</v>
      </c>
      <c r="O50" s="298">
        <v>2978.53</v>
      </c>
      <c r="P50" s="298">
        <v>1010.5400000000001</v>
      </c>
      <c r="Q50" s="298">
        <v>5942.4900000000007</v>
      </c>
      <c r="R50" s="298">
        <v>11813.191379310343</v>
      </c>
      <c r="S50" s="298">
        <v>7327.5900000000011</v>
      </c>
      <c r="T50" s="298">
        <v>11428.880000000003</v>
      </c>
      <c r="U50" s="298">
        <v>11428.880000000003</v>
      </c>
      <c r="V50" s="298">
        <v>17190.379999999997</v>
      </c>
      <c r="W50" s="298">
        <v>19709.599782714842</v>
      </c>
      <c r="X50" s="298">
        <v>15071.213745117188</v>
      </c>
      <c r="Y50" s="298">
        <v>10130.034927368164</v>
      </c>
      <c r="Z50" s="298">
        <v>2039.0444363880156</v>
      </c>
      <c r="AA50" s="298">
        <v>3065.9100000000003</v>
      </c>
      <c r="AB50" s="298">
        <v>6201.85</v>
      </c>
      <c r="AC50" s="298">
        <v>3396.5100000000007</v>
      </c>
      <c r="AD50" s="298">
        <v>7722.6500000000024</v>
      </c>
      <c r="AE50" s="298">
        <v>13394.032258064515</v>
      </c>
      <c r="AF50" s="298">
        <v>13652.193333333333</v>
      </c>
      <c r="AG50" s="298">
        <v>13914.445161290323</v>
      </c>
      <c r="AH50" s="298">
        <v>15961.936774193544</v>
      </c>
      <c r="AI50" s="298">
        <v>13613.429333333333</v>
      </c>
      <c r="AJ50" s="298">
        <v>10098.387096774193</v>
      </c>
      <c r="AK50" s="298">
        <v>6747.7193333333335</v>
      </c>
      <c r="AL50" s="298">
        <v>2781.9870967741936</v>
      </c>
      <c r="AM50" s="298">
        <v>4138.7767741935486</v>
      </c>
      <c r="AN50" s="298">
        <v>1962.3678571428568</v>
      </c>
      <c r="AO50" s="298">
        <v>1780.7029032258065</v>
      </c>
      <c r="AP50" s="298">
        <v>4104.2443333333322</v>
      </c>
      <c r="AQ50" s="298">
        <v>5171.018064516129</v>
      </c>
      <c r="AR50" s="298">
        <v>10340.384</v>
      </c>
      <c r="AS50" s="298">
        <v>12056.264516129031</v>
      </c>
      <c r="AT50" s="298">
        <v>11477.02129032258</v>
      </c>
      <c r="AU50" s="298">
        <v>10972.469333333334</v>
      </c>
      <c r="AV50" s="298">
        <v>7481.8161290322578</v>
      </c>
      <c r="AW50" s="298">
        <v>11683.407999999999</v>
      </c>
      <c r="AX50" s="298">
        <v>4297.0838709677419</v>
      </c>
    </row>
    <row r="51" spans="1:50" x14ac:dyDescent="0.3">
      <c r="A51" s="297" t="s">
        <v>194</v>
      </c>
      <c r="B51" s="297" t="s">
        <v>195</v>
      </c>
      <c r="C51" s="298">
        <v>3671.1846875000006</v>
      </c>
      <c r="D51" s="298">
        <v>1954.1682758620691</v>
      </c>
      <c r="E51" s="298">
        <v>3937.9620689655171</v>
      </c>
      <c r="F51" s="298">
        <v>4174.562068965517</v>
      </c>
      <c r="G51" s="298">
        <v>4081.27</v>
      </c>
      <c r="H51" s="298">
        <v>4564.8100000000004</v>
      </c>
      <c r="I51" s="298">
        <v>7892.8899999999985</v>
      </c>
      <c r="J51" s="298">
        <v>7221.1600000000008</v>
      </c>
      <c r="K51" s="298">
        <v>6171.1700000000019</v>
      </c>
      <c r="L51" s="298">
        <v>5462.6599999999989</v>
      </c>
      <c r="M51" s="298">
        <v>4611.2200000000012</v>
      </c>
      <c r="N51" s="298">
        <v>2601.690000000001</v>
      </c>
      <c r="O51" s="298">
        <v>3333.9499999999994</v>
      </c>
      <c r="P51" s="298">
        <v>3068.98</v>
      </c>
      <c r="Q51" s="298">
        <v>3903.8199999999997</v>
      </c>
      <c r="R51" s="298">
        <v>4313.7141379310342</v>
      </c>
      <c r="S51" s="298">
        <v>4416.8499999999995</v>
      </c>
      <c r="T51" s="298">
        <v>3005.4899999999993</v>
      </c>
      <c r="U51" s="298">
        <v>3005.4899999999993</v>
      </c>
      <c r="V51" s="298">
        <v>4496.2000000000007</v>
      </c>
      <c r="W51" s="298">
        <v>5930.7177264404299</v>
      </c>
      <c r="X51" s="298">
        <v>4731.6090621948242</v>
      </c>
      <c r="Y51" s="298">
        <v>3231.0704193115234</v>
      </c>
      <c r="Z51" s="298">
        <v>2768.6874824523929</v>
      </c>
      <c r="AA51" s="298">
        <v>2696.369999999999</v>
      </c>
      <c r="AB51" s="298">
        <v>3325.3600000000006</v>
      </c>
      <c r="AC51" s="298">
        <v>2662.5899999999997</v>
      </c>
      <c r="AD51" s="298">
        <v>1970.0699999999995</v>
      </c>
      <c r="AE51" s="298">
        <v>3881.883870967742</v>
      </c>
      <c r="AF51" s="298">
        <v>3774.0329999999999</v>
      </c>
      <c r="AG51" s="298">
        <v>4463.0032258064521</v>
      </c>
      <c r="AH51" s="298">
        <v>4910.064838709678</v>
      </c>
      <c r="AI51" s="298">
        <v>5871.8079999999991</v>
      </c>
      <c r="AJ51" s="298">
        <v>4418.3709677419356</v>
      </c>
      <c r="AK51" s="298">
        <v>3897.3859999999986</v>
      </c>
      <c r="AL51" s="298">
        <v>1572.483870967742</v>
      </c>
      <c r="AM51" s="298">
        <v>2271.7729032258067</v>
      </c>
      <c r="AN51" s="298">
        <v>2340.931785714286</v>
      </c>
      <c r="AO51" s="298">
        <v>2544.9277419354839</v>
      </c>
      <c r="AP51" s="298">
        <v>4074.5193333333341</v>
      </c>
      <c r="AQ51" s="298">
        <v>3616.1877419354832</v>
      </c>
      <c r="AR51" s="298">
        <v>5405.6960000000008</v>
      </c>
      <c r="AS51" s="298">
        <v>5534.3322580645163</v>
      </c>
      <c r="AT51" s="298">
        <v>4874.3761290322591</v>
      </c>
      <c r="AU51" s="298">
        <v>5659.5520000000006</v>
      </c>
      <c r="AV51" s="298">
        <v>3902.5258064516124</v>
      </c>
      <c r="AW51" s="298">
        <v>4151.0149999999994</v>
      </c>
      <c r="AX51" s="298">
        <v>2369.7870967741933</v>
      </c>
    </row>
    <row r="52" spans="1:50" x14ac:dyDescent="0.3">
      <c r="A52" s="297" t="s">
        <v>3752</v>
      </c>
      <c r="B52" s="297" t="s">
        <v>528</v>
      </c>
      <c r="C52" s="298">
        <v>92234.677812499984</v>
      </c>
      <c r="D52" s="298">
        <v>72188.364137931028</v>
      </c>
      <c r="E52" s="298">
        <v>63488.064137931033</v>
      </c>
      <c r="F52" s="298">
        <v>88991.82413793102</v>
      </c>
      <c r="G52" s="298">
        <v>93087.02</v>
      </c>
      <c r="H52" s="298">
        <v>129673.45</v>
      </c>
      <c r="I52" s="298">
        <v>249407.99999999994</v>
      </c>
      <c r="J52" s="298">
        <v>291652.77999999991</v>
      </c>
      <c r="K52" s="298">
        <v>210401.41</v>
      </c>
      <c r="L52" s="298">
        <v>145626.20000000001</v>
      </c>
      <c r="M52" s="298">
        <v>107282.56</v>
      </c>
      <c r="N52" s="298">
        <v>45742.51999999999</v>
      </c>
      <c r="O52" s="298">
        <v>46052.94</v>
      </c>
      <c r="P52" s="298">
        <v>17639.149999999998</v>
      </c>
      <c r="Q52" s="298">
        <v>58144.930000000008</v>
      </c>
      <c r="R52" s="298">
        <v>91958.218275862062</v>
      </c>
      <c r="S52" s="298">
        <v>68690.559999999998</v>
      </c>
      <c r="T52" s="298">
        <v>139997.5</v>
      </c>
      <c r="U52" s="298">
        <v>139997.5</v>
      </c>
      <c r="V52" s="298">
        <v>214229.53999999998</v>
      </c>
      <c r="W52" s="298">
        <v>251320.57806640628</v>
      </c>
      <c r="X52" s="298">
        <v>165669.66625976563</v>
      </c>
      <c r="Y52" s="298">
        <v>95396.983093261719</v>
      </c>
      <c r="Z52" s="298">
        <v>49752.16059661864</v>
      </c>
      <c r="AA52" s="298">
        <v>63172.56</v>
      </c>
      <c r="AB52" s="298">
        <v>72755.58</v>
      </c>
      <c r="AC52" s="298">
        <v>40076.979999999996</v>
      </c>
      <c r="AD52" s="298">
        <v>81820.289999999994</v>
      </c>
      <c r="AE52" s="298">
        <v>127593.67741935483</v>
      </c>
      <c r="AF52" s="298">
        <v>161490.76966666666</v>
      </c>
      <c r="AG52" s="298">
        <v>199064.81612903226</v>
      </c>
      <c r="AH52" s="298">
        <v>243231.84967741938</v>
      </c>
      <c r="AI52" s="298">
        <v>260168.3306666667</v>
      </c>
      <c r="AJ52" s="298">
        <v>208295.11935483871</v>
      </c>
      <c r="AK52" s="298">
        <v>107432.5653333333</v>
      </c>
      <c r="AL52" s="298">
        <v>45229.26774193548</v>
      </c>
      <c r="AM52" s="298">
        <v>55512.206451612903</v>
      </c>
      <c r="AN52" s="298">
        <v>54804.676428571416</v>
      </c>
      <c r="AO52" s="298">
        <v>40525.694516129035</v>
      </c>
      <c r="AP52" s="298">
        <v>89823.662333333312</v>
      </c>
      <c r="AQ52" s="298">
        <v>114701.10870967744</v>
      </c>
      <c r="AR52" s="298">
        <v>215315.17866666673</v>
      </c>
      <c r="AS52" s="298">
        <v>257306.00322580649</v>
      </c>
      <c r="AT52" s="298">
        <v>226153.72161290317</v>
      </c>
      <c r="AU52" s="298">
        <v>243680.67199999999</v>
      </c>
      <c r="AV52" s="298">
        <v>160159.77096774196</v>
      </c>
      <c r="AW52" s="298">
        <v>165737.39599999998</v>
      </c>
      <c r="AX52" s="298">
        <v>51599.874193548385</v>
      </c>
    </row>
    <row r="53" spans="1:50" x14ac:dyDescent="0.3">
      <c r="A53" s="297" t="s">
        <v>3753</v>
      </c>
      <c r="B53" s="297" t="s">
        <v>526</v>
      </c>
      <c r="C53" s="298">
        <v>61087.514999999999</v>
      </c>
      <c r="D53" s="298">
        <v>57070.063448275876</v>
      </c>
      <c r="E53" s="298">
        <v>52421.833793103448</v>
      </c>
      <c r="F53" s="298">
        <v>66209.089655172444</v>
      </c>
      <c r="G53" s="298">
        <v>70325.039999999994</v>
      </c>
      <c r="H53" s="298">
        <v>92661.709999999992</v>
      </c>
      <c r="I53" s="298">
        <v>154008.57999999999</v>
      </c>
      <c r="J53" s="298">
        <v>168797.08</v>
      </c>
      <c r="K53" s="298">
        <v>124876.47</v>
      </c>
      <c r="L53" s="298">
        <v>107443.04999999997</v>
      </c>
      <c r="M53" s="298">
        <v>85906.42</v>
      </c>
      <c r="N53" s="298">
        <v>54214.02</v>
      </c>
      <c r="O53" s="298">
        <v>48731.19</v>
      </c>
      <c r="P53" s="298">
        <v>33763.69</v>
      </c>
      <c r="Q53" s="298">
        <v>59424.369999999988</v>
      </c>
      <c r="R53" s="298">
        <v>68416.059310344848</v>
      </c>
      <c r="S53" s="298">
        <v>92747.650000000009</v>
      </c>
      <c r="T53" s="298">
        <v>110183.26</v>
      </c>
      <c r="U53" s="298">
        <v>110183.26</v>
      </c>
      <c r="V53" s="298">
        <v>134290.97</v>
      </c>
      <c r="W53" s="298">
        <v>148567.59447265623</v>
      </c>
      <c r="X53" s="298">
        <v>111464.58203125</v>
      </c>
      <c r="Y53" s="298">
        <v>92019.81298828125</v>
      </c>
      <c r="Z53" s="298">
        <v>73387.540119628902</v>
      </c>
      <c r="AA53" s="298">
        <v>72713.650000000009</v>
      </c>
      <c r="AB53" s="298">
        <v>87175.6</v>
      </c>
      <c r="AC53" s="298">
        <v>75632.899999999994</v>
      </c>
      <c r="AD53" s="298">
        <v>85578.57</v>
      </c>
      <c r="AE53" s="298">
        <v>114655.59677419355</v>
      </c>
      <c r="AF53" s="298">
        <v>130565.58299999998</v>
      </c>
      <c r="AG53" s="298">
        <v>135822.73548387099</v>
      </c>
      <c r="AH53" s="298">
        <v>146926.74129032259</v>
      </c>
      <c r="AI53" s="298">
        <v>183820.49066666668</v>
      </c>
      <c r="AJ53" s="298">
        <v>147966.57096774192</v>
      </c>
      <c r="AK53" s="298">
        <v>104423.67866666667</v>
      </c>
      <c r="AL53" s="298">
        <v>67735.06451612903</v>
      </c>
      <c r="AM53" s="298">
        <v>84967.607741935484</v>
      </c>
      <c r="AN53" s="298">
        <v>86920.001428571428</v>
      </c>
      <c r="AO53" s="298">
        <v>73220.11677419355</v>
      </c>
      <c r="AP53" s="298">
        <v>87494.45</v>
      </c>
      <c r="AQ53" s="298">
        <v>79340.810000000012</v>
      </c>
      <c r="AR53" s="298">
        <v>96324.565333333318</v>
      </c>
      <c r="AS53" s="298">
        <v>151626.45483870964</v>
      </c>
      <c r="AT53" s="298">
        <v>134123.83064516127</v>
      </c>
      <c r="AU53" s="298">
        <v>146456.85333333336</v>
      </c>
      <c r="AV53" s="298">
        <v>109362.51290322578</v>
      </c>
      <c r="AW53" s="298">
        <v>127686.21799999998</v>
      </c>
      <c r="AX53" s="298">
        <v>65761.403225806454</v>
      </c>
    </row>
    <row r="54" spans="1:50" x14ac:dyDescent="0.3">
      <c r="A54" s="297" t="s">
        <v>3754</v>
      </c>
      <c r="B54" s="297" t="s">
        <v>186</v>
      </c>
      <c r="C54" s="298">
        <v>7400.7074999999986</v>
      </c>
      <c r="D54" s="298">
        <v>12370.342068965521</v>
      </c>
      <c r="E54" s="298">
        <v>8047.835172413791</v>
      </c>
      <c r="F54" s="298">
        <v>10820.399999999998</v>
      </c>
      <c r="G54" s="298">
        <v>9412.81</v>
      </c>
      <c r="H54" s="298">
        <v>10035.960000000001</v>
      </c>
      <c r="I54" s="298">
        <v>20143.370000000003</v>
      </c>
      <c r="J54" s="298">
        <v>23634.610000000008</v>
      </c>
      <c r="K54" s="298">
        <v>16547.109999999997</v>
      </c>
      <c r="L54" s="298">
        <v>13336.2</v>
      </c>
      <c r="M54" s="298">
        <v>9406.2299999999977</v>
      </c>
      <c r="N54" s="298">
        <v>4768.51</v>
      </c>
      <c r="O54" s="298">
        <v>5025.2800000000007</v>
      </c>
      <c r="P54" s="298">
        <v>3710.2999999999988</v>
      </c>
      <c r="Q54" s="298">
        <v>5817.8399999999992</v>
      </c>
      <c r="R54" s="298">
        <v>11181.079999999998</v>
      </c>
      <c r="S54" s="298">
        <v>5849.1100000000015</v>
      </c>
      <c r="T54" s="298">
        <v>8912.130000000001</v>
      </c>
      <c r="U54" s="298">
        <v>8912.130000000001</v>
      </c>
      <c r="V54" s="298">
        <v>18944.310000000001</v>
      </c>
      <c r="W54" s="298">
        <v>25111.254248046884</v>
      </c>
      <c r="X54" s="298">
        <v>16859.581329345703</v>
      </c>
      <c r="Y54" s="298">
        <v>12695.831939697266</v>
      </c>
      <c r="Z54" s="298">
        <v>7358.1298489379869</v>
      </c>
      <c r="AA54" s="298">
        <v>7493.61</v>
      </c>
      <c r="AB54" s="298">
        <v>11115.38</v>
      </c>
      <c r="AC54" s="298">
        <v>6073.27</v>
      </c>
      <c r="AD54" s="298">
        <v>8777.51</v>
      </c>
      <c r="AE54" s="298">
        <v>9876.1258064516132</v>
      </c>
      <c r="AF54" s="298">
        <v>10363.031333333334</v>
      </c>
      <c r="AG54" s="298">
        <v>10763.254838709678</v>
      </c>
      <c r="AH54" s="298">
        <v>15192.60419354839</v>
      </c>
      <c r="AI54" s="298">
        <v>20404.991999999995</v>
      </c>
      <c r="AJ54" s="298">
        <v>15673.035483870966</v>
      </c>
      <c r="AK54" s="298">
        <v>6783.6006666666681</v>
      </c>
      <c r="AL54" s="298">
        <v>2957.7580645161288</v>
      </c>
      <c r="AM54" s="298">
        <v>2911.3703225806453</v>
      </c>
      <c r="AN54" s="298">
        <v>3814.5667857142857</v>
      </c>
      <c r="AO54" s="298">
        <v>3406.414838709677</v>
      </c>
      <c r="AP54" s="298">
        <v>3973.7539999999985</v>
      </c>
      <c r="AQ54" s="298">
        <v>4115.0532258064513</v>
      </c>
      <c r="AR54" s="298">
        <v>8505.7813333333343</v>
      </c>
      <c r="AS54" s="298">
        <v>17159.129032258068</v>
      </c>
      <c r="AT54" s="298">
        <v>14374.757419354837</v>
      </c>
      <c r="AU54" s="298">
        <v>18114.336000000003</v>
      </c>
      <c r="AV54" s="298">
        <v>11427.880645161291</v>
      </c>
      <c r="AW54" s="298">
        <v>11134.871000000001</v>
      </c>
      <c r="AX54" s="298">
        <v>3891.7838709677417</v>
      </c>
    </row>
    <row r="55" spans="1:50" x14ac:dyDescent="0.3">
      <c r="A55" s="297" t="s">
        <v>3755</v>
      </c>
      <c r="B55" s="297" t="s">
        <v>534</v>
      </c>
      <c r="C55" s="298">
        <v>18415.443437499998</v>
      </c>
      <c r="D55" s="298">
        <v>44752.776551724128</v>
      </c>
      <c r="E55" s="298">
        <v>31149.366551724139</v>
      </c>
      <c r="F55" s="298">
        <v>24056.731034482767</v>
      </c>
      <c r="G55" s="298">
        <v>18477.659999999996</v>
      </c>
      <c r="H55" s="298">
        <v>18973.11</v>
      </c>
      <c r="I55" s="298">
        <v>39351.699999999997</v>
      </c>
      <c r="J55" s="298">
        <v>48036.770000000011</v>
      </c>
      <c r="K55" s="298">
        <v>48581.280000000006</v>
      </c>
      <c r="L55" s="298">
        <v>36493.089999999989</v>
      </c>
      <c r="M55" s="298">
        <v>34554.820000000007</v>
      </c>
      <c r="N55" s="298">
        <v>19034.88</v>
      </c>
      <c r="O55" s="298">
        <v>36125.08</v>
      </c>
      <c r="P55" s="298">
        <v>9341.0199999999986</v>
      </c>
      <c r="Q55" s="298">
        <v>14744.42</v>
      </c>
      <c r="R55" s="298">
        <v>24858.622068965524</v>
      </c>
      <c r="S55" s="298">
        <v>18716.47</v>
      </c>
      <c r="T55" s="298">
        <v>31928.359999999997</v>
      </c>
      <c r="U55" s="298">
        <v>31928.36</v>
      </c>
      <c r="V55" s="298">
        <v>52109.049999999996</v>
      </c>
      <c r="W55" s="298">
        <v>79740.746455078115</v>
      </c>
      <c r="X55" s="298">
        <v>64863.4619140625</v>
      </c>
      <c r="Y55" s="298">
        <v>35712.453002929688</v>
      </c>
      <c r="Z55" s="298">
        <v>2838.6502014160151</v>
      </c>
      <c r="AA55" s="298">
        <v>24824.190000000002</v>
      </c>
      <c r="AB55" s="298">
        <v>93979.720000000016</v>
      </c>
      <c r="AC55" s="298">
        <v>38873.719999999994</v>
      </c>
      <c r="AD55" s="298">
        <v>66199.23000000001</v>
      </c>
      <c r="AE55" s="298">
        <v>37890.135483870967</v>
      </c>
      <c r="AF55" s="298">
        <v>39454.619666666666</v>
      </c>
      <c r="AG55" s="298">
        <v>42445.761290322582</v>
      </c>
      <c r="AH55" s="298">
        <v>39363.570967741929</v>
      </c>
      <c r="AI55" s="298">
        <v>44475.114666666654</v>
      </c>
      <c r="AJ55" s="298">
        <v>30533.661290322576</v>
      </c>
      <c r="AK55" s="298">
        <v>17822.17666666667</v>
      </c>
      <c r="AL55" s="298">
        <v>5983.819354838708</v>
      </c>
      <c r="AM55" s="298">
        <v>9894.5651612903221</v>
      </c>
      <c r="AN55" s="298">
        <v>6204.1460714285722</v>
      </c>
      <c r="AO55" s="298">
        <v>3950.2583870967742</v>
      </c>
      <c r="AP55" s="298">
        <v>6944.2723333333342</v>
      </c>
      <c r="AQ55" s="298">
        <v>18840.327096774192</v>
      </c>
      <c r="AR55" s="298">
        <v>28541.290666666675</v>
      </c>
      <c r="AS55" s="298">
        <v>43837.016129032258</v>
      </c>
      <c r="AT55" s="298">
        <v>42582.1406451613</v>
      </c>
      <c r="AU55" s="298">
        <v>74949.26933333333</v>
      </c>
      <c r="AV55" s="298">
        <v>54808.441935483876</v>
      </c>
      <c r="AW55" s="298">
        <v>32818.653999999995</v>
      </c>
      <c r="AX55" s="298">
        <v>12570.812903225809</v>
      </c>
    </row>
    <row r="56" spans="1:50" x14ac:dyDescent="0.3">
      <c r="A56" s="297" t="s">
        <v>3756</v>
      </c>
      <c r="B56" s="297" t="s">
        <v>544</v>
      </c>
      <c r="C56" s="298">
        <v>8657.8059374999993</v>
      </c>
      <c r="D56" s="298">
        <v>9296.8496551724147</v>
      </c>
      <c r="E56" s="298">
        <v>8463.0855172413794</v>
      </c>
      <c r="F56" s="298">
        <v>10654.034482758621</v>
      </c>
      <c r="G56" s="298">
        <v>10320.669999999998</v>
      </c>
      <c r="H56" s="298">
        <v>12296.770000000002</v>
      </c>
      <c r="I56" s="298">
        <v>18941.599999999999</v>
      </c>
      <c r="J56" s="298">
        <v>15419.759999999998</v>
      </c>
      <c r="K56" s="298">
        <v>10158.580000000002</v>
      </c>
      <c r="L56" s="298">
        <v>7139.63</v>
      </c>
      <c r="M56" s="298">
        <v>4009.2700000000004</v>
      </c>
      <c r="N56" s="298">
        <v>3828.2899999999995</v>
      </c>
      <c r="O56" s="298">
        <v>5879.5400000000009</v>
      </c>
      <c r="P56" s="298">
        <v>8814.0299999999988</v>
      </c>
      <c r="Q56" s="298">
        <v>8442.0600000000013</v>
      </c>
      <c r="R56" s="298">
        <v>11009.168965517243</v>
      </c>
      <c r="S56" s="298">
        <v>13215.399999999998</v>
      </c>
      <c r="T56" s="298">
        <v>14991.33</v>
      </c>
      <c r="U56" s="298">
        <v>14991.33</v>
      </c>
      <c r="V56" s="298">
        <v>15404.029999999999</v>
      </c>
      <c r="W56" s="298">
        <v>17454.365405273442</v>
      </c>
      <c r="X56" s="298">
        <v>13443.367004394531</v>
      </c>
      <c r="Y56" s="298">
        <v>9672.3279266357422</v>
      </c>
      <c r="Z56" s="298">
        <v>6209.5081832885762</v>
      </c>
      <c r="AA56" s="298">
        <v>4386.1900000000005</v>
      </c>
      <c r="AB56" s="298">
        <v>8432.69</v>
      </c>
      <c r="AC56" s="298">
        <v>5706.6099999999988</v>
      </c>
      <c r="AD56" s="298">
        <v>3836.2100000000005</v>
      </c>
      <c r="AE56" s="298">
        <v>3399.7548387096776</v>
      </c>
      <c r="AF56" s="298">
        <v>5522.257333333333</v>
      </c>
      <c r="AG56" s="298">
        <v>8300.9612903225807</v>
      </c>
      <c r="AH56" s="298">
        <v>12581.275806451615</v>
      </c>
      <c r="AI56" s="298">
        <v>26724.032000000007</v>
      </c>
      <c r="AJ56" s="298">
        <v>17698.741935483868</v>
      </c>
      <c r="AK56" s="298">
        <v>6316.6560000000009</v>
      </c>
      <c r="AL56" s="298">
        <v>3306.7548387096772</v>
      </c>
      <c r="AM56" s="298">
        <v>3662.6683870967736</v>
      </c>
      <c r="AN56" s="298">
        <v>3385.3564285714297</v>
      </c>
      <c r="AO56" s="298">
        <v>3079.3977419354837</v>
      </c>
      <c r="AP56" s="298">
        <v>3373.6280000000002</v>
      </c>
      <c r="AQ56" s="298">
        <v>3966.9941935483866</v>
      </c>
      <c r="AR56" s="298">
        <v>6566.5493333333325</v>
      </c>
      <c r="AS56" s="298">
        <v>8851.8387096774168</v>
      </c>
      <c r="AT56" s="298">
        <v>12143.282258064519</v>
      </c>
      <c r="AU56" s="298">
        <v>16940.693333333333</v>
      </c>
      <c r="AV56" s="298">
        <v>10250.506451612904</v>
      </c>
      <c r="AW56" s="298">
        <v>10341.011999999999</v>
      </c>
      <c r="AX56" s="298">
        <v>4066.4419354838706</v>
      </c>
    </row>
    <row r="57" spans="1:50" x14ac:dyDescent="0.3">
      <c r="A57" s="297" t="s">
        <v>3757</v>
      </c>
      <c r="B57" s="297" t="s">
        <v>546</v>
      </c>
      <c r="C57" s="298">
        <v>934.84374999999989</v>
      </c>
      <c r="D57" s="298">
        <v>1039.5627586206897</v>
      </c>
      <c r="E57" s="298">
        <v>1544.7941379310344</v>
      </c>
      <c r="F57" s="298">
        <v>1554.6413793103445</v>
      </c>
      <c r="G57" s="298">
        <v>744.68000000000018</v>
      </c>
      <c r="H57" s="298">
        <v>364.82</v>
      </c>
      <c r="I57" s="298">
        <v>2232.9899999999998</v>
      </c>
      <c r="J57" s="298">
        <v>1560.8400000000004</v>
      </c>
      <c r="K57" s="298">
        <v>941.42</v>
      </c>
      <c r="L57" s="298">
        <v>595.24000000000012</v>
      </c>
      <c r="M57" s="298">
        <v>874.74</v>
      </c>
      <c r="N57" s="298">
        <v>316.06000000000006</v>
      </c>
      <c r="O57" s="298">
        <v>314.62000000000006</v>
      </c>
      <c r="P57" s="298">
        <v>137.79</v>
      </c>
      <c r="Q57" s="298">
        <v>530.76</v>
      </c>
      <c r="R57" s="298">
        <v>1606.4627586206893</v>
      </c>
      <c r="S57" s="298">
        <v>734.87000000000023</v>
      </c>
      <c r="T57" s="298">
        <v>378.67999999999995</v>
      </c>
      <c r="U57" s="298">
        <v>378.67999999999995</v>
      </c>
      <c r="V57" s="298">
        <v>4709.51</v>
      </c>
      <c r="W57" s="298">
        <v>5808.9417413330075</v>
      </c>
      <c r="X57" s="298">
        <v>4409.0409622192383</v>
      </c>
      <c r="Y57" s="298">
        <v>2970.3769340515137</v>
      </c>
      <c r="Z57" s="298">
        <v>1659.982823371887</v>
      </c>
      <c r="AA57" s="298">
        <v>2181.2000000000003</v>
      </c>
      <c r="AB57" s="298">
        <v>2591.5200000000004</v>
      </c>
      <c r="AC57" s="298">
        <v>1566.37</v>
      </c>
      <c r="AD57" s="298">
        <v>954.77</v>
      </c>
      <c r="AE57" s="298">
        <v>925.06451612903231</v>
      </c>
      <c r="AF57" s="298">
        <v>1042.6023333333335</v>
      </c>
      <c r="AG57" s="298">
        <v>1674.183870967742</v>
      </c>
      <c r="AH57" s="298">
        <v>1954.6000000000006</v>
      </c>
      <c r="AI57" s="298">
        <v>2151.7013333333334</v>
      </c>
      <c r="AJ57" s="298">
        <v>1611.2225806451613</v>
      </c>
      <c r="AK57" s="298">
        <v>1294.7879999999998</v>
      </c>
      <c r="AL57" s="298">
        <v>847.87741935483859</v>
      </c>
      <c r="AM57" s="298">
        <v>1111.6593548387098</v>
      </c>
      <c r="AN57" s="298">
        <v>1158.4982142857141</v>
      </c>
      <c r="AO57" s="298">
        <v>1023.9245161290322</v>
      </c>
      <c r="AP57" s="298">
        <v>1237.2656666666662</v>
      </c>
      <c r="AQ57" s="298">
        <v>880.30903225806458</v>
      </c>
      <c r="AR57" s="298">
        <v>1641.4506666666666</v>
      </c>
      <c r="AS57" s="298">
        <v>5888.4</v>
      </c>
      <c r="AT57" s="298">
        <v>5025.1293548387102</v>
      </c>
      <c r="AU57" s="298">
        <v>4901.909333333334</v>
      </c>
      <c r="AV57" s="298">
        <v>3989.883870967742</v>
      </c>
      <c r="AW57" s="298">
        <v>3678.7189999999991</v>
      </c>
      <c r="AX57" s="298">
        <v>1580.4677419354839</v>
      </c>
    </row>
    <row r="58" spans="1:50" x14ac:dyDescent="0.3">
      <c r="A58" s="297" t="s">
        <v>3758</v>
      </c>
      <c r="B58" s="297" t="s">
        <v>550</v>
      </c>
      <c r="C58" s="298">
        <v>1678.6596875</v>
      </c>
      <c r="D58" s="298">
        <v>1067.6882758620686</v>
      </c>
      <c r="E58" s="298">
        <v>2017.6617241379304</v>
      </c>
      <c r="F58" s="298">
        <v>2273.2448275862071</v>
      </c>
      <c r="G58" s="298">
        <v>1666.6500000000003</v>
      </c>
      <c r="H58" s="298">
        <v>2046.29</v>
      </c>
      <c r="I58" s="298">
        <v>5527.4500000000007</v>
      </c>
      <c r="J58" s="298">
        <v>5132.8100000000004</v>
      </c>
      <c r="K58" s="298">
        <v>4617.1099999999997</v>
      </c>
      <c r="L58" s="298">
        <v>3939.9799999999996</v>
      </c>
      <c r="M58" s="298">
        <v>3104.1699999999996</v>
      </c>
      <c r="N58" s="298">
        <v>2122.52</v>
      </c>
      <c r="O58" s="298">
        <v>2431.59</v>
      </c>
      <c r="P58" s="298">
        <v>4035.17</v>
      </c>
      <c r="Q58" s="298">
        <v>1222.2600000000002</v>
      </c>
      <c r="R58" s="298">
        <v>2349.0196551724139</v>
      </c>
      <c r="S58" s="298">
        <v>1268.54</v>
      </c>
      <c r="T58" s="298">
        <v>1966.6200000000003</v>
      </c>
      <c r="U58" s="298">
        <v>1966.6200000000001</v>
      </c>
      <c r="V58" s="298">
        <v>3443.1800000000007</v>
      </c>
      <c r="W58" s="298">
        <v>6700.1343182373048</v>
      </c>
      <c r="X58" s="298">
        <v>4939.5760307312012</v>
      </c>
      <c r="Y58" s="298">
        <v>2571.0039463043213</v>
      </c>
      <c r="Z58" s="298">
        <v>542.00680704116826</v>
      </c>
      <c r="AA58" s="298">
        <v>884.43999999999994</v>
      </c>
      <c r="AB58" s="298">
        <v>2148.52</v>
      </c>
      <c r="AC58" s="298">
        <v>910.82</v>
      </c>
      <c r="AD58" s="298">
        <v>301.74</v>
      </c>
      <c r="AE58" s="298">
        <v>908.4</v>
      </c>
      <c r="AF58" s="298">
        <v>1589.4423333333334</v>
      </c>
      <c r="AG58" s="298">
        <v>3587.2741935483873</v>
      </c>
      <c r="AH58" s="298">
        <v>4249.0893548387094</v>
      </c>
      <c r="AI58" s="298">
        <v>6016.2773333333325</v>
      </c>
      <c r="AJ58" s="298">
        <v>4163.7096774193542</v>
      </c>
      <c r="AK58" s="298">
        <v>1721.7486666666668</v>
      </c>
      <c r="AL58" s="298">
        <v>821.65161290322578</v>
      </c>
      <c r="AM58" s="298">
        <v>924.87225806451636</v>
      </c>
      <c r="AN58" s="298">
        <v>920.83285714285716</v>
      </c>
      <c r="AO58" s="298">
        <v>786.37709677419343</v>
      </c>
      <c r="AP58" s="298">
        <v>1280.3499999999999</v>
      </c>
      <c r="AQ58" s="298">
        <v>1208.2990322580647</v>
      </c>
      <c r="AR58" s="298">
        <v>2502.7840000000006</v>
      </c>
      <c r="AS58" s="298">
        <v>5790.6774193548399</v>
      </c>
      <c r="AT58" s="298">
        <v>5190.4106451612906</v>
      </c>
      <c r="AU58" s="298">
        <v>6048.8106666666636</v>
      </c>
      <c r="AV58" s="298">
        <v>3313.5774193548391</v>
      </c>
      <c r="AW58" s="298">
        <v>3622.7950000000005</v>
      </c>
      <c r="AX58" s="298">
        <v>511.29677419354829</v>
      </c>
    </row>
    <row r="59" spans="1:50" x14ac:dyDescent="0.3">
      <c r="A59" s="297" t="s">
        <v>3759</v>
      </c>
      <c r="B59" s="297" t="s">
        <v>560</v>
      </c>
      <c r="C59" s="298">
        <v>13961.683125000001</v>
      </c>
      <c r="D59" s="298">
        <v>18040.525517241378</v>
      </c>
      <c r="E59" s="298">
        <v>12777.35551724138</v>
      </c>
      <c r="F59" s="298">
        <v>16554.031034482763</v>
      </c>
      <c r="G59" s="298">
        <v>15093.800000000001</v>
      </c>
      <c r="H59" s="298">
        <v>19930.399999999998</v>
      </c>
      <c r="I59" s="298">
        <v>31344.389999999996</v>
      </c>
      <c r="J59" s="298">
        <v>22916.489999999998</v>
      </c>
      <c r="K59" s="298">
        <v>24067.800000000007</v>
      </c>
      <c r="L59" s="298">
        <v>22576.789999999994</v>
      </c>
      <c r="M59" s="298">
        <v>20992.67</v>
      </c>
      <c r="N59" s="298">
        <v>10960.689999999999</v>
      </c>
      <c r="O59" s="298">
        <v>11592.1</v>
      </c>
      <c r="P59" s="298">
        <v>7849.63</v>
      </c>
      <c r="Q59" s="298">
        <v>11396.509999999998</v>
      </c>
      <c r="R59" s="298">
        <v>17105.832068965519</v>
      </c>
      <c r="S59" s="298">
        <v>12906.330000000004</v>
      </c>
      <c r="T59" s="298">
        <v>17440.68</v>
      </c>
      <c r="U59" s="298">
        <v>17440.68</v>
      </c>
      <c r="V59" s="298">
        <v>25376.920000000002</v>
      </c>
      <c r="W59" s="298">
        <v>30405.806293945316</v>
      </c>
      <c r="X59" s="298">
        <v>24841.624206542969</v>
      </c>
      <c r="Y59" s="298">
        <v>17498.353912353516</v>
      </c>
      <c r="Z59" s="298">
        <v>11566.989368896484</v>
      </c>
      <c r="AA59" s="298">
        <v>11722.38</v>
      </c>
      <c r="AB59" s="298">
        <v>13936.989999999998</v>
      </c>
      <c r="AC59" s="298">
        <v>9418.61</v>
      </c>
      <c r="AD59" s="298">
        <v>7758.76</v>
      </c>
      <c r="AE59" s="298">
        <v>8596.6741935483878</v>
      </c>
      <c r="AF59" s="298">
        <v>9109.1743333333343</v>
      </c>
      <c r="AG59" s="298">
        <v>14570.429032258065</v>
      </c>
      <c r="AH59" s="298">
        <v>18543.404516129031</v>
      </c>
      <c r="AI59" s="298">
        <v>28062.03733333333</v>
      </c>
      <c r="AJ59" s="298">
        <v>20747.312903225815</v>
      </c>
      <c r="AK59" s="298">
        <v>10571.042000000003</v>
      </c>
      <c r="AL59" s="298">
        <v>6789.0774193548386</v>
      </c>
      <c r="AM59" s="298">
        <v>7690.5600000000022</v>
      </c>
      <c r="AN59" s="298">
        <v>7055.2028571428546</v>
      </c>
      <c r="AO59" s="298">
        <v>6293.5612903225801</v>
      </c>
      <c r="AP59" s="298">
        <v>8096.3263333333334</v>
      </c>
      <c r="AQ59" s="298">
        <v>7996.4412903225793</v>
      </c>
      <c r="AR59" s="298">
        <v>11974.442666666668</v>
      </c>
      <c r="AS59" s="298">
        <v>16249.558064516132</v>
      </c>
      <c r="AT59" s="298">
        <v>18934.530322580646</v>
      </c>
      <c r="AU59" s="298">
        <v>32265.493333333332</v>
      </c>
      <c r="AV59" s="298">
        <v>24101.264516129035</v>
      </c>
      <c r="AW59" s="298">
        <v>22155.066999999992</v>
      </c>
      <c r="AX59" s="298">
        <v>8873.9612903225807</v>
      </c>
    </row>
    <row r="60" spans="1:50" x14ac:dyDescent="0.3">
      <c r="A60" s="297" t="s">
        <v>3760</v>
      </c>
      <c r="B60" s="297" t="s">
        <v>548</v>
      </c>
      <c r="C60" s="298">
        <v>3075.3065624999999</v>
      </c>
      <c r="D60" s="298">
        <v>2485.6372413793106</v>
      </c>
      <c r="E60" s="298">
        <v>1868.7548275862071</v>
      </c>
      <c r="F60" s="298">
        <v>2866.2000000000003</v>
      </c>
      <c r="G60" s="298">
        <v>2648.47</v>
      </c>
      <c r="H60" s="298">
        <v>4217.6100000000006</v>
      </c>
      <c r="I60" s="298">
        <v>7001.1700000000019</v>
      </c>
      <c r="J60" s="298">
        <v>6945.05</v>
      </c>
      <c r="K60" s="298">
        <v>6704.9299999999994</v>
      </c>
      <c r="L60" s="298">
        <v>4926.82</v>
      </c>
      <c r="M60" s="298">
        <v>3333.4600000000005</v>
      </c>
      <c r="N60" s="298">
        <v>1727.5500000000002</v>
      </c>
      <c r="O60" s="298">
        <v>2212.7600000000002</v>
      </c>
      <c r="P60" s="298">
        <v>1551.01</v>
      </c>
      <c r="Q60" s="298">
        <v>2389.33</v>
      </c>
      <c r="R60" s="298">
        <v>2961.7400000000002</v>
      </c>
      <c r="S60" s="298">
        <v>3372.1400000000008</v>
      </c>
      <c r="T60" s="298">
        <v>4249.1899999999996</v>
      </c>
      <c r="U60" s="298">
        <v>4249.1899999999996</v>
      </c>
      <c r="V60" s="298">
        <v>6577.8200000000006</v>
      </c>
      <c r="W60" s="298">
        <v>7059.841890258791</v>
      </c>
      <c r="X60" s="298">
        <v>4367.4490661621094</v>
      </c>
      <c r="Y60" s="298">
        <v>3182.3796768188477</v>
      </c>
      <c r="Z60" s="298">
        <v>1999.3287821102144</v>
      </c>
      <c r="AA60" s="298">
        <v>2289.04</v>
      </c>
      <c r="AB60" s="298">
        <v>2734.06</v>
      </c>
      <c r="AC60" s="298">
        <v>2096.11</v>
      </c>
      <c r="AD60" s="298">
        <v>2646.9500000000003</v>
      </c>
      <c r="AE60" s="298">
        <v>3801.764516129032</v>
      </c>
      <c r="AF60" s="298">
        <v>5339.9463333333324</v>
      </c>
      <c r="AG60" s="298">
        <v>5875.645161290322</v>
      </c>
      <c r="AH60" s="298">
        <v>6312.9445161290305</v>
      </c>
      <c r="AI60" s="298">
        <v>9707.381333333331</v>
      </c>
      <c r="AJ60" s="298">
        <v>7982.1193548387109</v>
      </c>
      <c r="AK60" s="298">
        <v>6129.7579999999989</v>
      </c>
      <c r="AL60" s="298">
        <v>1564.5870967741937</v>
      </c>
      <c r="AM60" s="298">
        <v>1149.4399999999998</v>
      </c>
      <c r="AN60" s="298">
        <v>1412.6210714285714</v>
      </c>
      <c r="AO60" s="298">
        <v>661.76129032258063</v>
      </c>
      <c r="AP60" s="298">
        <v>1078.7323333333334</v>
      </c>
      <c r="AQ60" s="298">
        <v>1620.9503225806452</v>
      </c>
      <c r="AR60" s="298">
        <v>3755.8186666666675</v>
      </c>
      <c r="AS60" s="298">
        <v>8038.4806451612903</v>
      </c>
      <c r="AT60" s="298">
        <v>8927.6219354838722</v>
      </c>
      <c r="AU60" s="298">
        <v>10977.962666666666</v>
      </c>
      <c r="AV60" s="298">
        <v>7417.2870967741928</v>
      </c>
      <c r="AW60" s="298">
        <v>7714.9709999999986</v>
      </c>
      <c r="AX60" s="298">
        <v>2629.3741935483868</v>
      </c>
    </row>
    <row r="61" spans="1:50" x14ac:dyDescent="0.3">
      <c r="A61" s="297" t="s">
        <v>311</v>
      </c>
      <c r="B61" s="297" t="s">
        <v>312</v>
      </c>
      <c r="C61" s="298">
        <v>10850</v>
      </c>
      <c r="D61" s="298">
        <v>11760</v>
      </c>
      <c r="E61" s="298">
        <v>16120</v>
      </c>
      <c r="F61" s="298">
        <v>18600</v>
      </c>
      <c r="G61" s="298">
        <v>28324.812583869487</v>
      </c>
      <c r="H61" s="298">
        <v>26854.027953836845</v>
      </c>
      <c r="I61" s="298">
        <v>33185.327838887846</v>
      </c>
      <c r="J61" s="298">
        <v>39024.134412180116</v>
      </c>
      <c r="K61" s="298">
        <v>38661.029548899423</v>
      </c>
      <c r="L61" s="298">
        <v>24654.176682424993</v>
      </c>
      <c r="M61" s="298">
        <v>17160</v>
      </c>
      <c r="N61" s="298">
        <v>11200</v>
      </c>
      <c r="O61" s="298">
        <v>10500</v>
      </c>
      <c r="P61" s="298">
        <v>12180</v>
      </c>
      <c r="Q61" s="298">
        <v>11600</v>
      </c>
      <c r="R61" s="298">
        <v>19220</v>
      </c>
      <c r="S61" s="298">
        <v>26554.511797377643</v>
      </c>
      <c r="T61" s="298">
        <v>26854.027953836845</v>
      </c>
      <c r="U61" s="298">
        <v>35397.683028147039</v>
      </c>
      <c r="V61" s="298">
        <v>36506.448321071723</v>
      </c>
      <c r="W61" s="298">
        <v>38661.029548899423</v>
      </c>
      <c r="X61" s="298">
        <v>26297.788461253327</v>
      </c>
      <c r="Y61" s="298">
        <v>15600</v>
      </c>
      <c r="Z61" s="298">
        <v>11900</v>
      </c>
      <c r="AA61" s="298">
        <v>10500</v>
      </c>
      <c r="AB61" s="298">
        <v>13440</v>
      </c>
      <c r="AC61" s="298">
        <v>11600</v>
      </c>
      <c r="AD61" s="298">
        <v>17980</v>
      </c>
      <c r="AE61" s="298">
        <v>26554.511797377643</v>
      </c>
      <c r="AF61" s="298">
        <v>28706.02988168766</v>
      </c>
      <c r="AG61" s="298">
        <v>33185.327838887846</v>
      </c>
      <c r="AH61" s="298">
        <v>36506.448321071723</v>
      </c>
      <c r="AI61" s="298">
        <v>41238.431518826052</v>
      </c>
      <c r="AJ61" s="298">
        <v>24654.176682424993</v>
      </c>
      <c r="AK61" s="298">
        <v>28900</v>
      </c>
      <c r="AL61" s="298">
        <v>22350</v>
      </c>
      <c r="AM61" s="298">
        <v>21600</v>
      </c>
      <c r="AN61" s="298">
        <v>15950</v>
      </c>
      <c r="AO61" s="298">
        <v>17255</v>
      </c>
      <c r="AP61" s="298">
        <v>17980</v>
      </c>
      <c r="AQ61" s="298">
        <v>25669.361404131723</v>
      </c>
      <c r="AR61" s="298">
        <v>29632.03084561307</v>
      </c>
      <c r="AS61" s="298">
        <v>33185.327838887846</v>
      </c>
      <c r="AT61" s="298">
        <v>36506.448321071723</v>
      </c>
      <c r="AU61" s="298">
        <v>41238.431518826052</v>
      </c>
      <c r="AV61" s="298">
        <v>24654.176682424993</v>
      </c>
      <c r="AW61" s="298">
        <v>28050</v>
      </c>
      <c r="AX61" s="298">
        <v>22350</v>
      </c>
    </row>
    <row r="62" spans="1:50" x14ac:dyDescent="0.3">
      <c r="A62" s="297" t="s">
        <v>3761</v>
      </c>
      <c r="B62" s="297" t="s">
        <v>315</v>
      </c>
      <c r="C62" s="298">
        <v>2325</v>
      </c>
      <c r="D62" s="298">
        <v>1652</v>
      </c>
      <c r="E62" s="298">
        <v>1891</v>
      </c>
      <c r="F62" s="298">
        <v>1860</v>
      </c>
      <c r="G62" s="298">
        <v>1728</v>
      </c>
      <c r="H62" s="298">
        <v>1102</v>
      </c>
      <c r="I62" s="298">
        <v>3360</v>
      </c>
      <c r="J62" s="298">
        <v>163823.23000000001</v>
      </c>
      <c r="K62" s="298">
        <v>2640</v>
      </c>
      <c r="L62" s="298">
        <v>2100</v>
      </c>
      <c r="M62" s="298">
        <v>3234</v>
      </c>
      <c r="N62" s="298">
        <v>2176</v>
      </c>
      <c r="O62" s="298">
        <v>2250</v>
      </c>
      <c r="P62" s="298">
        <v>1711</v>
      </c>
      <c r="Q62" s="298">
        <v>1769</v>
      </c>
      <c r="R62" s="298">
        <v>1922</v>
      </c>
      <c r="S62" s="298">
        <v>1620</v>
      </c>
      <c r="T62" s="298">
        <v>1102</v>
      </c>
      <c r="U62" s="298">
        <v>3584</v>
      </c>
      <c r="V62" s="298">
        <v>3045</v>
      </c>
      <c r="W62" s="298">
        <v>2640</v>
      </c>
      <c r="X62" s="298">
        <v>2240</v>
      </c>
      <c r="Y62" s="298">
        <v>2940</v>
      </c>
      <c r="Z62" s="298">
        <v>2312</v>
      </c>
      <c r="AA62" s="298">
        <v>2250</v>
      </c>
      <c r="AB62" s="298">
        <v>1888</v>
      </c>
      <c r="AC62" s="298">
        <v>1769</v>
      </c>
      <c r="AD62" s="298">
        <v>1798</v>
      </c>
      <c r="AE62" s="298">
        <v>1620</v>
      </c>
      <c r="AF62" s="298">
        <v>1178</v>
      </c>
      <c r="AG62" s="298">
        <v>3360</v>
      </c>
      <c r="AH62" s="298">
        <v>2842</v>
      </c>
      <c r="AI62" s="298">
        <v>2816</v>
      </c>
      <c r="AJ62" s="298">
        <v>2100</v>
      </c>
      <c r="AK62" s="298">
        <v>2108</v>
      </c>
      <c r="AL62" s="298">
        <v>1650</v>
      </c>
      <c r="AM62" s="298">
        <v>1440</v>
      </c>
      <c r="AN62" s="298">
        <v>1160</v>
      </c>
      <c r="AO62" s="298">
        <v>1450</v>
      </c>
      <c r="AP62" s="298">
        <v>0</v>
      </c>
      <c r="AQ62" s="298">
        <v>1566</v>
      </c>
      <c r="AR62" s="298">
        <v>1216</v>
      </c>
      <c r="AS62" s="298">
        <v>3360</v>
      </c>
      <c r="AT62" s="298">
        <v>2842</v>
      </c>
      <c r="AU62" s="298">
        <v>2816</v>
      </c>
      <c r="AV62" s="298">
        <v>2100</v>
      </c>
      <c r="AW62" s="298">
        <v>2046</v>
      </c>
      <c r="AX62" s="298">
        <v>1650</v>
      </c>
    </row>
    <row r="63" spans="1:50" x14ac:dyDescent="0.3">
      <c r="A63" s="297" t="s">
        <v>3762</v>
      </c>
      <c r="B63" s="297" t="s">
        <v>129</v>
      </c>
      <c r="C63" s="298">
        <v>93837</v>
      </c>
      <c r="D63" s="298">
        <v>9072</v>
      </c>
      <c r="E63" s="298">
        <v>80135</v>
      </c>
      <c r="F63" s="298">
        <v>90000</v>
      </c>
      <c r="G63" s="298">
        <v>104032</v>
      </c>
      <c r="H63" s="298">
        <v>108228</v>
      </c>
      <c r="I63" s="298">
        <v>182190</v>
      </c>
      <c r="J63" s="298">
        <v>163823.23000000001</v>
      </c>
      <c r="K63" s="298">
        <v>152270.08999999997</v>
      </c>
      <c r="L63" s="298">
        <v>150303.29</v>
      </c>
      <c r="M63" s="298">
        <v>139897.84999999998</v>
      </c>
      <c r="N63" s="298">
        <v>57083.56</v>
      </c>
      <c r="O63" s="298">
        <v>39378.65</v>
      </c>
      <c r="P63" s="298">
        <v>29899</v>
      </c>
      <c r="Q63" s="298">
        <v>37520.879999999997</v>
      </c>
      <c r="R63" s="298">
        <v>93000</v>
      </c>
      <c r="S63" s="298">
        <v>41110.130000000005</v>
      </c>
      <c r="T63" s="298">
        <v>89307.51</v>
      </c>
      <c r="U63" s="298">
        <v>89307.51</v>
      </c>
      <c r="V63" s="298">
        <v>106650.14</v>
      </c>
      <c r="W63" s="298">
        <v>143995.14940429688</v>
      </c>
      <c r="X63" s="298">
        <v>120089.78295898438</v>
      </c>
      <c r="Y63" s="298">
        <v>84284.439819335938</v>
      </c>
      <c r="Z63" s="298">
        <v>16666.812935333252</v>
      </c>
      <c r="AA63" s="298">
        <v>17370.740000000005</v>
      </c>
      <c r="AB63" s="298">
        <v>21703.240000000005</v>
      </c>
      <c r="AC63" s="298">
        <v>12634.349999999999</v>
      </c>
      <c r="AD63" s="298">
        <v>24149.470000000005</v>
      </c>
      <c r="AE63" s="298">
        <v>42546.474193548391</v>
      </c>
      <c r="AF63" s="298">
        <v>37181.379333333338</v>
      </c>
      <c r="AG63" s="298">
        <v>55387.374193548385</v>
      </c>
      <c r="AH63" s="298">
        <v>74324.91387096775</v>
      </c>
      <c r="AI63" s="298">
        <v>103280.91733333333</v>
      </c>
      <c r="AJ63" s="298">
        <v>70512.987096774188</v>
      </c>
      <c r="AK63" s="298">
        <v>23866.300000000007</v>
      </c>
      <c r="AL63" s="298">
        <v>6101.1483870967741</v>
      </c>
      <c r="AM63" s="298">
        <v>5853.8941935483863</v>
      </c>
      <c r="AN63" s="298">
        <v>3188.2392857142854</v>
      </c>
      <c r="AO63" s="298">
        <v>5796.80064516129</v>
      </c>
      <c r="AP63" s="298">
        <v>13370.16</v>
      </c>
      <c r="AQ63" s="298">
        <v>16178.482580645155</v>
      </c>
      <c r="AR63" s="298">
        <v>48789.674666666673</v>
      </c>
      <c r="AS63" s="298">
        <v>83602.577419354842</v>
      </c>
      <c r="AT63" s="298">
        <v>80536.423870967759</v>
      </c>
      <c r="AU63" s="298">
        <v>94747.306666666671</v>
      </c>
      <c r="AV63" s="298">
        <v>51958.229032258074</v>
      </c>
      <c r="AW63" s="298">
        <v>57201.364000000001</v>
      </c>
      <c r="AX63" s="298">
        <v>9249.9290322580619</v>
      </c>
    </row>
    <row r="64" spans="1:50" x14ac:dyDescent="0.3">
      <c r="A64" s="297" t="s">
        <v>134</v>
      </c>
      <c r="B64" s="297" t="s">
        <v>135</v>
      </c>
      <c r="C64" s="298">
        <v>17015.04515151502</v>
      </c>
      <c r="D64" s="298">
        <v>20733.690697674363</v>
      </c>
      <c r="E64" s="298">
        <v>21968.354513888818</v>
      </c>
      <c r="F64" s="298">
        <v>17771.179720279801</v>
      </c>
      <c r="G64" s="298">
        <v>20948.666666666559</v>
      </c>
      <c r="H64" s="298">
        <v>28072</v>
      </c>
      <c r="I64" s="298">
        <v>25930.762200000001</v>
      </c>
      <c r="J64" s="298">
        <v>30568.96652777764</v>
      </c>
      <c r="K64" s="298">
        <v>26324.868750000001</v>
      </c>
      <c r="L64" s="298">
        <v>23231.262500000103</v>
      </c>
      <c r="M64" s="298">
        <v>21340.278837209313</v>
      </c>
      <c r="N64" s="298">
        <v>26009.188148148161</v>
      </c>
      <c r="O64" s="298">
        <v>16466.172727272602</v>
      </c>
      <c r="P64" s="298">
        <v>21474.179651162733</v>
      </c>
      <c r="Q64" s="298">
        <v>21474.179651162733</v>
      </c>
      <c r="R64" s="298">
        <v>18363.552377622458</v>
      </c>
      <c r="S64" s="298">
        <v>19639.374999999898</v>
      </c>
      <c r="T64" s="298">
        <v>28072</v>
      </c>
      <c r="U64" s="298">
        <v>27659.47968</v>
      </c>
      <c r="V64" s="298">
        <v>28596.775138888759</v>
      </c>
      <c r="W64" s="298">
        <v>26324.868750000001</v>
      </c>
      <c r="X64" s="298">
        <v>24780.013333333442</v>
      </c>
      <c r="Y64" s="298">
        <v>19400.253488372102</v>
      </c>
      <c r="Z64" s="298">
        <v>27634.762407407423</v>
      </c>
      <c r="AA64" s="298">
        <v>16466.172727272602</v>
      </c>
      <c r="AB64" s="298">
        <v>23695.646511627841</v>
      </c>
      <c r="AC64" s="298">
        <v>21474.179651162733</v>
      </c>
      <c r="AD64" s="298">
        <v>17178.80706293714</v>
      </c>
      <c r="AE64" s="298">
        <v>19639.374999999898</v>
      </c>
      <c r="AF64" s="298">
        <v>30008</v>
      </c>
      <c r="AG64" s="298">
        <v>25930.762200000001</v>
      </c>
      <c r="AH64" s="298">
        <v>28596.775138888759</v>
      </c>
      <c r="AI64" s="298">
        <v>28079.86</v>
      </c>
      <c r="AJ64" s="298">
        <v>23231.262500000103</v>
      </c>
      <c r="AK64" s="298">
        <v>23834</v>
      </c>
      <c r="AL64" s="298">
        <v>20400</v>
      </c>
      <c r="AM64" s="298">
        <v>19264</v>
      </c>
      <c r="AN64" s="298">
        <v>15660</v>
      </c>
      <c r="AO64" s="298">
        <v>16385</v>
      </c>
      <c r="AP64" s="298">
        <v>17255</v>
      </c>
      <c r="AQ64" s="298">
        <v>18984.72916666657</v>
      </c>
      <c r="AR64" s="298">
        <v>30976</v>
      </c>
      <c r="AS64" s="298">
        <v>25930.762200000001</v>
      </c>
      <c r="AT64" s="298">
        <v>28596.775138888759</v>
      </c>
      <c r="AU64" s="298">
        <v>28079.86</v>
      </c>
      <c r="AV64" s="298">
        <v>23231.262500000103</v>
      </c>
      <c r="AW64" s="298">
        <v>23133</v>
      </c>
      <c r="AX64" s="298">
        <v>20400</v>
      </c>
    </row>
    <row r="65" spans="1:50" x14ac:dyDescent="0.3">
      <c r="A65" s="297" t="s">
        <v>273</v>
      </c>
      <c r="B65" s="297" t="s">
        <v>274</v>
      </c>
      <c r="C65" s="298">
        <v>13127.637812499999</v>
      </c>
      <c r="D65" s="298">
        <v>9975.3379310344826</v>
      </c>
      <c r="E65" s="298">
        <v>20713.141724137931</v>
      </c>
      <c r="F65" s="298">
        <v>13560</v>
      </c>
      <c r="G65" s="298">
        <v>14336</v>
      </c>
      <c r="H65" s="298">
        <v>16501</v>
      </c>
      <c r="I65" s="298">
        <v>26559.759999999995</v>
      </c>
      <c r="J65" s="298">
        <v>34311.67</v>
      </c>
      <c r="K65" s="298">
        <v>31863.85</v>
      </c>
      <c r="L65" s="298">
        <v>28063.839999999997</v>
      </c>
      <c r="M65" s="298">
        <v>14273.02</v>
      </c>
      <c r="N65" s="298">
        <v>14836.410000000002</v>
      </c>
      <c r="O65" s="298">
        <v>13444.490000000002</v>
      </c>
      <c r="P65" s="298">
        <v>10516.17</v>
      </c>
      <c r="Q65" s="298">
        <v>14774.99</v>
      </c>
      <c r="R65" s="298">
        <v>14012</v>
      </c>
      <c r="S65" s="298">
        <v>17364.520000000004</v>
      </c>
      <c r="T65" s="298">
        <v>18226.57</v>
      </c>
      <c r="U65" s="298">
        <v>18226.57</v>
      </c>
      <c r="V65" s="298">
        <v>30166.800000000007</v>
      </c>
      <c r="W65" s="298">
        <v>22881.081208496089</v>
      </c>
      <c r="X65" s="298">
        <v>19713.1259765625</v>
      </c>
      <c r="Y65" s="298">
        <v>16103.870513916014</v>
      </c>
      <c r="Z65" s="298">
        <v>13684.698140869141</v>
      </c>
      <c r="AA65" s="298">
        <v>12910.759999999998</v>
      </c>
      <c r="AB65" s="298">
        <v>14090.979999999998</v>
      </c>
      <c r="AC65" s="298">
        <v>12315.35</v>
      </c>
      <c r="AD65" s="298">
        <v>14621.59</v>
      </c>
      <c r="AE65" s="298">
        <v>16188.329032258065</v>
      </c>
      <c r="AF65" s="298">
        <v>17259.322333333334</v>
      </c>
      <c r="AG65" s="298">
        <v>18638.709677419352</v>
      </c>
      <c r="AH65" s="298">
        <v>16133.354838709678</v>
      </c>
      <c r="AI65" s="298">
        <v>19469.866666666665</v>
      </c>
      <c r="AJ65" s="298">
        <v>16656.774193548386</v>
      </c>
      <c r="AK65" s="298">
        <v>19910.400000000001</v>
      </c>
      <c r="AL65" s="298">
        <v>16441.93548387097</v>
      </c>
      <c r="AM65" s="298">
        <v>29609.775483870966</v>
      </c>
      <c r="AN65" s="298">
        <v>12321.385357142861</v>
      </c>
      <c r="AO65" s="298">
        <v>8514.4000000000015</v>
      </c>
      <c r="AP65" s="298">
        <v>14808.144333333332</v>
      </c>
      <c r="AQ65" s="298">
        <v>14790.636129032257</v>
      </c>
      <c r="AR65" s="298">
        <v>20059.157333333333</v>
      </c>
      <c r="AS65" s="298">
        <v>22115.990322580645</v>
      </c>
      <c r="AT65" s="298">
        <v>20603.377419354838</v>
      </c>
      <c r="AU65" s="298">
        <v>26081.343999999997</v>
      </c>
      <c r="AV65" s="298">
        <v>18116.680645161294</v>
      </c>
      <c r="AW65" s="298">
        <v>22498.266999999993</v>
      </c>
      <c r="AX65" s="298">
        <v>15928.12258064516</v>
      </c>
    </row>
    <row r="66" spans="1:50" x14ac:dyDescent="0.3">
      <c r="A66" s="297" t="s">
        <v>3763</v>
      </c>
      <c r="B66" s="297" t="s">
        <v>213</v>
      </c>
      <c r="C66" s="298">
        <v>54677.025000000009</v>
      </c>
      <c r="D66" s="298">
        <v>10885.917241379311</v>
      </c>
      <c r="E66" s="298">
        <v>10169.774482758623</v>
      </c>
      <c r="F66" s="298">
        <v>15060</v>
      </c>
      <c r="G66" s="298">
        <v>16320</v>
      </c>
      <c r="H66" s="298">
        <v>16994</v>
      </c>
      <c r="I66" s="298">
        <v>28540.090000000004</v>
      </c>
      <c r="J66" s="298">
        <v>29645.500000000004</v>
      </c>
      <c r="K66" s="298">
        <v>22648.84</v>
      </c>
      <c r="L66" s="298">
        <v>18252.660000000003</v>
      </c>
      <c r="M66" s="298">
        <v>18365.260000000002</v>
      </c>
      <c r="N66" s="298">
        <v>10722.179999999998</v>
      </c>
      <c r="O66" s="298">
        <v>9331.26</v>
      </c>
      <c r="P66" s="298">
        <v>7841.1799999999985</v>
      </c>
      <c r="Q66" s="298">
        <v>11827.94</v>
      </c>
      <c r="R66" s="298">
        <v>15562</v>
      </c>
      <c r="S66" s="298">
        <v>16325.909999999996</v>
      </c>
      <c r="T66" s="298">
        <v>19773.03</v>
      </c>
      <c r="U66" s="298">
        <v>19773.03</v>
      </c>
      <c r="V66" s="298">
        <v>29183.289999999994</v>
      </c>
      <c r="W66" s="298">
        <v>31464.613203125002</v>
      </c>
      <c r="X66" s="298">
        <v>22340.212799072266</v>
      </c>
      <c r="Y66" s="298">
        <v>16928.633331298828</v>
      </c>
      <c r="Z66" s="298">
        <v>13170.509030456542</v>
      </c>
      <c r="AA66" s="298">
        <v>11716.6</v>
      </c>
      <c r="AB66" s="298">
        <v>15163.55</v>
      </c>
      <c r="AC66" s="298">
        <v>8765.159999999998</v>
      </c>
      <c r="AD66" s="298">
        <v>12021.800000000001</v>
      </c>
      <c r="AE66" s="298">
        <v>11481.222580645161</v>
      </c>
      <c r="AF66" s="298">
        <v>15310.093999999999</v>
      </c>
      <c r="AG66" s="298">
        <v>16056.222580645162</v>
      </c>
      <c r="AH66" s="298">
        <v>21251.892258064516</v>
      </c>
      <c r="AI66" s="298">
        <v>25559.818666666666</v>
      </c>
      <c r="AJ66" s="298">
        <v>16956.522580645164</v>
      </c>
      <c r="AK66" s="298">
        <v>11796.991333333333</v>
      </c>
      <c r="AL66" s="298">
        <v>7502.7193548387086</v>
      </c>
      <c r="AM66" s="298">
        <v>6967.2670967741924</v>
      </c>
      <c r="AN66" s="298">
        <v>7345.5549999999994</v>
      </c>
      <c r="AO66" s="298">
        <v>8383.2825806451601</v>
      </c>
      <c r="AP66" s="298">
        <v>10762.180333333332</v>
      </c>
      <c r="AQ66" s="298">
        <v>14246.876774193546</v>
      </c>
      <c r="AR66" s="298">
        <v>22436.928000000004</v>
      </c>
      <c r="AS66" s="298">
        <v>25135.364516129033</v>
      </c>
      <c r="AT66" s="298">
        <v>21373.065483870967</v>
      </c>
      <c r="AU66" s="298">
        <v>24710.165333333331</v>
      </c>
      <c r="AV66" s="298">
        <v>16692.793548387097</v>
      </c>
      <c r="AW66" s="298">
        <v>16507.865000000005</v>
      </c>
      <c r="AX66" s="298">
        <v>7195.3935483870946</v>
      </c>
    </row>
    <row r="67" spans="1:50" x14ac:dyDescent="0.3">
      <c r="A67" s="297" t="s">
        <v>3764</v>
      </c>
      <c r="B67" s="297" t="s">
        <v>538</v>
      </c>
      <c r="C67" s="298">
        <v>24591.302187500005</v>
      </c>
      <c r="D67" s="298">
        <v>33618.46068965517</v>
      </c>
      <c r="E67" s="298">
        <v>54617.488965517237</v>
      </c>
      <c r="F67" s="298">
        <v>55770</v>
      </c>
      <c r="G67" s="298">
        <v>34432</v>
      </c>
      <c r="H67" s="298">
        <v>42920</v>
      </c>
      <c r="I67" s="298">
        <v>63880.620000000024</v>
      </c>
      <c r="J67" s="298">
        <v>74441.22</v>
      </c>
      <c r="K67" s="298">
        <v>60291.560000000012</v>
      </c>
      <c r="L67" s="298">
        <v>111549.16999999997</v>
      </c>
      <c r="M67" s="298">
        <v>127942.61</v>
      </c>
      <c r="N67" s="298">
        <v>31658.480000000003</v>
      </c>
      <c r="O67" s="298">
        <v>35480.590000000004</v>
      </c>
      <c r="P67" s="298">
        <v>24126.320000000003</v>
      </c>
      <c r="Q67" s="298">
        <v>45387.74</v>
      </c>
      <c r="R67" s="298">
        <v>57629</v>
      </c>
      <c r="S67" s="298">
        <v>81668.710000000006</v>
      </c>
      <c r="T67" s="298">
        <v>79426.05</v>
      </c>
      <c r="U67" s="298">
        <v>79426.05</v>
      </c>
      <c r="V67" s="298">
        <v>82239.459999999977</v>
      </c>
      <c r="W67" s="298">
        <v>92308.599882812487</v>
      </c>
      <c r="X67" s="298">
        <v>67202.352783203125</v>
      </c>
      <c r="Y67" s="298">
        <v>43168.14501953125</v>
      </c>
      <c r="Z67" s="298">
        <v>39890.188532714834</v>
      </c>
      <c r="AA67" s="298">
        <v>50983.439999999995</v>
      </c>
      <c r="AB67" s="298">
        <v>56709.380000000005</v>
      </c>
      <c r="AC67" s="298">
        <v>42622.380000000005</v>
      </c>
      <c r="AD67" s="298">
        <v>53543.05999999999</v>
      </c>
      <c r="AE67" s="298">
        <v>86415.706451612903</v>
      </c>
      <c r="AF67" s="298">
        <v>57907.844999999994</v>
      </c>
      <c r="AG67" s="298">
        <v>57059.651612903224</v>
      </c>
      <c r="AH67" s="298">
        <v>100643.98548387096</v>
      </c>
      <c r="AI67" s="298">
        <v>95238.677333333311</v>
      </c>
      <c r="AJ67" s="298">
        <v>42427.935483870977</v>
      </c>
      <c r="AK67" s="298">
        <v>21082.980666666666</v>
      </c>
      <c r="AL67" s="298">
        <v>9384.0483870967728</v>
      </c>
      <c r="AM67" s="298">
        <v>16880.867096774196</v>
      </c>
      <c r="AN67" s="298">
        <v>22599.93821428571</v>
      </c>
      <c r="AO67" s="298">
        <v>34913.801612903233</v>
      </c>
      <c r="AP67" s="298">
        <v>24861.21666666666</v>
      </c>
      <c r="AQ67" s="298">
        <v>33617.277096774196</v>
      </c>
      <c r="AR67" s="298">
        <v>44514.069333333326</v>
      </c>
      <c r="AS67" s="298">
        <v>60067.664516129022</v>
      </c>
      <c r="AT67" s="298">
        <v>59413.684516129026</v>
      </c>
      <c r="AU67" s="298">
        <v>82011.722666666639</v>
      </c>
      <c r="AV67" s="298">
        <v>56218.180645161279</v>
      </c>
      <c r="AW67" s="298">
        <v>49176.907999999996</v>
      </c>
      <c r="AX67" s="298">
        <v>27201.251612903226</v>
      </c>
    </row>
    <row r="68" spans="1:50" x14ac:dyDescent="0.3">
      <c r="A68" s="297" t="s">
        <v>3765</v>
      </c>
      <c r="B68" s="297" t="s">
        <v>265</v>
      </c>
      <c r="C68" s="298">
        <v>651</v>
      </c>
      <c r="D68" s="298">
        <v>280</v>
      </c>
      <c r="E68" s="298">
        <v>930</v>
      </c>
      <c r="F68" s="298">
        <v>2820</v>
      </c>
      <c r="G68" s="298">
        <v>3392</v>
      </c>
      <c r="H68" s="298">
        <v>3335</v>
      </c>
      <c r="I68" s="298">
        <v>5370</v>
      </c>
      <c r="J68" s="298">
        <v>6417</v>
      </c>
      <c r="K68" s="298">
        <v>6240</v>
      </c>
      <c r="L68" s="298">
        <v>4080</v>
      </c>
      <c r="M68" s="298">
        <v>1089</v>
      </c>
      <c r="N68" s="298">
        <v>160</v>
      </c>
      <c r="O68" s="298">
        <v>630</v>
      </c>
      <c r="P68" s="298">
        <v>290</v>
      </c>
      <c r="Q68" s="298">
        <v>870</v>
      </c>
      <c r="R68" s="298">
        <v>2914</v>
      </c>
      <c r="S68" s="298">
        <v>3180</v>
      </c>
      <c r="T68" s="298">
        <v>3335</v>
      </c>
      <c r="U68" s="298">
        <v>5728</v>
      </c>
      <c r="V68" s="298">
        <v>6003</v>
      </c>
      <c r="W68" s="298">
        <v>6240</v>
      </c>
      <c r="X68" s="298">
        <v>4352</v>
      </c>
      <c r="Y68" s="298">
        <v>990</v>
      </c>
      <c r="Z68" s="298">
        <v>170</v>
      </c>
      <c r="AA68" s="298">
        <v>630</v>
      </c>
      <c r="AB68" s="298">
        <v>320</v>
      </c>
      <c r="AC68" s="298">
        <v>870</v>
      </c>
      <c r="AD68" s="298">
        <v>2726</v>
      </c>
      <c r="AE68" s="298">
        <v>3180</v>
      </c>
      <c r="AF68" s="298">
        <v>3565</v>
      </c>
      <c r="AG68" s="298">
        <v>5370</v>
      </c>
      <c r="AH68" s="298">
        <v>6003</v>
      </c>
      <c r="AI68" s="298">
        <v>6656</v>
      </c>
      <c r="AJ68" s="298">
        <v>4080</v>
      </c>
      <c r="AK68" s="298">
        <v>4114</v>
      </c>
      <c r="AL68" s="298">
        <v>3570</v>
      </c>
      <c r="AM68" s="298">
        <v>3136</v>
      </c>
      <c r="AN68" s="298">
        <v>2581</v>
      </c>
      <c r="AO68" s="298">
        <v>2668</v>
      </c>
      <c r="AP68" s="298">
        <v>2755</v>
      </c>
      <c r="AQ68" s="298">
        <v>3074</v>
      </c>
      <c r="AR68" s="298">
        <v>3680</v>
      </c>
      <c r="AS68" s="298">
        <v>5370</v>
      </c>
      <c r="AT68" s="298">
        <v>6003</v>
      </c>
      <c r="AU68" s="298">
        <v>6656</v>
      </c>
      <c r="AV68" s="298">
        <v>4080</v>
      </c>
      <c r="AW68" s="298">
        <v>3993</v>
      </c>
      <c r="AX68" s="298">
        <v>3570</v>
      </c>
    </row>
    <row r="69" spans="1:50" x14ac:dyDescent="0.3">
      <c r="A69" s="297" t="s">
        <v>3766</v>
      </c>
      <c r="B69" s="297" t="s">
        <v>75</v>
      </c>
      <c r="C69" s="298">
        <v>18148.940312499999</v>
      </c>
      <c r="D69" s="298">
        <v>16931.387586206893</v>
      </c>
      <c r="E69" s="298">
        <v>52376.851724137923</v>
      </c>
      <c r="F69" s="298">
        <v>43530</v>
      </c>
      <c r="G69" s="298">
        <v>29836.979999999996</v>
      </c>
      <c r="H69" s="298">
        <v>13021</v>
      </c>
      <c r="I69" s="298">
        <v>9324.8100000000031</v>
      </c>
      <c r="J69" s="298">
        <v>16659.960000000006</v>
      </c>
      <c r="K69" s="298">
        <v>36242.370000000003</v>
      </c>
      <c r="L69" s="298">
        <v>25701.06</v>
      </c>
      <c r="M69" s="298">
        <v>62111.290000000008</v>
      </c>
      <c r="N69" s="298">
        <v>53372.560000000012</v>
      </c>
      <c r="O69" s="298">
        <v>23467.18</v>
      </c>
      <c r="P69" s="298">
        <v>41924.030000000035</v>
      </c>
      <c r="Q69" s="298">
        <v>56276.82</v>
      </c>
      <c r="R69" s="298">
        <v>44981</v>
      </c>
      <c r="S69" s="298">
        <v>61353.05</v>
      </c>
      <c r="T69" s="298">
        <v>57684.71</v>
      </c>
      <c r="U69" s="298">
        <v>57684.71</v>
      </c>
      <c r="V69" s="298">
        <v>55857.46</v>
      </c>
      <c r="W69" s="298">
        <v>51236.60177001953</v>
      </c>
      <c r="X69" s="298">
        <v>43043.643540039069</v>
      </c>
      <c r="Y69" s="298">
        <v>42523.12</v>
      </c>
      <c r="Z69" s="298">
        <v>32497.099999999984</v>
      </c>
      <c r="AA69" s="298">
        <v>22742.89</v>
      </c>
      <c r="AB69" s="298">
        <v>50501.979999999989</v>
      </c>
      <c r="AC69" s="298">
        <v>37700.269999999997</v>
      </c>
      <c r="AD69" s="298">
        <v>37083.149999999994</v>
      </c>
      <c r="AE69" s="298">
        <v>58472.883870967744</v>
      </c>
      <c r="AF69" s="298">
        <v>57794.405666666666</v>
      </c>
      <c r="AG69" s="298">
        <v>58874.874193548385</v>
      </c>
      <c r="AH69" s="298">
        <v>52178.736451612902</v>
      </c>
      <c r="AI69" s="298">
        <v>58335.701333333338</v>
      </c>
      <c r="AJ69" s="298">
        <v>36578.554838709679</v>
      </c>
      <c r="AK69" s="298">
        <v>34417.293333333335</v>
      </c>
      <c r="AL69" s="298">
        <v>21708.416129032259</v>
      </c>
      <c r="AM69" s="298">
        <v>24601.496774193554</v>
      </c>
      <c r="AN69" s="298">
        <v>27334.167500000003</v>
      </c>
      <c r="AO69" s="298">
        <v>23820.815161290324</v>
      </c>
      <c r="AP69" s="298">
        <v>28475.544666666672</v>
      </c>
      <c r="AQ69" s="298">
        <v>32295.026774193546</v>
      </c>
      <c r="AR69" s="298">
        <v>42493.546666666662</v>
      </c>
      <c r="AS69" s="298">
        <v>34714.025806451609</v>
      </c>
      <c r="AT69" s="298">
        <v>31185.243548387101</v>
      </c>
      <c r="AU69" s="298">
        <v>35168.522666666671</v>
      </c>
      <c r="AV69" s="298">
        <v>32692.461290322579</v>
      </c>
      <c r="AW69" s="298">
        <v>36657.973000000005</v>
      </c>
      <c r="AX69" s="298">
        <v>19028.699999999997</v>
      </c>
    </row>
    <row r="70" spans="1:50" x14ac:dyDescent="0.3">
      <c r="A70" s="297" t="s">
        <v>568</v>
      </c>
      <c r="B70" s="297" t="s">
        <v>568</v>
      </c>
      <c r="C70" s="298">
        <v>34696.565937500003</v>
      </c>
      <c r="D70" s="298">
        <v>9924.0206896551736</v>
      </c>
      <c r="E70" s="298">
        <v>15781.330344827587</v>
      </c>
      <c r="F70" s="298">
        <v>20730</v>
      </c>
      <c r="G70" s="298">
        <v>18764.420000000002</v>
      </c>
      <c r="H70" s="298">
        <v>32828</v>
      </c>
      <c r="I70" s="298">
        <v>56429.860000000008</v>
      </c>
      <c r="J70" s="298">
        <v>60827.440000000017</v>
      </c>
      <c r="K70" s="298">
        <v>52457.869999999995</v>
      </c>
      <c r="L70" s="298">
        <v>42549.829999999987</v>
      </c>
      <c r="M70" s="298">
        <v>27910.339999999997</v>
      </c>
      <c r="N70" s="298">
        <v>18103.039999999997</v>
      </c>
      <c r="O70" s="298">
        <v>19644.98</v>
      </c>
      <c r="P70" s="298">
        <v>12610.07</v>
      </c>
      <c r="Q70" s="298">
        <v>19201.11</v>
      </c>
      <c r="R70" s="298">
        <v>21421</v>
      </c>
      <c r="S70" s="298">
        <v>22001.65</v>
      </c>
      <c r="T70" s="298">
        <v>33642.210000000006</v>
      </c>
      <c r="U70" s="298">
        <v>33642.210000000006</v>
      </c>
      <c r="V70" s="298">
        <v>50797.390000000007</v>
      </c>
      <c r="W70" s="298">
        <v>59427.028959960939</v>
      </c>
      <c r="X70" s="298">
        <v>46662.043151855469</v>
      </c>
      <c r="Y70" s="298">
        <v>35227.476196289063</v>
      </c>
      <c r="Z70" s="298">
        <v>21024.903189697266</v>
      </c>
      <c r="AA70" s="298">
        <v>18287.39</v>
      </c>
      <c r="AB70" s="298">
        <v>22754.940000000002</v>
      </c>
      <c r="AC70" s="298">
        <v>14494.169999999998</v>
      </c>
      <c r="AD70" s="298">
        <v>22740.03</v>
      </c>
      <c r="AE70" s="298">
        <v>19408.925806451614</v>
      </c>
      <c r="AF70" s="298">
        <v>25928.947666666663</v>
      </c>
      <c r="AG70" s="298">
        <v>25264.770967741933</v>
      </c>
      <c r="AH70" s="298">
        <v>43928.938064516129</v>
      </c>
      <c r="AI70" s="298">
        <v>44601.408000000003</v>
      </c>
      <c r="AJ70" s="298">
        <v>23319.445161290321</v>
      </c>
      <c r="AK70" s="298">
        <v>13737.64333333333</v>
      </c>
      <c r="AL70" s="298">
        <v>5404.2967741935481</v>
      </c>
      <c r="AM70" s="298">
        <v>4059.9638709677424</v>
      </c>
      <c r="AN70" s="298">
        <v>4222.6900000000014</v>
      </c>
      <c r="AO70" s="298">
        <v>4189.3306451612907</v>
      </c>
      <c r="AP70" s="298">
        <v>4598.6556666666665</v>
      </c>
      <c r="AQ70" s="298">
        <v>13899.400645161291</v>
      </c>
      <c r="AR70" s="298">
        <v>28861.930666666667</v>
      </c>
      <c r="AS70" s="298">
        <v>39627.25161290323</v>
      </c>
      <c r="AT70" s="298">
        <v>36066.991290322578</v>
      </c>
      <c r="AU70" s="298">
        <v>42775.242666666665</v>
      </c>
      <c r="AV70" s="298">
        <v>25201.751612903219</v>
      </c>
      <c r="AW70" s="298">
        <v>20322.896000000001</v>
      </c>
      <c r="AX70" s="298">
        <v>9047.8935483870955</v>
      </c>
    </row>
    <row r="71" spans="1:50" x14ac:dyDescent="0.3">
      <c r="A71" s="297" t="s">
        <v>3767</v>
      </c>
      <c r="B71" s="297" t="s">
        <v>87</v>
      </c>
      <c r="C71" s="298">
        <v>18148.940312499999</v>
      </c>
      <c r="D71" s="298">
        <v>23228.742068965516</v>
      </c>
      <c r="E71" s="298">
        <v>12388.337586206897</v>
      </c>
      <c r="F71" s="298">
        <v>27060</v>
      </c>
      <c r="G71" s="298">
        <v>29089.32</v>
      </c>
      <c r="H71" s="298">
        <v>36250</v>
      </c>
      <c r="I71" s="298">
        <v>52186.05999999999</v>
      </c>
      <c r="J71" s="298">
        <v>55197.890000000007</v>
      </c>
      <c r="K71" s="298">
        <v>49108.94</v>
      </c>
      <c r="L71" s="298">
        <v>40969.490000000005</v>
      </c>
      <c r="M71" s="298">
        <v>39623.119999999995</v>
      </c>
      <c r="N71" s="298">
        <v>27216.77</v>
      </c>
      <c r="O71" s="298">
        <v>15546.099999999999</v>
      </c>
      <c r="P71" s="298">
        <v>13436.119999999999</v>
      </c>
      <c r="Q71" s="298">
        <v>18955.550000000003</v>
      </c>
      <c r="R71" s="298">
        <v>27962</v>
      </c>
      <c r="S71" s="298">
        <v>23564.98</v>
      </c>
      <c r="T71" s="298">
        <v>32296.019999999997</v>
      </c>
      <c r="U71" s="298">
        <v>32296.02</v>
      </c>
      <c r="V71" s="298">
        <v>42871.930000000008</v>
      </c>
      <c r="W71" s="298">
        <v>55664.630278320314</v>
      </c>
      <c r="X71" s="298">
        <v>42975.405151367188</v>
      </c>
      <c r="Y71" s="298">
        <v>30753.769470214844</v>
      </c>
      <c r="Z71" s="298">
        <v>25465.931228027348</v>
      </c>
      <c r="AA71" s="298">
        <v>24012.880000000001</v>
      </c>
      <c r="AB71" s="298">
        <v>30324.139999999992</v>
      </c>
      <c r="AC71" s="298">
        <v>20044.890000000003</v>
      </c>
      <c r="AD71" s="298">
        <v>12414.739999999998</v>
      </c>
      <c r="AE71" s="298">
        <v>16834.683870967739</v>
      </c>
      <c r="AF71" s="298">
        <v>27568.58933333333</v>
      </c>
      <c r="AG71" s="298">
        <v>31630.945161290325</v>
      </c>
      <c r="AH71" s="298">
        <v>35692.741612903228</v>
      </c>
      <c r="AI71" s="298">
        <v>39459.48799999999</v>
      </c>
      <c r="AJ71" s="298">
        <v>27816.919354838708</v>
      </c>
      <c r="AK71" s="298">
        <v>22466.440666666669</v>
      </c>
      <c r="AL71" s="298">
        <v>14722.954838709678</v>
      </c>
      <c r="AM71" s="298">
        <v>12947.932903225807</v>
      </c>
      <c r="AN71" s="298">
        <v>3063.8707142857138</v>
      </c>
      <c r="AO71" s="298">
        <v>1682.0187096774193</v>
      </c>
      <c r="AP71" s="298">
        <v>5543.823666666668</v>
      </c>
      <c r="AQ71" s="298">
        <v>4028.4835483870975</v>
      </c>
      <c r="AR71" s="298">
        <v>11932.501333333335</v>
      </c>
      <c r="AS71" s="298">
        <v>21189.706451612899</v>
      </c>
      <c r="AT71" s="298">
        <v>25952.043870967736</v>
      </c>
      <c r="AU71" s="298">
        <v>33658.33600000001</v>
      </c>
      <c r="AV71" s="298">
        <v>7026.2225806451634</v>
      </c>
      <c r="AW71" s="298">
        <v>6228.4420000000009</v>
      </c>
      <c r="AX71" s="298">
        <v>198.76451612903224</v>
      </c>
    </row>
    <row r="72" spans="1:50" x14ac:dyDescent="0.3">
      <c r="A72" s="297" t="s">
        <v>3768</v>
      </c>
      <c r="B72" s="297" t="s">
        <v>177</v>
      </c>
      <c r="C72" s="298">
        <v>34696.565937500003</v>
      </c>
      <c r="D72" s="298">
        <v>15127.077241379313</v>
      </c>
      <c r="E72" s="298">
        <v>33237.131034482751</v>
      </c>
      <c r="F72" s="298">
        <v>34800</v>
      </c>
      <c r="G72" s="298">
        <v>20880.580000000002</v>
      </c>
      <c r="H72" s="298">
        <v>55941</v>
      </c>
      <c r="I72" s="298">
        <v>121919.03</v>
      </c>
      <c r="J72" s="298">
        <v>43046.700000000004</v>
      </c>
      <c r="K72" s="298">
        <v>44284.97</v>
      </c>
      <c r="L72" s="298">
        <v>29709.15</v>
      </c>
      <c r="M72" s="298">
        <v>23880.71</v>
      </c>
      <c r="N72" s="298">
        <v>14324.299999999997</v>
      </c>
      <c r="O72" s="298">
        <v>22668.730000000007</v>
      </c>
      <c r="P72" s="298">
        <v>16929.669999999998</v>
      </c>
      <c r="Q72" s="298">
        <v>23054.010000000002</v>
      </c>
      <c r="R72" s="298">
        <v>35960</v>
      </c>
      <c r="S72" s="298">
        <v>27281.46</v>
      </c>
      <c r="T72" s="298">
        <v>29124.1</v>
      </c>
      <c r="U72" s="298">
        <v>29124.1</v>
      </c>
      <c r="V72" s="298">
        <v>38040.949999999997</v>
      </c>
      <c r="W72" s="298">
        <v>90740.74255859376</v>
      </c>
      <c r="X72" s="298">
        <v>102458.96337890625</v>
      </c>
      <c r="Y72" s="298">
        <v>69221.7060546875</v>
      </c>
      <c r="Z72" s="298">
        <v>55257.066806640607</v>
      </c>
      <c r="AA72" s="298">
        <v>44073.499999999985</v>
      </c>
      <c r="AB72" s="298">
        <v>48707.570000000014</v>
      </c>
      <c r="AC72" s="298">
        <v>39510.600000000006</v>
      </c>
      <c r="AD72" s="298">
        <v>49384.25</v>
      </c>
      <c r="AE72" s="298">
        <v>65767.877419354831</v>
      </c>
      <c r="AF72" s="298">
        <v>69694.220666666661</v>
      </c>
      <c r="AG72" s="298">
        <v>80548.374193548385</v>
      </c>
      <c r="AH72" s="298">
        <v>101996.67645161289</v>
      </c>
      <c r="AI72" s="298">
        <v>110092.83199999999</v>
      </c>
      <c r="AJ72" s="298">
        <v>94017.038709677407</v>
      </c>
      <c r="AK72" s="298">
        <v>66903.21666666666</v>
      </c>
      <c r="AL72" s="298">
        <v>45691.751612903223</v>
      </c>
      <c r="AM72" s="298">
        <v>52516.263225806455</v>
      </c>
      <c r="AN72" s="298">
        <v>45290.895000000011</v>
      </c>
      <c r="AO72" s="298">
        <v>42105.474193548391</v>
      </c>
      <c r="AP72" s="298">
        <v>51426.434666666653</v>
      </c>
      <c r="AQ72" s="298">
        <v>58594.939677419352</v>
      </c>
      <c r="AR72" s="298">
        <v>79695.957333333339</v>
      </c>
      <c r="AS72" s="298">
        <v>83643.948387096767</v>
      </c>
      <c r="AT72" s="298">
        <v>81479.82193548388</v>
      </c>
      <c r="AU72" s="298">
        <v>104125.88800000001</v>
      </c>
      <c r="AV72" s="298">
        <v>74456.206451612903</v>
      </c>
      <c r="AW72" s="298">
        <v>83077.137000000002</v>
      </c>
      <c r="AX72" s="298">
        <v>41428.34516129033</v>
      </c>
    </row>
    <row r="73" spans="1:50" x14ac:dyDescent="0.3">
      <c r="A73" s="297" t="s">
        <v>3769</v>
      </c>
      <c r="B73" s="297" t="s">
        <v>576</v>
      </c>
      <c r="C73" s="298">
        <v>0</v>
      </c>
      <c r="D73" s="298">
        <v>0</v>
      </c>
      <c r="E73" s="298">
        <v>0</v>
      </c>
      <c r="F73" s="298">
        <v>0</v>
      </c>
      <c r="G73" s="298">
        <v>99366</v>
      </c>
      <c r="H73" s="298">
        <v>184966</v>
      </c>
      <c r="I73" s="298">
        <v>295051</v>
      </c>
      <c r="J73" s="298">
        <v>336420</v>
      </c>
      <c r="K73" s="298">
        <v>242094</v>
      </c>
      <c r="L73" s="298">
        <v>199042</v>
      </c>
      <c r="M73" s="298">
        <v>164168.22</v>
      </c>
      <c r="N73" s="298">
        <v>93766</v>
      </c>
      <c r="O73" s="298">
        <v>85908</v>
      </c>
      <c r="P73" s="298">
        <v>57688</v>
      </c>
      <c r="Q73" s="298">
        <v>92470</v>
      </c>
      <c r="R73" s="298">
        <v>129682.99999999999</v>
      </c>
      <c r="S73" s="298">
        <v>117933</v>
      </c>
      <c r="T73" s="298">
        <v>175957</v>
      </c>
      <c r="U73" s="298">
        <v>175957</v>
      </c>
      <c r="V73" s="298">
        <v>235764</v>
      </c>
      <c r="W73" s="298">
        <v>272135.12</v>
      </c>
      <c r="X73" s="298">
        <v>185634</v>
      </c>
      <c r="Y73" s="298">
        <v>133087</v>
      </c>
      <c r="Z73" s="298">
        <v>96166</v>
      </c>
      <c r="AA73" s="298">
        <v>83629</v>
      </c>
      <c r="AB73" s="298">
        <v>102699</v>
      </c>
      <c r="AC73" s="298">
        <v>81876</v>
      </c>
      <c r="AD73" s="298">
        <v>122225.00000000001</v>
      </c>
      <c r="AE73" s="298">
        <v>170742.58064516127</v>
      </c>
      <c r="AF73" s="298">
        <v>199702</v>
      </c>
      <c r="AG73" s="298">
        <v>221436.77419354839</v>
      </c>
      <c r="AH73" s="298">
        <v>255859.51612903227</v>
      </c>
      <c r="AI73" s="298">
        <v>272696.55466666666</v>
      </c>
      <c r="AJ73" s="298">
        <v>231982.25806451612</v>
      </c>
      <c r="AK73" s="298">
        <v>143145.66666666669</v>
      </c>
      <c r="AL73" s="298">
        <v>101228.70967741936</v>
      </c>
      <c r="AM73" s="298">
        <v>117832.25806451614</v>
      </c>
      <c r="AN73" s="298">
        <v>132685.35714285716</v>
      </c>
      <c r="AO73" s="298">
        <v>102315.69516129032</v>
      </c>
      <c r="AP73" s="298">
        <v>110553.84833333334</v>
      </c>
      <c r="AQ73" s="298">
        <v>170188.83870967742</v>
      </c>
      <c r="AR73" s="298">
        <v>270305.07733333332</v>
      </c>
      <c r="AS73" s="298">
        <v>265493.22580645158</v>
      </c>
      <c r="AT73" s="298">
        <v>229110.29032258064</v>
      </c>
      <c r="AU73" s="298">
        <v>258343.46666666667</v>
      </c>
      <c r="AV73" s="298">
        <v>169309.3548387097</v>
      </c>
      <c r="AW73" s="298">
        <v>216016.9</v>
      </c>
      <c r="AX73" s="298">
        <v>80703.870967741939</v>
      </c>
    </row>
    <row r="74" spans="1:50" x14ac:dyDescent="0.3">
      <c r="A74" s="297" t="s">
        <v>3770</v>
      </c>
      <c r="B74" s="297" t="s">
        <v>262</v>
      </c>
      <c r="C74" s="298">
        <v>0</v>
      </c>
      <c r="D74" s="298">
        <v>0</v>
      </c>
      <c r="E74" s="298">
        <v>0</v>
      </c>
      <c r="F74" s="298">
        <v>0</v>
      </c>
      <c r="G74" s="298">
        <v>73849.919999999998</v>
      </c>
      <c r="H74" s="298">
        <v>89235.319999999992</v>
      </c>
      <c r="I74" s="298">
        <v>131545.16999999998</v>
      </c>
      <c r="J74" s="298">
        <v>155007.905</v>
      </c>
      <c r="K74" s="298">
        <v>184624.8</v>
      </c>
      <c r="L74" s="298">
        <v>180009.18</v>
      </c>
      <c r="M74" s="298">
        <v>132731.37043682035</v>
      </c>
      <c r="N74" s="298">
        <v>73603.753599999996</v>
      </c>
      <c r="O74" s="298">
        <v>69204.298469999994</v>
      </c>
      <c r="P74" s="298">
        <v>10858</v>
      </c>
      <c r="Q74" s="298">
        <v>10925</v>
      </c>
      <c r="R74" s="298">
        <v>11520</v>
      </c>
      <c r="S74" s="298">
        <v>10716</v>
      </c>
      <c r="T74" s="298">
        <v>14971.999999999998</v>
      </c>
      <c r="U74" s="298">
        <v>14972</v>
      </c>
      <c r="V74" s="298">
        <v>32265.999999999996</v>
      </c>
      <c r="W74" s="298">
        <v>39917</v>
      </c>
      <c r="X74" s="298">
        <v>28525</v>
      </c>
      <c r="Y74" s="298">
        <v>20698</v>
      </c>
      <c r="Z74" s="298">
        <v>12205</v>
      </c>
      <c r="AA74" s="298">
        <v>8728</v>
      </c>
      <c r="AB74" s="298">
        <v>11500.99</v>
      </c>
      <c r="AC74" s="298">
        <v>7401</v>
      </c>
      <c r="AD74" s="298">
        <v>12316</v>
      </c>
      <c r="AE74" s="298">
        <v>15361.93548387097</v>
      </c>
      <c r="AF74" s="298">
        <v>16363.866666666667</v>
      </c>
      <c r="AG74" s="298">
        <v>17921.612903225807</v>
      </c>
      <c r="AH74" s="298">
        <v>23238.354838709678</v>
      </c>
      <c r="AI74" s="298">
        <v>25555.200000000001</v>
      </c>
      <c r="AJ74" s="298">
        <v>19598.709677419352</v>
      </c>
      <c r="AK74" s="298">
        <v>10627.266666666666</v>
      </c>
      <c r="AL74" s="298">
        <v>5172.5806451612898</v>
      </c>
      <c r="AM74" s="298">
        <v>8102.1935483870966</v>
      </c>
      <c r="AN74" s="298">
        <v>6899.9285714285706</v>
      </c>
      <c r="AO74" s="298">
        <v>5060.0883870967737</v>
      </c>
      <c r="AP74" s="298">
        <v>9138.8666666666668</v>
      </c>
      <c r="AQ74" s="298">
        <v>11266.967741935483</v>
      </c>
      <c r="AR74" s="298">
        <v>19533.866666666665</v>
      </c>
      <c r="AS74" s="298">
        <v>23356.451612903224</v>
      </c>
      <c r="AT74" s="298">
        <v>25131.774193548386</v>
      </c>
      <c r="AU74" s="298">
        <v>27885.866666666665</v>
      </c>
      <c r="AV74" s="298">
        <v>17430</v>
      </c>
      <c r="AW74" s="298">
        <v>9537</v>
      </c>
      <c r="AX74" s="298">
        <v>4506.7741935483873</v>
      </c>
    </row>
    <row r="75" spans="1:50" x14ac:dyDescent="0.3"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</row>
    <row r="76" spans="1:50" x14ac:dyDescent="0.3">
      <c r="C76" s="298">
        <f t="shared" ref="C76:AP76" si="0">SUM(C6:C75)</f>
        <v>1209764.0740349558</v>
      </c>
      <c r="D76" s="298">
        <f t="shared" si="0"/>
        <v>978023.99023801996</v>
      </c>
      <c r="E76" s="298">
        <f t="shared" si="0"/>
        <v>1214522.8759967152</v>
      </c>
      <c r="F76" s="298">
        <f t="shared" si="0"/>
        <v>1457790.503858211</v>
      </c>
      <c r="G76" s="298">
        <f t="shared" si="0"/>
        <v>1578224.3998771661</v>
      </c>
      <c r="H76" s="298">
        <f t="shared" si="0"/>
        <v>1996134.1165931833</v>
      </c>
      <c r="I76" s="298">
        <f t="shared" si="0"/>
        <v>3117953.2251562197</v>
      </c>
      <c r="J76" s="298">
        <f t="shared" si="0"/>
        <v>3582018.4913680027</v>
      </c>
      <c r="K76" s="298">
        <f t="shared" si="0"/>
        <v>3027315.7666867967</v>
      </c>
      <c r="L76" s="298">
        <f t="shared" si="0"/>
        <v>2673498.1867409032</v>
      </c>
      <c r="M76" s="298">
        <f t="shared" si="0"/>
        <v>2288684.1792740296</v>
      </c>
      <c r="N76" s="298">
        <f t="shared" si="0"/>
        <v>1518597.4617481478</v>
      </c>
      <c r="O76" s="298">
        <f t="shared" si="0"/>
        <v>1540558.3811972728</v>
      </c>
      <c r="P76" s="298">
        <f t="shared" si="0"/>
        <v>1277791.3284608065</v>
      </c>
      <c r="Q76" s="298">
        <f t="shared" si="0"/>
        <v>1508316.4697480006</v>
      </c>
      <c r="R76" s="298">
        <f t="shared" si="0"/>
        <v>1647586.5206534849</v>
      </c>
      <c r="S76" s="298">
        <f t="shared" si="0"/>
        <v>1752290.1098848437</v>
      </c>
      <c r="T76" s="298">
        <f t="shared" si="0"/>
        <v>2125584.7065931829</v>
      </c>
      <c r="U76" s="298">
        <f t="shared" si="0"/>
        <v>2168312.8214999679</v>
      </c>
      <c r="V76" s="298">
        <f t="shared" si="0"/>
        <v>2821403.2972474871</v>
      </c>
      <c r="W76" s="298">
        <f t="shared" si="0"/>
        <v>3229113.3207853073</v>
      </c>
      <c r="X76" s="298">
        <f t="shared" si="0"/>
        <v>2480019.8092945293</v>
      </c>
      <c r="Y76" s="298">
        <f t="shared" si="0"/>
        <v>1816158.9974854263</v>
      </c>
      <c r="Z76" s="298">
        <f t="shared" si="0"/>
        <v>1352311.2044608211</v>
      </c>
      <c r="AA76" s="298">
        <f t="shared" si="0"/>
        <v>1276449.5927272721</v>
      </c>
      <c r="AB76" s="298">
        <f t="shared" si="0"/>
        <v>1532291.0545084754</v>
      </c>
      <c r="AC76" s="298">
        <f t="shared" si="0"/>
        <v>1114940.309748</v>
      </c>
      <c r="AD76" s="298">
        <f t="shared" si="0"/>
        <v>1348550.7770629369</v>
      </c>
      <c r="AE76" s="298">
        <f t="shared" si="0"/>
        <v>1836630.4985099093</v>
      </c>
      <c r="AF76" s="298">
        <f t="shared" si="0"/>
        <v>2065992.7724776953</v>
      </c>
      <c r="AG76" s="298">
        <f t="shared" si="0"/>
        <v>2280095.9550716085</v>
      </c>
      <c r="AH76" s="298">
        <f t="shared" si="0"/>
        <v>2672126.3086065557</v>
      </c>
      <c r="AI76" s="298">
        <f t="shared" si="0"/>
        <v>3101125.6442036214</v>
      </c>
      <c r="AJ76" s="298">
        <f t="shared" si="0"/>
        <v>2314488.31568855</v>
      </c>
      <c r="AK76" s="298">
        <f t="shared" si="0"/>
        <v>1809159.7480546443</v>
      </c>
      <c r="AL76" s="298">
        <f t="shared" si="0"/>
        <v>1256986.3308831302</v>
      </c>
      <c r="AM76" s="298">
        <f t="shared" si="0"/>
        <v>1345303.0709677415</v>
      </c>
      <c r="AN76" s="298">
        <f t="shared" si="0"/>
        <v>1259012.4919239632</v>
      </c>
      <c r="AO76" s="298">
        <f t="shared" si="0"/>
        <v>1055830.9117204302</v>
      </c>
      <c r="AP76" s="298">
        <f t="shared" si="0"/>
        <v>1215724.4763333334</v>
      </c>
      <c r="AQ76" s="298"/>
      <c r="AR76" s="298"/>
      <c r="AS76" s="298"/>
      <c r="AT76" s="298"/>
      <c r="AU76" s="298"/>
      <c r="AV76" s="298"/>
      <c r="AW76" s="298"/>
      <c r="AX76" s="298"/>
    </row>
  </sheetData>
  <mergeCells count="4">
    <mergeCell ref="C3:N3"/>
    <mergeCell ref="O3:Z3"/>
    <mergeCell ref="AA3:AL3"/>
    <mergeCell ref="AM3:AX3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36DB80F8F679438022324127BB67CF" ma:contentTypeVersion="2" ma:contentTypeDescription="Create a new document." ma:contentTypeScope="" ma:versionID="9dc248db0b25e8ba80e8c9f53b6b7f3a">
  <xsd:schema xmlns:xsd="http://www.w3.org/2001/XMLSchema" xmlns:xs="http://www.w3.org/2001/XMLSchema" xmlns:p="http://schemas.microsoft.com/office/2006/metadata/properties" xmlns:ns2="6b4f1a89-e500-4cb9-8815-4fc18b2932a1" targetNamespace="http://schemas.microsoft.com/office/2006/metadata/properties" ma:root="true" ma:fieldsID="8d8ad3e5cfa21e0e8f82faa19e857b2c" ns2:_="">
    <xsd:import namespace="6b4f1a89-e500-4cb9-8815-4fc18b2932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f1a89-e500-4cb9-8815-4fc18b29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F93887-4A57-4621-8638-53678874A2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B6D6ED-786F-4313-AC3C-8A2FB85AC0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4f1a89-e500-4cb9-8815-4fc18b29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6E73FB-32D8-4D8A-B4B3-DDB89363045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Electricity</vt:lpstr>
      <vt:lpstr>Electricity ($)</vt:lpstr>
      <vt:lpstr>Natural Gas</vt:lpstr>
      <vt:lpstr>Water</vt:lpstr>
      <vt:lpstr>Chilled Water</vt:lpstr>
      <vt:lpstr>'Natural Gas'!FY03_04_UPC_Gas_USAGE</vt:lpstr>
      <vt:lpstr>Electricity!Print_Area</vt:lpstr>
      <vt:lpstr>'Electricity ($)'!Print_Area</vt:lpstr>
      <vt:lpstr>'Natural Gas'!Print_Area</vt:lpstr>
      <vt:lpstr>Water!Print_Area</vt:lpstr>
      <vt:lpstr>Electricity!Print_Titles</vt:lpstr>
      <vt:lpstr>'Electricity ($)'!Print_Titles</vt:lpstr>
      <vt:lpstr>'Natural Gas'!Print_Titles</vt:lpstr>
      <vt:lpstr>Water!Print_Titles</vt:lpstr>
      <vt:lpstr>Electricity!UPCEL</vt:lpstr>
      <vt:lpstr>'Electricity ($)'!UPCEL</vt:lpstr>
    </vt:vector>
  </TitlesOfParts>
  <Manager/>
  <Company>U.S.C.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nchin</dc:creator>
  <cp:keywords/>
  <dc:description/>
  <cp:lastModifiedBy>Pratik Khadse</cp:lastModifiedBy>
  <cp:revision/>
  <dcterms:created xsi:type="dcterms:W3CDTF">2009-07-17T18:30:10Z</dcterms:created>
  <dcterms:modified xsi:type="dcterms:W3CDTF">2022-04-09T05:12:27Z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0x010100F036DB80F8F679438022324127BB67CF</vt:lpwstr>
  </property>
</Properties>
</file>