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code\Machine-Learning\Flyash\Model1\"/>
    </mc:Choice>
  </mc:AlternateContent>
  <xr:revisionPtr revIDLastSave="0" documentId="8_{4C1AA1E2-5518-4750-8906-1E21550E5E26}" xr6:coauthVersionLast="36" xr6:coauthVersionMax="36" xr10:uidLastSave="{00000000-0000-0000-0000-000000000000}"/>
  <bookViews>
    <workbookView xWindow="0" yWindow="0" windowWidth="21825" windowHeight="5265" tabRatio="604" activeTab="3" xr2:uid="{A73437E1-011F-4AE5-A9FB-CC09C72499C0}"/>
  </bookViews>
  <sheets>
    <sheet name="Supporting information" sheetId="3" r:id="rId1"/>
    <sheet name="1" sheetId="4" r:id="rId2"/>
    <sheet name="2" sheetId="8" r:id="rId3"/>
    <sheet name="3" sheetId="6" r:id="rId4"/>
    <sheet name="4" sheetId="9" r:id="rId5"/>
    <sheet name="5" sheetId="10" r:id="rId6"/>
    <sheet name="6" sheetId="11" r:id="rId7"/>
    <sheet name="7" sheetId="12" r:id="rId8"/>
    <sheet name="8" sheetId="13" r:id="rId9"/>
    <sheet name="9" sheetId="17" r:id="rId10"/>
    <sheet name="10" sheetId="18" r:id="rId11"/>
    <sheet name="11" sheetId="20" r:id="rId12"/>
    <sheet name="12" sheetId="22" r:id="rId13"/>
    <sheet name="13" sheetId="23" r:id="rId14"/>
    <sheet name="14" sheetId="25" r:id="rId15"/>
    <sheet name="15" sheetId="29" r:id="rId16"/>
    <sheet name="domst_1" sheetId="30" r:id="rId17"/>
    <sheet name="domst_2" sheetId="31" r:id="rId18"/>
    <sheet name="18" sheetId="32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3" l="1"/>
  <c r="J31" i="3"/>
  <c r="J121" i="3"/>
  <c r="J122" i="3"/>
  <c r="J123" i="3"/>
  <c r="J124" i="3"/>
  <c r="J125" i="3"/>
  <c r="J120" i="3"/>
  <c r="R16" i="32"/>
  <c r="R17" i="32"/>
  <c r="R18" i="32"/>
  <c r="R19" i="32"/>
  <c r="R20" i="32"/>
  <c r="R21" i="32"/>
  <c r="J113" i="3"/>
  <c r="J114" i="3"/>
  <c r="J115" i="3"/>
  <c r="J116" i="3"/>
  <c r="J117" i="3"/>
  <c r="J118" i="3"/>
  <c r="J119" i="3"/>
  <c r="J112" i="3"/>
  <c r="R16" i="31"/>
  <c r="R17" i="31"/>
  <c r="R18" i="31"/>
  <c r="R19" i="31"/>
  <c r="R20" i="31"/>
  <c r="R21" i="31"/>
  <c r="R22" i="31"/>
  <c r="R15" i="31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95" i="3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34" i="29"/>
  <c r="L121" i="3" l="1"/>
  <c r="M121" i="3"/>
  <c r="N121" i="3"/>
  <c r="L122" i="3"/>
  <c r="M122" i="3"/>
  <c r="N122" i="3"/>
  <c r="L123" i="3"/>
  <c r="M123" i="3"/>
  <c r="N123" i="3"/>
  <c r="L124" i="3"/>
  <c r="M124" i="3"/>
  <c r="N124" i="3"/>
  <c r="L125" i="3"/>
  <c r="M125" i="3"/>
  <c r="N125" i="3"/>
  <c r="M120" i="3"/>
  <c r="N120" i="3"/>
  <c r="L120" i="3"/>
  <c r="F16" i="32"/>
  <c r="D16" i="32"/>
  <c r="C16" i="32"/>
  <c r="C17" i="32"/>
  <c r="I17" i="32" s="1"/>
  <c r="D17" i="32"/>
  <c r="J17" i="32" s="1"/>
  <c r="F17" i="32"/>
  <c r="K17" i="32" s="1"/>
  <c r="C18" i="32"/>
  <c r="I18" i="32" s="1"/>
  <c r="D18" i="32"/>
  <c r="F18" i="32"/>
  <c r="K18" i="32" s="1"/>
  <c r="J18" i="32"/>
  <c r="C19" i="32"/>
  <c r="I19" i="32" s="1"/>
  <c r="D19" i="32"/>
  <c r="J19" i="32" s="1"/>
  <c r="F19" i="32"/>
  <c r="K19" i="32" s="1"/>
  <c r="C20" i="32"/>
  <c r="D20" i="32"/>
  <c r="F20" i="32"/>
  <c r="K20" i="32" s="1"/>
  <c r="I20" i="32"/>
  <c r="J20" i="32"/>
  <c r="C21" i="32"/>
  <c r="D21" i="32"/>
  <c r="F21" i="32"/>
  <c r="I21" i="32"/>
  <c r="J21" i="32"/>
  <c r="K21" i="32"/>
  <c r="P21" i="32" s="1"/>
  <c r="L21" i="32"/>
  <c r="O21" i="32" s="1"/>
  <c r="P16" i="32"/>
  <c r="O16" i="32"/>
  <c r="N16" i="32"/>
  <c r="K16" i="32"/>
  <c r="J16" i="32"/>
  <c r="I16" i="32"/>
  <c r="L19" i="32" l="1"/>
  <c r="P19" i="32" s="1"/>
  <c r="N19" i="32"/>
  <c r="L18" i="32"/>
  <c r="O18" i="32" s="1"/>
  <c r="N18" i="32"/>
  <c r="O20" i="32"/>
  <c r="P17" i="32"/>
  <c r="N20" i="32"/>
  <c r="O17" i="32"/>
  <c r="L17" i="32"/>
  <c r="N17" i="32" s="1"/>
  <c r="L20" i="32"/>
  <c r="P20" i="32" s="1"/>
  <c r="N21" i="32"/>
  <c r="P18" i="32" l="1"/>
  <c r="O19" i="32"/>
  <c r="L16" i="32"/>
  <c r="L113" i="3"/>
  <c r="M113" i="3"/>
  <c r="N113" i="3"/>
  <c r="L114" i="3"/>
  <c r="M114" i="3"/>
  <c r="N114" i="3"/>
  <c r="L115" i="3"/>
  <c r="M115" i="3"/>
  <c r="N115" i="3"/>
  <c r="L116" i="3"/>
  <c r="M116" i="3"/>
  <c r="N116" i="3"/>
  <c r="L117" i="3"/>
  <c r="M117" i="3"/>
  <c r="N117" i="3"/>
  <c r="L118" i="3"/>
  <c r="M118" i="3"/>
  <c r="N118" i="3"/>
  <c r="L119" i="3"/>
  <c r="M119" i="3"/>
  <c r="N119" i="3"/>
  <c r="L112" i="3"/>
  <c r="M112" i="3"/>
  <c r="N112" i="3"/>
  <c r="C16" i="31"/>
  <c r="I16" i="31" s="1"/>
  <c r="D16" i="31"/>
  <c r="F16" i="31"/>
  <c r="J16" i="31"/>
  <c r="K16" i="31"/>
  <c r="C17" i="31"/>
  <c r="I17" i="31" s="1"/>
  <c r="D17" i="31"/>
  <c r="F17" i="31"/>
  <c r="K17" i="31"/>
  <c r="C18" i="31"/>
  <c r="D18" i="31"/>
  <c r="J18" i="31" s="1"/>
  <c r="F18" i="31"/>
  <c r="K18" i="31" s="1"/>
  <c r="I18" i="31"/>
  <c r="C19" i="31"/>
  <c r="D19" i="31"/>
  <c r="F19" i="31"/>
  <c r="I19" i="31"/>
  <c r="L19" i="31" s="1"/>
  <c r="J19" i="31"/>
  <c r="O19" i="31" s="1"/>
  <c r="K19" i="31"/>
  <c r="P19" i="31" s="1"/>
  <c r="C20" i="31"/>
  <c r="D20" i="31"/>
  <c r="F20" i="31"/>
  <c r="I20" i="31"/>
  <c r="J20" i="31"/>
  <c r="O20" i="31" s="1"/>
  <c r="K20" i="31"/>
  <c r="P20" i="31" s="1"/>
  <c r="L20" i="31"/>
  <c r="N20" i="31"/>
  <c r="C21" i="31"/>
  <c r="D21" i="31"/>
  <c r="F21" i="31"/>
  <c r="I21" i="31"/>
  <c r="J21" i="31"/>
  <c r="K21" i="31"/>
  <c r="L21" i="31"/>
  <c r="N21" i="31"/>
  <c r="O21" i="31"/>
  <c r="P21" i="31"/>
  <c r="C22" i="31"/>
  <c r="I22" i="31" s="1"/>
  <c r="D22" i="31"/>
  <c r="F22" i="31"/>
  <c r="J22" i="31"/>
  <c r="K22" i="31"/>
  <c r="K15" i="31"/>
  <c r="J15" i="31"/>
  <c r="I15" i="31"/>
  <c r="D15" i="31"/>
  <c r="F15" i="31"/>
  <c r="C15" i="31"/>
  <c r="L96" i="3"/>
  <c r="M96" i="3"/>
  <c r="N96" i="3"/>
  <c r="L97" i="3"/>
  <c r="M97" i="3"/>
  <c r="N97" i="3"/>
  <c r="L98" i="3"/>
  <c r="M98" i="3"/>
  <c r="N98" i="3"/>
  <c r="L99" i="3"/>
  <c r="M99" i="3"/>
  <c r="N99" i="3"/>
  <c r="L100" i="3"/>
  <c r="M100" i="3"/>
  <c r="N100" i="3"/>
  <c r="L101" i="3"/>
  <c r="M101" i="3"/>
  <c r="N101" i="3"/>
  <c r="L102" i="3"/>
  <c r="M102" i="3"/>
  <c r="N102" i="3"/>
  <c r="L103" i="3"/>
  <c r="M103" i="3"/>
  <c r="N103" i="3"/>
  <c r="L104" i="3"/>
  <c r="M104" i="3"/>
  <c r="N104" i="3"/>
  <c r="L105" i="3"/>
  <c r="M105" i="3"/>
  <c r="N105" i="3"/>
  <c r="L106" i="3"/>
  <c r="M106" i="3"/>
  <c r="N106" i="3"/>
  <c r="L107" i="3"/>
  <c r="M107" i="3"/>
  <c r="N107" i="3"/>
  <c r="L108" i="3"/>
  <c r="M108" i="3"/>
  <c r="N108" i="3"/>
  <c r="L109" i="3"/>
  <c r="M109" i="3"/>
  <c r="N109" i="3"/>
  <c r="L110" i="3"/>
  <c r="M110" i="3"/>
  <c r="N110" i="3"/>
  <c r="L111" i="3"/>
  <c r="M111" i="3"/>
  <c r="N111" i="3"/>
  <c r="M95" i="3"/>
  <c r="N95" i="3"/>
  <c r="L95" i="3"/>
  <c r="C25" i="30"/>
  <c r="I25" i="30" s="1"/>
  <c r="D25" i="30"/>
  <c r="J25" i="30" s="1"/>
  <c r="F25" i="30"/>
  <c r="K25" i="30"/>
  <c r="C26" i="30"/>
  <c r="I26" i="30" s="1"/>
  <c r="D26" i="30"/>
  <c r="J26" i="30" s="1"/>
  <c r="F26" i="30"/>
  <c r="K26" i="30" s="1"/>
  <c r="C27" i="30"/>
  <c r="D27" i="30"/>
  <c r="J27" i="30" s="1"/>
  <c r="F27" i="30"/>
  <c r="K27" i="30" s="1"/>
  <c r="I27" i="30"/>
  <c r="L27" i="30" s="1"/>
  <c r="C28" i="30"/>
  <c r="D28" i="30"/>
  <c r="F28" i="30"/>
  <c r="I28" i="30"/>
  <c r="J28" i="30"/>
  <c r="L28" i="30" s="1"/>
  <c r="K28" i="30"/>
  <c r="C29" i="30"/>
  <c r="D29" i="30"/>
  <c r="F29" i="30"/>
  <c r="I29" i="30"/>
  <c r="J29" i="30"/>
  <c r="O29" i="30" s="1"/>
  <c r="K29" i="30"/>
  <c r="P29" i="30" s="1"/>
  <c r="L29" i="30"/>
  <c r="N29" i="30"/>
  <c r="C30" i="30"/>
  <c r="D30" i="30"/>
  <c r="F30" i="30"/>
  <c r="I30" i="30"/>
  <c r="J30" i="30"/>
  <c r="K30" i="30"/>
  <c r="L30" i="30"/>
  <c r="N30" i="30" s="1"/>
  <c r="O30" i="30"/>
  <c r="P30" i="30"/>
  <c r="C31" i="30"/>
  <c r="I31" i="30" s="1"/>
  <c r="D31" i="30"/>
  <c r="J31" i="30" s="1"/>
  <c r="F31" i="30"/>
  <c r="K31" i="30"/>
  <c r="C32" i="30"/>
  <c r="I32" i="30" s="1"/>
  <c r="D32" i="30"/>
  <c r="J32" i="30" s="1"/>
  <c r="F32" i="30"/>
  <c r="K32" i="30" s="1"/>
  <c r="C33" i="30"/>
  <c r="D33" i="30"/>
  <c r="F33" i="30"/>
  <c r="K33" i="30" s="1"/>
  <c r="I33" i="30"/>
  <c r="L33" i="30" s="1"/>
  <c r="J33" i="30"/>
  <c r="O33" i="30" s="1"/>
  <c r="C34" i="30"/>
  <c r="D34" i="30"/>
  <c r="F34" i="30"/>
  <c r="I34" i="30"/>
  <c r="J34" i="30"/>
  <c r="L34" i="30" s="1"/>
  <c r="K34" i="30"/>
  <c r="P34" i="30" s="1"/>
  <c r="C35" i="30"/>
  <c r="D35" i="30"/>
  <c r="F35" i="30"/>
  <c r="I35" i="30"/>
  <c r="J35" i="30"/>
  <c r="O35" i="30" s="1"/>
  <c r="K35" i="30"/>
  <c r="P35" i="30" s="1"/>
  <c r="L35" i="30"/>
  <c r="N35" i="30"/>
  <c r="C36" i="30"/>
  <c r="D36" i="30"/>
  <c r="F36" i="30"/>
  <c r="I36" i="30"/>
  <c r="J36" i="30"/>
  <c r="K36" i="30"/>
  <c r="L36" i="30"/>
  <c r="N36" i="30" s="1"/>
  <c r="O36" i="30"/>
  <c r="P36" i="30"/>
  <c r="C37" i="30"/>
  <c r="I37" i="30" s="1"/>
  <c r="D37" i="30"/>
  <c r="J37" i="30" s="1"/>
  <c r="F37" i="30"/>
  <c r="K37" i="30"/>
  <c r="C38" i="30"/>
  <c r="I38" i="30" s="1"/>
  <c r="D38" i="30"/>
  <c r="J38" i="30" s="1"/>
  <c r="F38" i="30"/>
  <c r="K38" i="30" s="1"/>
  <c r="C39" i="30"/>
  <c r="D39" i="30"/>
  <c r="F39" i="30"/>
  <c r="K39" i="30" s="1"/>
  <c r="I39" i="30"/>
  <c r="L39" i="30" s="1"/>
  <c r="J39" i="30"/>
  <c r="O39" i="30" s="1"/>
  <c r="C40" i="30"/>
  <c r="D40" i="30"/>
  <c r="F40" i="30"/>
  <c r="I40" i="30"/>
  <c r="N40" i="30" s="1"/>
  <c r="J40" i="30"/>
  <c r="L40" i="30" s="1"/>
  <c r="K40" i="30"/>
  <c r="P40" i="30" s="1"/>
  <c r="K24" i="30"/>
  <c r="J24" i="30"/>
  <c r="L24" i="30"/>
  <c r="P24" i="30" s="1"/>
  <c r="I24" i="30"/>
  <c r="F24" i="30"/>
  <c r="D24" i="30"/>
  <c r="C24" i="30"/>
  <c r="L17" i="31" l="1"/>
  <c r="L22" i="31"/>
  <c r="N22" i="31"/>
  <c r="L18" i="31"/>
  <c r="L16" i="31"/>
  <c r="N16" i="31"/>
  <c r="J17" i="31"/>
  <c r="N19" i="31"/>
  <c r="L15" i="31"/>
  <c r="P15" i="31" s="1"/>
  <c r="L37" i="30"/>
  <c r="P37" i="30" s="1"/>
  <c r="P33" i="30"/>
  <c r="P39" i="30"/>
  <c r="P32" i="30"/>
  <c r="P28" i="30"/>
  <c r="L26" i="30"/>
  <c r="P26" i="30" s="1"/>
  <c r="N26" i="30"/>
  <c r="O37" i="30"/>
  <c r="L32" i="30"/>
  <c r="N32" i="30"/>
  <c r="N28" i="30"/>
  <c r="L31" i="30"/>
  <c r="P31" i="30" s="1"/>
  <c r="N31" i="30"/>
  <c r="O27" i="30"/>
  <c r="O32" i="30"/>
  <c r="L38" i="30"/>
  <c r="O38" i="30" s="1"/>
  <c r="N38" i="30"/>
  <c r="N34" i="30"/>
  <c r="O25" i="30"/>
  <c r="P27" i="30"/>
  <c r="L25" i="30"/>
  <c r="P25" i="30" s="1"/>
  <c r="N39" i="30"/>
  <c r="N33" i="30"/>
  <c r="N27" i="30"/>
  <c r="O40" i="30"/>
  <c r="O34" i="30"/>
  <c r="O28" i="30"/>
  <c r="O24" i="30"/>
  <c r="N24" i="30"/>
  <c r="L74" i="3"/>
  <c r="M74" i="3"/>
  <c r="N74" i="3"/>
  <c r="L75" i="3"/>
  <c r="M75" i="3"/>
  <c r="N75" i="3"/>
  <c r="L76" i="3"/>
  <c r="M76" i="3"/>
  <c r="N76" i="3"/>
  <c r="L77" i="3"/>
  <c r="M77" i="3"/>
  <c r="N77" i="3"/>
  <c r="L78" i="3"/>
  <c r="M78" i="3"/>
  <c r="N78" i="3"/>
  <c r="L79" i="3"/>
  <c r="M79" i="3"/>
  <c r="N79" i="3"/>
  <c r="L80" i="3"/>
  <c r="M80" i="3"/>
  <c r="N80" i="3"/>
  <c r="L81" i="3"/>
  <c r="M81" i="3"/>
  <c r="N81" i="3"/>
  <c r="L82" i="3"/>
  <c r="M82" i="3"/>
  <c r="N82" i="3"/>
  <c r="L83" i="3"/>
  <c r="M83" i="3"/>
  <c r="N83" i="3"/>
  <c r="L84" i="3"/>
  <c r="M84" i="3"/>
  <c r="N84" i="3"/>
  <c r="L85" i="3"/>
  <c r="M85" i="3"/>
  <c r="N85" i="3"/>
  <c r="L86" i="3"/>
  <c r="M86" i="3"/>
  <c r="N86" i="3"/>
  <c r="L87" i="3"/>
  <c r="M87" i="3"/>
  <c r="N87" i="3"/>
  <c r="L88" i="3"/>
  <c r="M88" i="3"/>
  <c r="N88" i="3"/>
  <c r="L89" i="3"/>
  <c r="M89" i="3"/>
  <c r="N89" i="3"/>
  <c r="L90" i="3"/>
  <c r="M90" i="3"/>
  <c r="N90" i="3"/>
  <c r="L91" i="3"/>
  <c r="M91" i="3"/>
  <c r="N91" i="3"/>
  <c r="L92" i="3"/>
  <c r="M92" i="3"/>
  <c r="N92" i="3"/>
  <c r="L93" i="3"/>
  <c r="M93" i="3"/>
  <c r="N93" i="3"/>
  <c r="L94" i="3"/>
  <c r="M94" i="3"/>
  <c r="N94" i="3"/>
  <c r="M73" i="3"/>
  <c r="N73" i="3"/>
  <c r="L73" i="3"/>
  <c r="F37" i="29"/>
  <c r="C34" i="29"/>
  <c r="I34" i="29"/>
  <c r="D34" i="29"/>
  <c r="J34" i="29" s="1"/>
  <c r="F34" i="29"/>
  <c r="K34" i="29" s="1"/>
  <c r="C35" i="29"/>
  <c r="I35" i="29" s="1"/>
  <c r="D35" i="29"/>
  <c r="J35" i="29" s="1"/>
  <c r="F35" i="29"/>
  <c r="K35" i="29" s="1"/>
  <c r="C36" i="29"/>
  <c r="I36" i="29" s="1"/>
  <c r="D36" i="29"/>
  <c r="J36" i="29" s="1"/>
  <c r="F36" i="29"/>
  <c r="K36" i="29" s="1"/>
  <c r="C37" i="29"/>
  <c r="I37" i="29" s="1"/>
  <c r="D37" i="29"/>
  <c r="J37" i="29" s="1"/>
  <c r="K37" i="29"/>
  <c r="C38" i="29"/>
  <c r="D38" i="29"/>
  <c r="F38" i="29"/>
  <c r="I38" i="29"/>
  <c r="J38" i="29"/>
  <c r="L38" i="29" s="1"/>
  <c r="O38" i="29" s="1"/>
  <c r="K38" i="29"/>
  <c r="C39" i="29"/>
  <c r="I39" i="29" s="1"/>
  <c r="D39" i="29"/>
  <c r="F39" i="29"/>
  <c r="K39" i="29" s="1"/>
  <c r="J39" i="29"/>
  <c r="C40" i="29"/>
  <c r="I40" i="29" s="1"/>
  <c r="D40" i="29"/>
  <c r="J40" i="29" s="1"/>
  <c r="F40" i="29"/>
  <c r="K40" i="29"/>
  <c r="C41" i="29"/>
  <c r="I41" i="29" s="1"/>
  <c r="D41" i="29"/>
  <c r="J41" i="29" s="1"/>
  <c r="F41" i="29"/>
  <c r="K41" i="29" s="1"/>
  <c r="C42" i="29"/>
  <c r="I42" i="29" s="1"/>
  <c r="D42" i="29"/>
  <c r="J42" i="29" s="1"/>
  <c r="F42" i="29"/>
  <c r="K42" i="29" s="1"/>
  <c r="C43" i="29"/>
  <c r="D43" i="29"/>
  <c r="F43" i="29"/>
  <c r="K43" i="29" s="1"/>
  <c r="I43" i="29"/>
  <c r="J43" i="29"/>
  <c r="C44" i="29"/>
  <c r="I44" i="29" s="1"/>
  <c r="D44" i="29"/>
  <c r="J44" i="29" s="1"/>
  <c r="F44" i="29"/>
  <c r="K44" i="29" s="1"/>
  <c r="C45" i="29"/>
  <c r="I45" i="29" s="1"/>
  <c r="D45" i="29"/>
  <c r="J45" i="29" s="1"/>
  <c r="F45" i="29"/>
  <c r="K45" i="29" s="1"/>
  <c r="C46" i="29"/>
  <c r="I46" i="29" s="1"/>
  <c r="D46" i="29"/>
  <c r="J46" i="29" s="1"/>
  <c r="F46" i="29"/>
  <c r="K46" i="29" s="1"/>
  <c r="C47" i="29"/>
  <c r="I47" i="29" s="1"/>
  <c r="D47" i="29"/>
  <c r="J47" i="29" s="1"/>
  <c r="F47" i="29"/>
  <c r="K47" i="29" s="1"/>
  <c r="C48" i="29"/>
  <c r="I48" i="29" s="1"/>
  <c r="D48" i="29"/>
  <c r="F48" i="29"/>
  <c r="K48" i="29" s="1"/>
  <c r="J48" i="29"/>
  <c r="C49" i="29"/>
  <c r="D49" i="29"/>
  <c r="J49" i="29" s="1"/>
  <c r="F49" i="29"/>
  <c r="K49" i="29" s="1"/>
  <c r="I49" i="29"/>
  <c r="C50" i="29"/>
  <c r="I50" i="29" s="1"/>
  <c r="D50" i="29"/>
  <c r="F50" i="29"/>
  <c r="K50" i="29" s="1"/>
  <c r="J50" i="29"/>
  <c r="C51" i="29"/>
  <c r="I51" i="29" s="1"/>
  <c r="D51" i="29"/>
  <c r="J51" i="29" s="1"/>
  <c r="F51" i="29"/>
  <c r="K51" i="29" s="1"/>
  <c r="C52" i="29"/>
  <c r="D52" i="29"/>
  <c r="J52" i="29" s="1"/>
  <c r="F52" i="29"/>
  <c r="K52" i="29" s="1"/>
  <c r="I52" i="29"/>
  <c r="C53" i="29"/>
  <c r="I53" i="29" s="1"/>
  <c r="D53" i="29"/>
  <c r="J53" i="29" s="1"/>
  <c r="F53" i="29"/>
  <c r="K53" i="29" s="1"/>
  <c r="C54" i="29"/>
  <c r="I54" i="29" s="1"/>
  <c r="D54" i="29"/>
  <c r="J54" i="29" s="1"/>
  <c r="F54" i="29"/>
  <c r="K54" i="29" s="1"/>
  <c r="C55" i="29"/>
  <c r="I55" i="29" s="1"/>
  <c r="D55" i="29"/>
  <c r="J55" i="29" s="1"/>
  <c r="F55" i="29"/>
  <c r="K55" i="29" s="1"/>
  <c r="P17" i="31" l="1"/>
  <c r="O17" i="31"/>
  <c r="N18" i="31"/>
  <c r="P18" i="31"/>
  <c r="P22" i="31"/>
  <c r="O22" i="31"/>
  <c r="P16" i="31"/>
  <c r="O16" i="31"/>
  <c r="N17" i="31"/>
  <c r="O18" i="31"/>
  <c r="O15" i="31"/>
  <c r="N15" i="31"/>
  <c r="O26" i="30"/>
  <c r="N25" i="30"/>
  <c r="O31" i="30"/>
  <c r="P38" i="30"/>
  <c r="N37" i="30"/>
  <c r="P38" i="29"/>
  <c r="L42" i="29"/>
  <c r="N42" i="29" s="1"/>
  <c r="L39" i="29"/>
  <c r="P42" i="29"/>
  <c r="O42" i="29"/>
  <c r="L36" i="29"/>
  <c r="P36" i="29" s="1"/>
  <c r="L40" i="29"/>
  <c r="P40" i="29" s="1"/>
  <c r="N38" i="29"/>
  <c r="R38" i="29" s="1"/>
  <c r="L41" i="29"/>
  <c r="O41" i="29" s="1"/>
  <c r="L37" i="29"/>
  <c r="O37" i="29" s="1"/>
  <c r="L43" i="29"/>
  <c r="O43" i="29" s="1"/>
  <c r="L50" i="29"/>
  <c r="L48" i="29"/>
  <c r="O48" i="29" s="1"/>
  <c r="L45" i="29"/>
  <c r="O45" i="29" s="1"/>
  <c r="L35" i="29"/>
  <c r="P35" i="29" s="1"/>
  <c r="L47" i="29"/>
  <c r="O47" i="29" s="1"/>
  <c r="L53" i="29"/>
  <c r="O53" i="29" s="1"/>
  <c r="L49" i="29"/>
  <c r="O49" i="29" s="1"/>
  <c r="L46" i="29"/>
  <c r="O46" i="29" s="1"/>
  <c r="L55" i="29"/>
  <c r="O55" i="29" s="1"/>
  <c r="L44" i="29"/>
  <c r="O44" i="29" s="1"/>
  <c r="L52" i="29"/>
  <c r="N52" i="29" s="1"/>
  <c r="O52" i="29"/>
  <c r="L54" i="29"/>
  <c r="N54" i="29" s="1"/>
  <c r="L51" i="29"/>
  <c r="O51" i="29" s="1"/>
  <c r="L34" i="29"/>
  <c r="N34" i="29" s="1"/>
  <c r="P49" i="29" l="1"/>
  <c r="O40" i="29"/>
  <c r="N49" i="29"/>
  <c r="R42" i="29"/>
  <c r="T42" i="29" s="1"/>
  <c r="O54" i="29"/>
  <c r="N51" i="29"/>
  <c r="T38" i="29"/>
  <c r="N36" i="29"/>
  <c r="R55" i="29"/>
  <c r="O39" i="29"/>
  <c r="P39" i="29"/>
  <c r="N47" i="29"/>
  <c r="R47" i="29" s="1"/>
  <c r="N39" i="29"/>
  <c r="P52" i="29"/>
  <c r="N43" i="29"/>
  <c r="R43" i="29" s="1"/>
  <c r="N37" i="29"/>
  <c r="R37" i="29" s="1"/>
  <c r="P37" i="29"/>
  <c r="N55" i="29"/>
  <c r="N41" i="29"/>
  <c r="R41" i="29" s="1"/>
  <c r="P51" i="29"/>
  <c r="O36" i="29"/>
  <c r="R36" i="29" s="1"/>
  <c r="P48" i="29"/>
  <c r="N40" i="29"/>
  <c r="P41" i="29"/>
  <c r="R40" i="29"/>
  <c r="P53" i="29"/>
  <c r="R52" i="29"/>
  <c r="P46" i="29"/>
  <c r="P47" i="29"/>
  <c r="N45" i="29"/>
  <c r="R45" i="29" s="1"/>
  <c r="R54" i="29"/>
  <c r="O50" i="29"/>
  <c r="N50" i="29"/>
  <c r="P44" i="29"/>
  <c r="P50" i="29"/>
  <c r="N44" i="29"/>
  <c r="R44" i="29" s="1"/>
  <c r="P55" i="29"/>
  <c r="N53" i="29"/>
  <c r="R53" i="29" s="1"/>
  <c r="P54" i="29"/>
  <c r="R49" i="29"/>
  <c r="N35" i="29"/>
  <c r="P34" i="29"/>
  <c r="O34" i="29"/>
  <c r="N46" i="29"/>
  <c r="R46" i="29" s="1"/>
  <c r="O35" i="29"/>
  <c r="P43" i="29"/>
  <c r="R51" i="29"/>
  <c r="P45" i="29"/>
  <c r="N48" i="29"/>
  <c r="R48" i="29" s="1"/>
  <c r="T55" i="29" l="1"/>
  <c r="T37" i="29"/>
  <c r="T41" i="29"/>
  <c r="T40" i="29"/>
  <c r="R39" i="29"/>
  <c r="T36" i="29"/>
  <c r="R35" i="29"/>
  <c r="T48" i="29"/>
  <c r="T45" i="29"/>
  <c r="T53" i="29"/>
  <c r="T44" i="29"/>
  <c r="T46" i="29"/>
  <c r="T51" i="29"/>
  <c r="T35" i="29"/>
  <c r="T47" i="29"/>
  <c r="T43" i="29"/>
  <c r="T52" i="29"/>
  <c r="T34" i="29"/>
  <c r="R50" i="29"/>
  <c r="T49" i="29"/>
  <c r="T54" i="29"/>
  <c r="T39" i="29" l="1"/>
  <c r="T56" i="29"/>
  <c r="T50" i="29"/>
  <c r="L67" i="3" l="1"/>
  <c r="M67" i="3"/>
  <c r="N67" i="3"/>
  <c r="L68" i="3"/>
  <c r="M68" i="3"/>
  <c r="N68" i="3"/>
  <c r="L69" i="3"/>
  <c r="M69" i="3"/>
  <c r="N69" i="3"/>
  <c r="L70" i="3"/>
  <c r="M70" i="3"/>
  <c r="N70" i="3"/>
  <c r="L71" i="3"/>
  <c r="M71" i="3"/>
  <c r="N71" i="3"/>
  <c r="L72" i="3"/>
  <c r="M72" i="3"/>
  <c r="N72" i="3"/>
  <c r="M66" i="3"/>
  <c r="N66" i="3"/>
  <c r="L66" i="3"/>
  <c r="C17" i="25"/>
  <c r="F17" i="25" l="1"/>
  <c r="D17" i="25"/>
  <c r="L62" i="3"/>
  <c r="M62" i="3"/>
  <c r="N62" i="3"/>
  <c r="L63" i="3"/>
  <c r="M63" i="3"/>
  <c r="N63" i="3"/>
  <c r="L64" i="3"/>
  <c r="M64" i="3"/>
  <c r="N64" i="3"/>
  <c r="L65" i="3"/>
  <c r="M65" i="3"/>
  <c r="N65" i="3"/>
  <c r="M61" i="3"/>
  <c r="N61" i="3"/>
  <c r="L61" i="3"/>
  <c r="I25" i="23"/>
  <c r="L25" i="23" s="1"/>
  <c r="J25" i="23"/>
  <c r="K25" i="23"/>
  <c r="I26" i="23"/>
  <c r="N26" i="23" s="1"/>
  <c r="J26" i="23"/>
  <c r="K26" i="23"/>
  <c r="P26" i="23" s="1"/>
  <c r="L26" i="23"/>
  <c r="O26" i="23" s="1"/>
  <c r="R26" i="23" s="1"/>
  <c r="I27" i="23"/>
  <c r="J27" i="23"/>
  <c r="K27" i="23"/>
  <c r="L27" i="23"/>
  <c r="O27" i="23" s="1"/>
  <c r="R27" i="23" s="1"/>
  <c r="N27" i="23"/>
  <c r="I28" i="23"/>
  <c r="L28" i="23" s="1"/>
  <c r="P28" i="23" s="1"/>
  <c r="J28" i="23"/>
  <c r="K28" i="23"/>
  <c r="L24" i="23"/>
  <c r="D24" i="23"/>
  <c r="C24" i="23"/>
  <c r="L58" i="3"/>
  <c r="M58" i="3"/>
  <c r="N58" i="3"/>
  <c r="L59" i="3"/>
  <c r="M59" i="3"/>
  <c r="N59" i="3"/>
  <c r="L60" i="3"/>
  <c r="M60" i="3"/>
  <c r="N60" i="3"/>
  <c r="M57" i="3"/>
  <c r="N57" i="3"/>
  <c r="L57" i="3"/>
  <c r="O16" i="22"/>
  <c r="N16" i="22"/>
  <c r="M16" i="22"/>
  <c r="K16" i="22"/>
  <c r="J16" i="22"/>
  <c r="I16" i="22"/>
  <c r="H16" i="22"/>
  <c r="L56" i="3"/>
  <c r="M56" i="3"/>
  <c r="N56" i="3"/>
  <c r="M55" i="3"/>
  <c r="N55" i="3"/>
  <c r="L55" i="3"/>
  <c r="L26" i="20"/>
  <c r="K26" i="20"/>
  <c r="J26" i="20"/>
  <c r="I26" i="20"/>
  <c r="F27" i="20"/>
  <c r="F26" i="20"/>
  <c r="D27" i="20"/>
  <c r="D26" i="20"/>
  <c r="C26" i="20"/>
  <c r="M54" i="3"/>
  <c r="N54" i="3"/>
  <c r="L54" i="3"/>
  <c r="P22" i="17"/>
  <c r="O22" i="17"/>
  <c r="N22" i="17"/>
  <c r="L22" i="17"/>
  <c r="K22" i="17"/>
  <c r="J22" i="17"/>
  <c r="I22" i="17"/>
  <c r="F22" i="17"/>
  <c r="D22" i="17"/>
  <c r="C22" i="17"/>
  <c r="L51" i="3"/>
  <c r="M51" i="3"/>
  <c r="N51" i="3"/>
  <c r="L52" i="3"/>
  <c r="M52" i="3"/>
  <c r="N52" i="3"/>
  <c r="L53" i="3"/>
  <c r="M53" i="3"/>
  <c r="N53" i="3"/>
  <c r="N50" i="3"/>
  <c r="M50" i="3"/>
  <c r="L50" i="3"/>
  <c r="F26" i="13"/>
  <c r="D26" i="13"/>
  <c r="C26" i="13"/>
  <c r="N49" i="3"/>
  <c r="M49" i="3"/>
  <c r="L49" i="3"/>
  <c r="F17" i="12"/>
  <c r="D17" i="12"/>
  <c r="C17" i="12"/>
  <c r="N48" i="3"/>
  <c r="N47" i="3"/>
  <c r="N46" i="3"/>
  <c r="N45" i="3"/>
  <c r="N44" i="3"/>
  <c r="N43" i="3"/>
  <c r="N42" i="3"/>
  <c r="M43" i="3"/>
  <c r="M44" i="3"/>
  <c r="M45" i="3"/>
  <c r="M46" i="3"/>
  <c r="M47" i="3"/>
  <c r="M48" i="3"/>
  <c r="M42" i="3"/>
  <c r="L43" i="3"/>
  <c r="L44" i="3"/>
  <c r="L45" i="3"/>
  <c r="L46" i="3"/>
  <c r="L47" i="3"/>
  <c r="L48" i="3"/>
  <c r="L42" i="3"/>
  <c r="C30" i="11"/>
  <c r="C27" i="11"/>
  <c r="C28" i="11"/>
  <c r="C29" i="11"/>
  <c r="C31" i="11"/>
  <c r="C32" i="11"/>
  <c r="C33" i="11"/>
  <c r="D27" i="11"/>
  <c r="D28" i="11"/>
  <c r="D29" i="11"/>
  <c r="D30" i="11"/>
  <c r="D31" i="11"/>
  <c r="D32" i="11"/>
  <c r="D33" i="11"/>
  <c r="F27" i="11"/>
  <c r="F28" i="11"/>
  <c r="F29" i="11"/>
  <c r="F30" i="11"/>
  <c r="F31" i="11"/>
  <c r="F32" i="11"/>
  <c r="F33" i="11"/>
  <c r="N41" i="3"/>
  <c r="M41" i="3"/>
  <c r="L41" i="3"/>
  <c r="D16" i="10"/>
  <c r="F16" i="10"/>
  <c r="C16" i="10"/>
  <c r="N34" i="3"/>
  <c r="N35" i="3"/>
  <c r="N36" i="3"/>
  <c r="N37" i="3"/>
  <c r="N38" i="3"/>
  <c r="N39" i="3"/>
  <c r="N40" i="3"/>
  <c r="N33" i="3"/>
  <c r="M34" i="3"/>
  <c r="M35" i="3"/>
  <c r="M36" i="3"/>
  <c r="M37" i="3"/>
  <c r="M38" i="3"/>
  <c r="M39" i="3"/>
  <c r="M40" i="3"/>
  <c r="M33" i="3"/>
  <c r="L34" i="3"/>
  <c r="L35" i="3"/>
  <c r="L36" i="3"/>
  <c r="L37" i="3"/>
  <c r="L38" i="3"/>
  <c r="L39" i="3"/>
  <c r="L40" i="3"/>
  <c r="L33" i="3"/>
  <c r="P16" i="9"/>
  <c r="O16" i="9"/>
  <c r="N16" i="9"/>
  <c r="L16" i="9"/>
  <c r="K16" i="9"/>
  <c r="J16" i="9"/>
  <c r="I16" i="9"/>
  <c r="C26" i="8"/>
  <c r="C24" i="8"/>
  <c r="C18" i="8"/>
  <c r="N32" i="3"/>
  <c r="N31" i="3"/>
  <c r="M32" i="3"/>
  <c r="M31" i="3"/>
  <c r="L32" i="3"/>
  <c r="L31" i="3"/>
  <c r="N23" i="3"/>
  <c r="N24" i="3"/>
  <c r="N25" i="3"/>
  <c r="N26" i="3"/>
  <c r="N27" i="3"/>
  <c r="N28" i="3"/>
  <c r="N29" i="3"/>
  <c r="N30" i="3"/>
  <c r="N22" i="3"/>
  <c r="M23" i="3"/>
  <c r="M24" i="3"/>
  <c r="M25" i="3"/>
  <c r="M26" i="3"/>
  <c r="M27" i="3"/>
  <c r="M28" i="3"/>
  <c r="M29" i="3"/>
  <c r="M30" i="3"/>
  <c r="M22" i="3"/>
  <c r="L23" i="3"/>
  <c r="L24" i="3"/>
  <c r="L25" i="3"/>
  <c r="L26" i="3"/>
  <c r="L27" i="3"/>
  <c r="L28" i="3"/>
  <c r="L29" i="3"/>
  <c r="L30" i="3"/>
  <c r="L22" i="3"/>
  <c r="O11" i="4"/>
  <c r="D38" i="4" s="1"/>
  <c r="J38" i="4" s="1"/>
  <c r="O9" i="4"/>
  <c r="D36" i="4" s="1"/>
  <c r="J36" i="4" s="1"/>
  <c r="O21" i="4"/>
  <c r="C48" i="4" s="1"/>
  <c r="I48" i="4" s="1"/>
  <c r="O20" i="4"/>
  <c r="D47" i="4" s="1"/>
  <c r="J47" i="4" s="1"/>
  <c r="O19" i="4"/>
  <c r="C46" i="4" s="1"/>
  <c r="I46" i="4" s="1"/>
  <c r="O18" i="4"/>
  <c r="O17" i="4"/>
  <c r="C44" i="4" s="1"/>
  <c r="I44" i="4" s="1"/>
  <c r="O16" i="4"/>
  <c r="O15" i="4"/>
  <c r="O14" i="4"/>
  <c r="C41" i="4" s="1"/>
  <c r="I41" i="4" s="1"/>
  <c r="O13" i="4"/>
  <c r="O12" i="4"/>
  <c r="O10" i="4"/>
  <c r="C37" i="4" s="1"/>
  <c r="I37" i="4" s="1"/>
  <c r="O7" i="4"/>
  <c r="D34" i="4" s="1"/>
  <c r="J34" i="4" s="1"/>
  <c r="O6" i="4"/>
  <c r="D33" i="4" s="1"/>
  <c r="J33" i="4" s="1"/>
  <c r="O5" i="4"/>
  <c r="D32" i="4" s="1"/>
  <c r="J32" i="4" s="1"/>
  <c r="O4" i="4"/>
  <c r="D31" i="4" s="1"/>
  <c r="J31" i="4" s="1"/>
  <c r="C43" i="4"/>
  <c r="I43" i="4" s="1"/>
  <c r="F17" i="9"/>
  <c r="F18" i="9"/>
  <c r="F19" i="9"/>
  <c r="F20" i="9"/>
  <c r="F21" i="9"/>
  <c r="F22" i="9"/>
  <c r="F23" i="9"/>
  <c r="F16" i="9"/>
  <c r="D17" i="9"/>
  <c r="D18" i="9"/>
  <c r="D19" i="9"/>
  <c r="D20" i="9"/>
  <c r="D21" i="9"/>
  <c r="D22" i="9"/>
  <c r="D23" i="9"/>
  <c r="D16" i="9"/>
  <c r="C17" i="9"/>
  <c r="C18" i="9"/>
  <c r="C19" i="9"/>
  <c r="C20" i="9"/>
  <c r="C21" i="9"/>
  <c r="C22" i="9"/>
  <c r="C23" i="9"/>
  <c r="C16" i="9"/>
  <c r="C18" i="6"/>
  <c r="F18" i="6"/>
  <c r="D19" i="6"/>
  <c r="D18" i="6"/>
  <c r="C23" i="8"/>
  <c r="F24" i="8"/>
  <c r="D26" i="8"/>
  <c r="D25" i="8"/>
  <c r="D19" i="8"/>
  <c r="D20" i="8"/>
  <c r="D21" i="8"/>
  <c r="D22" i="8"/>
  <c r="D23" i="8"/>
  <c r="D24" i="8"/>
  <c r="C19" i="8"/>
  <c r="C20" i="8"/>
  <c r="C21" i="8"/>
  <c r="C22" i="8"/>
  <c r="C25" i="8"/>
  <c r="F31" i="4"/>
  <c r="F18" i="8"/>
  <c r="F32" i="4"/>
  <c r="K32" i="4" s="1"/>
  <c r="F33" i="4"/>
  <c r="K33" i="4" s="1"/>
  <c r="F34" i="4"/>
  <c r="K34" i="4" s="1"/>
  <c r="C35" i="4"/>
  <c r="I35" i="4" s="1"/>
  <c r="D35" i="4"/>
  <c r="J35" i="4" s="1"/>
  <c r="F35" i="4"/>
  <c r="K35" i="4" s="1"/>
  <c r="C36" i="4"/>
  <c r="I36" i="4" s="1"/>
  <c r="F36" i="4"/>
  <c r="K36" i="4"/>
  <c r="D37" i="4"/>
  <c r="J37" i="4" s="1"/>
  <c r="F37" i="4"/>
  <c r="K37" i="4"/>
  <c r="F38" i="4"/>
  <c r="K38" i="4" s="1"/>
  <c r="C39" i="4"/>
  <c r="I39" i="4" s="1"/>
  <c r="D39" i="4"/>
  <c r="J39" i="4" s="1"/>
  <c r="F39" i="4"/>
  <c r="K39" i="4" s="1"/>
  <c r="F40" i="4"/>
  <c r="K40" i="4"/>
  <c r="D41" i="4"/>
  <c r="J41" i="4" s="1"/>
  <c r="F41" i="4"/>
  <c r="K41" i="4" s="1"/>
  <c r="F42" i="4"/>
  <c r="K42" i="4" s="1"/>
  <c r="F43" i="4"/>
  <c r="K43" i="4" s="1"/>
  <c r="F44" i="4"/>
  <c r="K44" i="4"/>
  <c r="C45" i="4"/>
  <c r="I45" i="4" s="1"/>
  <c r="D45" i="4"/>
  <c r="J45" i="4" s="1"/>
  <c r="F45" i="4"/>
  <c r="K45" i="4" s="1"/>
  <c r="F46" i="4"/>
  <c r="K46" i="4" s="1"/>
  <c r="F47" i="4"/>
  <c r="K47" i="4" s="1"/>
  <c r="D48" i="4"/>
  <c r="J48" i="4" s="1"/>
  <c r="F48" i="4"/>
  <c r="K48" i="4"/>
  <c r="K31" i="4"/>
  <c r="P25" i="23" l="1"/>
  <c r="O28" i="23"/>
  <c r="O25" i="23"/>
  <c r="P27" i="23"/>
  <c r="N28" i="23"/>
  <c r="N25" i="23"/>
  <c r="C34" i="4"/>
  <c r="I34" i="4" s="1"/>
  <c r="C47" i="4"/>
  <c r="I47" i="4" s="1"/>
  <c r="L47" i="4" s="1"/>
  <c r="O47" i="4" s="1"/>
  <c r="M20" i="3" s="1"/>
  <c r="C32" i="4"/>
  <c r="I32" i="4" s="1"/>
  <c r="L34" i="4"/>
  <c r="P34" i="4" s="1"/>
  <c r="N7" i="3" s="1"/>
  <c r="D40" i="4"/>
  <c r="J40" i="4" s="1"/>
  <c r="C42" i="4"/>
  <c r="I42" i="4" s="1"/>
  <c r="C38" i="4"/>
  <c r="I38" i="4" s="1"/>
  <c r="L38" i="4" s="1"/>
  <c r="P38" i="4" s="1"/>
  <c r="N11" i="3" s="1"/>
  <c r="D46" i="4"/>
  <c r="J46" i="4" s="1"/>
  <c r="L46" i="4" s="1"/>
  <c r="P46" i="4" s="1"/>
  <c r="N19" i="3" s="1"/>
  <c r="D44" i="4"/>
  <c r="J44" i="4" s="1"/>
  <c r="L44" i="4" s="1"/>
  <c r="P44" i="4" s="1"/>
  <c r="N17" i="3" s="1"/>
  <c r="D42" i="4"/>
  <c r="J42" i="4" s="1"/>
  <c r="L42" i="4" s="1"/>
  <c r="C40" i="4"/>
  <c r="I40" i="4" s="1"/>
  <c r="L40" i="4" s="1"/>
  <c r="C33" i="4"/>
  <c r="I33" i="4" s="1"/>
  <c r="L33" i="4" s="1"/>
  <c r="N33" i="4" s="1"/>
  <c r="L6" i="3" s="1"/>
  <c r="L35" i="4"/>
  <c r="N35" i="4" s="1"/>
  <c r="L8" i="3" s="1"/>
  <c r="L37" i="4"/>
  <c r="P37" i="4" s="1"/>
  <c r="N10" i="3" s="1"/>
  <c r="L39" i="4"/>
  <c r="P39" i="4" s="1"/>
  <c r="N12" i="3" s="1"/>
  <c r="L48" i="4"/>
  <c r="O48" i="4" s="1"/>
  <c r="M21" i="3" s="1"/>
  <c r="D43" i="4"/>
  <c r="J43" i="4" s="1"/>
  <c r="L43" i="4" s="1"/>
  <c r="L36" i="4"/>
  <c r="N36" i="4" s="1"/>
  <c r="L9" i="3" s="1"/>
  <c r="C31" i="4"/>
  <c r="I31" i="4" s="1"/>
  <c r="L32" i="4"/>
  <c r="N32" i="4" s="1"/>
  <c r="L5" i="3" s="1"/>
  <c r="P35" i="4"/>
  <c r="N8" i="3" s="1"/>
  <c r="L45" i="4"/>
  <c r="P45" i="4" s="1"/>
  <c r="N18" i="3" s="1"/>
  <c r="O34" i="4"/>
  <c r="M7" i="3" s="1"/>
  <c r="L41" i="4"/>
  <c r="O41" i="4" s="1"/>
  <c r="M14" i="3" s="1"/>
  <c r="O35" i="4"/>
  <c r="M8" i="3" s="1"/>
  <c r="N34" i="4"/>
  <c r="L7" i="3" s="1"/>
  <c r="C18" i="25"/>
  <c r="I18" i="25" s="1"/>
  <c r="D18" i="25"/>
  <c r="J18" i="25" s="1"/>
  <c r="F18" i="25"/>
  <c r="K18" i="25" s="1"/>
  <c r="C19" i="25"/>
  <c r="I19" i="25" s="1"/>
  <c r="D19" i="25"/>
  <c r="J19" i="25" s="1"/>
  <c r="F19" i="25"/>
  <c r="K19" i="25" s="1"/>
  <c r="C20" i="25"/>
  <c r="I20" i="25" s="1"/>
  <c r="D20" i="25"/>
  <c r="J20" i="25" s="1"/>
  <c r="F20" i="25"/>
  <c r="K20" i="25" s="1"/>
  <c r="C21" i="25"/>
  <c r="I21" i="25" s="1"/>
  <c r="D21" i="25"/>
  <c r="J21" i="25" s="1"/>
  <c r="F21" i="25"/>
  <c r="K21" i="25" s="1"/>
  <c r="C22" i="25"/>
  <c r="I22" i="25" s="1"/>
  <c r="D22" i="25"/>
  <c r="J22" i="25" s="1"/>
  <c r="F22" i="25"/>
  <c r="K22" i="25" s="1"/>
  <c r="C23" i="25"/>
  <c r="I23" i="25" s="1"/>
  <c r="D23" i="25"/>
  <c r="J23" i="25" s="1"/>
  <c r="F23" i="25"/>
  <c r="K23" i="25" s="1"/>
  <c r="K17" i="25"/>
  <c r="J17" i="25"/>
  <c r="I17" i="25"/>
  <c r="I24" i="23"/>
  <c r="F24" i="23"/>
  <c r="K24" i="23" s="1"/>
  <c r="F25" i="23"/>
  <c r="F26" i="23"/>
  <c r="F27" i="23"/>
  <c r="F28" i="23"/>
  <c r="J24" i="23"/>
  <c r="D25" i="23"/>
  <c r="D26" i="23"/>
  <c r="D27" i="23"/>
  <c r="D28" i="23"/>
  <c r="C25" i="23"/>
  <c r="C26" i="23"/>
  <c r="C27" i="23"/>
  <c r="C28" i="23"/>
  <c r="H17" i="22"/>
  <c r="J17" i="22"/>
  <c r="J18" i="22"/>
  <c r="J19" i="22"/>
  <c r="I19" i="22"/>
  <c r="H19" i="22"/>
  <c r="I18" i="22"/>
  <c r="H18" i="22"/>
  <c r="I17" i="22"/>
  <c r="K27" i="20"/>
  <c r="J27" i="20"/>
  <c r="C27" i="20"/>
  <c r="I27" i="20" s="1"/>
  <c r="T26" i="18"/>
  <c r="F26" i="18"/>
  <c r="D26" i="18"/>
  <c r="C26" i="18"/>
  <c r="K26" i="18"/>
  <c r="I26" i="18"/>
  <c r="J26" i="18"/>
  <c r="D29" i="13"/>
  <c r="L22" i="25" l="1"/>
  <c r="R25" i="23"/>
  <c r="R28" i="23"/>
  <c r="N46" i="4"/>
  <c r="L19" i="3" s="1"/>
  <c r="O46" i="4"/>
  <c r="M19" i="3" s="1"/>
  <c r="O36" i="4"/>
  <c r="M9" i="3" s="1"/>
  <c r="O45" i="4"/>
  <c r="M18" i="3" s="1"/>
  <c r="N47" i="4"/>
  <c r="L20" i="3" s="1"/>
  <c r="N45" i="4"/>
  <c r="L18" i="3" s="1"/>
  <c r="P47" i="4"/>
  <c r="N20" i="3" s="1"/>
  <c r="O44" i="4"/>
  <c r="M17" i="3" s="1"/>
  <c r="N40" i="4"/>
  <c r="L13" i="3" s="1"/>
  <c r="O40" i="4"/>
  <c r="M13" i="3" s="1"/>
  <c r="P40" i="4"/>
  <c r="N13" i="3" s="1"/>
  <c r="O39" i="4"/>
  <c r="M12" i="3" s="1"/>
  <c r="P32" i="4"/>
  <c r="N5" i="3" s="1"/>
  <c r="P48" i="4"/>
  <c r="N21" i="3" s="1"/>
  <c r="O38" i="4"/>
  <c r="M11" i="3" s="1"/>
  <c r="N48" i="4"/>
  <c r="L21" i="3" s="1"/>
  <c r="O32" i="4"/>
  <c r="M5" i="3" s="1"/>
  <c r="N38" i="4"/>
  <c r="L11" i="3" s="1"/>
  <c r="R32" i="4"/>
  <c r="R35" i="4"/>
  <c r="N37" i="4"/>
  <c r="L10" i="3" s="1"/>
  <c r="P36" i="4"/>
  <c r="N9" i="3" s="1"/>
  <c r="N39" i="4"/>
  <c r="L12" i="3" s="1"/>
  <c r="R47" i="4"/>
  <c r="R34" i="4"/>
  <c r="O37" i="4"/>
  <c r="M10" i="3" s="1"/>
  <c r="R36" i="4"/>
  <c r="L31" i="4"/>
  <c r="R46" i="4"/>
  <c r="O33" i="4"/>
  <c r="M6" i="3" s="1"/>
  <c r="P33" i="4"/>
  <c r="N6" i="3" s="1"/>
  <c r="N42" i="4"/>
  <c r="L15" i="3" s="1"/>
  <c r="O42" i="4"/>
  <c r="M15" i="3" s="1"/>
  <c r="N44" i="4"/>
  <c r="L17" i="3" s="1"/>
  <c r="P42" i="4"/>
  <c r="N15" i="3" s="1"/>
  <c r="P41" i="4"/>
  <c r="N14" i="3" s="1"/>
  <c r="N41" i="4"/>
  <c r="L14" i="3" s="1"/>
  <c r="O43" i="4"/>
  <c r="M16" i="3" s="1"/>
  <c r="P43" i="4"/>
  <c r="N16" i="3" s="1"/>
  <c r="N43" i="4"/>
  <c r="L16" i="3" s="1"/>
  <c r="L23" i="25"/>
  <c r="O23" i="25" s="1"/>
  <c r="O22" i="25"/>
  <c r="P22" i="25"/>
  <c r="L21" i="25"/>
  <c r="P21" i="25" s="1"/>
  <c r="N22" i="25"/>
  <c r="L17" i="25"/>
  <c r="P17" i="25" s="1"/>
  <c r="L18" i="25"/>
  <c r="N18" i="25" s="1"/>
  <c r="L19" i="25"/>
  <c r="O19" i="25" s="1"/>
  <c r="L20" i="25"/>
  <c r="O20" i="25" s="1"/>
  <c r="O24" i="23"/>
  <c r="K17" i="22"/>
  <c r="M17" i="22" s="1"/>
  <c r="K18" i="22"/>
  <c r="N18" i="22" s="1"/>
  <c r="K19" i="22"/>
  <c r="M19" i="22" s="1"/>
  <c r="L27" i="20"/>
  <c r="O27" i="20" s="1"/>
  <c r="N26" i="20"/>
  <c r="L26" i="18"/>
  <c r="O26" i="18" s="1"/>
  <c r="T28" i="23" l="1"/>
  <c r="N27" i="20"/>
  <c r="R27" i="20" s="1"/>
  <c r="T27" i="20" s="1"/>
  <c r="P27" i="20"/>
  <c r="R22" i="17"/>
  <c r="T22" i="17" s="1"/>
  <c r="T23" i="17" s="1"/>
  <c r="R40" i="4"/>
  <c r="R45" i="4"/>
  <c r="R38" i="4"/>
  <c r="R48" i="4"/>
  <c r="R41" i="4"/>
  <c r="R33" i="4"/>
  <c r="R37" i="4"/>
  <c r="R39" i="4"/>
  <c r="R44" i="4"/>
  <c r="R42" i="4"/>
  <c r="P31" i="4"/>
  <c r="N4" i="3" s="1"/>
  <c r="O31" i="4"/>
  <c r="M4" i="3" s="1"/>
  <c r="N31" i="4"/>
  <c r="L4" i="3" s="1"/>
  <c r="R43" i="4"/>
  <c r="N21" i="25"/>
  <c r="O21" i="25"/>
  <c r="R22" i="25"/>
  <c r="T22" i="25" s="1"/>
  <c r="N23" i="25"/>
  <c r="R23" i="25" s="1"/>
  <c r="T23" i="25" s="1"/>
  <c r="P23" i="25"/>
  <c r="P19" i="25"/>
  <c r="N17" i="25"/>
  <c r="N19" i="25"/>
  <c r="R19" i="25" s="1"/>
  <c r="T19" i="25" s="1"/>
  <c r="N20" i="25"/>
  <c r="R20" i="25" s="1"/>
  <c r="T20" i="25" s="1"/>
  <c r="P20" i="25"/>
  <c r="P18" i="25"/>
  <c r="O18" i="25"/>
  <c r="R18" i="25" s="1"/>
  <c r="T18" i="25" s="1"/>
  <c r="O17" i="25"/>
  <c r="P24" i="23"/>
  <c r="N24" i="23"/>
  <c r="R24" i="23" s="1"/>
  <c r="T24" i="23" s="1"/>
  <c r="T26" i="23"/>
  <c r="T25" i="23"/>
  <c r="T27" i="23"/>
  <c r="O17" i="22"/>
  <c r="O19" i="22"/>
  <c r="N17" i="22"/>
  <c r="Q17" i="22" s="1"/>
  <c r="S17" i="22" s="1"/>
  <c r="N19" i="22"/>
  <c r="Q19" i="22" s="1"/>
  <c r="S19" i="22" s="1"/>
  <c r="O18" i="22"/>
  <c r="M18" i="22"/>
  <c r="Q18" i="22" s="1"/>
  <c r="S18" i="22" s="1"/>
  <c r="P26" i="20"/>
  <c r="O26" i="20"/>
  <c r="R26" i="20" s="1"/>
  <c r="T26" i="20" s="1"/>
  <c r="T28" i="20" s="1"/>
  <c r="P26" i="18"/>
  <c r="N26" i="18"/>
  <c r="R26" i="18" s="1"/>
  <c r="R21" i="25" l="1"/>
  <c r="T21" i="25" s="1"/>
  <c r="R31" i="4"/>
  <c r="R17" i="25"/>
  <c r="T17" i="25" s="1"/>
  <c r="T29" i="23"/>
  <c r="Q16" i="22"/>
  <c r="S16" i="22" s="1"/>
  <c r="S20" i="22" s="1"/>
  <c r="D18" i="8"/>
  <c r="T24" i="25" l="1"/>
  <c r="J29" i="13"/>
  <c r="K26" i="13" l="1"/>
  <c r="J26" i="13"/>
  <c r="I26" i="13"/>
  <c r="L26" i="13" s="1"/>
  <c r="F27" i="13"/>
  <c r="K27" i="13" s="1"/>
  <c r="F28" i="13"/>
  <c r="K28" i="13" s="1"/>
  <c r="F29" i="13"/>
  <c r="K29" i="13" s="1"/>
  <c r="D27" i="13"/>
  <c r="J27" i="13" s="1"/>
  <c r="L27" i="13" s="1"/>
  <c r="D28" i="13"/>
  <c r="J28" i="13" s="1"/>
  <c r="C27" i="13"/>
  <c r="I27" i="13" s="1"/>
  <c r="C28" i="13"/>
  <c r="I28" i="13" s="1"/>
  <c r="L28" i="13" s="1"/>
  <c r="C29" i="13"/>
  <c r="I29" i="13" s="1"/>
  <c r="K17" i="12"/>
  <c r="J17" i="12"/>
  <c r="I17" i="12"/>
  <c r="L29" i="13" l="1"/>
  <c r="O26" i="13"/>
  <c r="P26" i="13"/>
  <c r="N26" i="13"/>
  <c r="L17" i="12"/>
  <c r="O17" i="12" s="1"/>
  <c r="J28" i="11"/>
  <c r="K28" i="11"/>
  <c r="J29" i="11"/>
  <c r="K29" i="11"/>
  <c r="I30" i="11"/>
  <c r="J30" i="11"/>
  <c r="K30" i="11"/>
  <c r="I31" i="11"/>
  <c r="J31" i="11"/>
  <c r="K31" i="11"/>
  <c r="I32" i="11"/>
  <c r="J32" i="11"/>
  <c r="K32" i="11"/>
  <c r="I33" i="11"/>
  <c r="J33" i="11"/>
  <c r="K33" i="11"/>
  <c r="K27" i="11"/>
  <c r="J27" i="11"/>
  <c r="I27" i="11"/>
  <c r="I29" i="11"/>
  <c r="I28" i="11"/>
  <c r="K16" i="10"/>
  <c r="J16" i="10"/>
  <c r="I16" i="10"/>
  <c r="I17" i="9"/>
  <c r="I18" i="9"/>
  <c r="I20" i="9"/>
  <c r="J20" i="9"/>
  <c r="K20" i="9"/>
  <c r="I21" i="9"/>
  <c r="J21" i="9"/>
  <c r="K21" i="9"/>
  <c r="I22" i="9"/>
  <c r="J22" i="9"/>
  <c r="K22" i="9"/>
  <c r="I23" i="9"/>
  <c r="J23" i="9"/>
  <c r="K23" i="9"/>
  <c r="J25" i="8"/>
  <c r="J26" i="8"/>
  <c r="I19" i="8"/>
  <c r="I21" i="8"/>
  <c r="I22" i="8"/>
  <c r="I25" i="8"/>
  <c r="J19" i="8"/>
  <c r="I20" i="8"/>
  <c r="J20" i="8"/>
  <c r="J21" i="8"/>
  <c r="J22" i="8"/>
  <c r="I23" i="8"/>
  <c r="J23" i="8"/>
  <c r="I24" i="8"/>
  <c r="J24" i="8"/>
  <c r="F19" i="8"/>
  <c r="K19" i="8" s="1"/>
  <c r="F20" i="8"/>
  <c r="K20" i="8" s="1"/>
  <c r="F21" i="8"/>
  <c r="K21" i="8" s="1"/>
  <c r="F22" i="8"/>
  <c r="K22" i="8" s="1"/>
  <c r="F23" i="8"/>
  <c r="K23" i="8" s="1"/>
  <c r="K24" i="8"/>
  <c r="F25" i="8"/>
  <c r="K25" i="8" s="1"/>
  <c r="F26" i="8"/>
  <c r="K26" i="8" s="1"/>
  <c r="I18" i="8"/>
  <c r="K18" i="8"/>
  <c r="J18" i="8"/>
  <c r="J19" i="6"/>
  <c r="J18" i="6"/>
  <c r="F19" i="6"/>
  <c r="K19" i="6" s="1"/>
  <c r="C19" i="6"/>
  <c r="I19" i="6" s="1"/>
  <c r="I18" i="6"/>
  <c r="K18" i="6"/>
  <c r="L18" i="6" l="1"/>
  <c r="R26" i="13"/>
  <c r="J18" i="9"/>
  <c r="K17" i="9"/>
  <c r="J17" i="9"/>
  <c r="L17" i="9" s="1"/>
  <c r="N17" i="9" s="1"/>
  <c r="K19" i="9"/>
  <c r="J19" i="9"/>
  <c r="I19" i="9"/>
  <c r="K18" i="9"/>
  <c r="L18" i="9" s="1"/>
  <c r="N18" i="9" s="1"/>
  <c r="N28" i="13"/>
  <c r="N27" i="13"/>
  <c r="P29" i="13"/>
  <c r="N17" i="12"/>
  <c r="P17" i="12"/>
  <c r="L30" i="11"/>
  <c r="N30" i="11" s="1"/>
  <c r="L27" i="11"/>
  <c r="N27" i="11" s="1"/>
  <c r="L31" i="11"/>
  <c r="N31" i="11" s="1"/>
  <c r="L28" i="11"/>
  <c r="N28" i="11" s="1"/>
  <c r="L32" i="11"/>
  <c r="N32" i="11" s="1"/>
  <c r="L29" i="11"/>
  <c r="O29" i="11" s="1"/>
  <c r="L33" i="11"/>
  <c r="O33" i="11" s="1"/>
  <c r="L16" i="10"/>
  <c r="N16" i="10" s="1"/>
  <c r="L20" i="9"/>
  <c r="N20" i="9" s="1"/>
  <c r="L21" i="9"/>
  <c r="O21" i="9" s="1"/>
  <c r="L22" i="9"/>
  <c r="P22" i="9" s="1"/>
  <c r="L23" i="9"/>
  <c r="N23" i="9" s="1"/>
  <c r="L23" i="8"/>
  <c r="P23" i="8" s="1"/>
  <c r="L19" i="8"/>
  <c r="P19" i="8" s="1"/>
  <c r="L22" i="8"/>
  <c r="N22" i="8" s="1"/>
  <c r="L21" i="8"/>
  <c r="O21" i="8" s="1"/>
  <c r="O23" i="8"/>
  <c r="L24" i="8"/>
  <c r="P24" i="8" s="1"/>
  <c r="L20" i="8"/>
  <c r="N20" i="8" s="1"/>
  <c r="L25" i="8"/>
  <c r="N25" i="8" s="1"/>
  <c r="L18" i="8"/>
  <c r="N18" i="8" s="1"/>
  <c r="O18" i="6"/>
  <c r="L19" i="6"/>
  <c r="O19" i="6" s="1"/>
  <c r="R17" i="12" l="1"/>
  <c r="T17" i="12" s="1"/>
  <c r="T18" i="12" s="1"/>
  <c r="P27" i="11"/>
  <c r="P31" i="11"/>
  <c r="O32" i="11"/>
  <c r="R32" i="11" s="1"/>
  <c r="O28" i="11"/>
  <c r="R28" i="11" s="1"/>
  <c r="L19" i="9"/>
  <c r="O19" i="9" s="1"/>
  <c r="O22" i="8"/>
  <c r="N19" i="8"/>
  <c r="N21" i="8"/>
  <c r="R21" i="8" s="1"/>
  <c r="T21" i="8" s="1"/>
  <c r="R22" i="8"/>
  <c r="T22" i="8" s="1"/>
  <c r="O25" i="8"/>
  <c r="N23" i="8"/>
  <c r="R23" i="8" s="1"/>
  <c r="T23" i="8" s="1"/>
  <c r="N24" i="8"/>
  <c r="O24" i="8"/>
  <c r="P22" i="8"/>
  <c r="O19" i="8"/>
  <c r="O28" i="13"/>
  <c r="R28" i="13" s="1"/>
  <c r="P28" i="13"/>
  <c r="P27" i="13"/>
  <c r="O27" i="13"/>
  <c r="R27" i="13" s="1"/>
  <c r="T26" i="13"/>
  <c r="O29" i="13"/>
  <c r="N29" i="13"/>
  <c r="T32" i="11"/>
  <c r="T28" i="11"/>
  <c r="O31" i="11"/>
  <c r="R31" i="11" s="1"/>
  <c r="P30" i="11"/>
  <c r="P32" i="11"/>
  <c r="O30" i="11"/>
  <c r="R30" i="11" s="1"/>
  <c r="P28" i="11"/>
  <c r="O27" i="11"/>
  <c r="N33" i="11"/>
  <c r="R33" i="11" s="1"/>
  <c r="N29" i="11"/>
  <c r="R29" i="11" s="1"/>
  <c r="P33" i="11"/>
  <c r="P29" i="11"/>
  <c r="P16" i="10"/>
  <c r="O16" i="10"/>
  <c r="O18" i="9"/>
  <c r="P17" i="9"/>
  <c r="P20" i="9"/>
  <c r="N22" i="9"/>
  <c r="O22" i="9"/>
  <c r="R22" i="9" s="1"/>
  <c r="O23" i="9"/>
  <c r="P21" i="9"/>
  <c r="P23" i="9"/>
  <c r="O20" i="9"/>
  <c r="P18" i="9"/>
  <c r="O17" i="9"/>
  <c r="N21" i="9"/>
  <c r="P21" i="8"/>
  <c r="P20" i="8"/>
  <c r="O20" i="8"/>
  <c r="P25" i="8"/>
  <c r="P18" i="8"/>
  <c r="O18" i="8"/>
  <c r="P18" i="6"/>
  <c r="N18" i="6"/>
  <c r="R18" i="6" s="1"/>
  <c r="N19" i="6"/>
  <c r="R19" i="6" s="1"/>
  <c r="P19" i="6"/>
  <c r="R27" i="11" l="1"/>
  <c r="T27" i="11" s="1"/>
  <c r="R16" i="10"/>
  <c r="T16" i="10" s="1"/>
  <c r="P19" i="9"/>
  <c r="R16" i="9"/>
  <c r="R24" i="8"/>
  <c r="R19" i="8"/>
  <c r="T19" i="8" s="1"/>
  <c r="T38" i="4"/>
  <c r="T41" i="4"/>
  <c r="T43" i="4"/>
  <c r="T37" i="4"/>
  <c r="R29" i="13"/>
  <c r="T29" i="13" s="1"/>
  <c r="T30" i="11"/>
  <c r="T31" i="11"/>
  <c r="T29" i="11"/>
  <c r="T33" i="11"/>
  <c r="N19" i="9"/>
  <c r="R19" i="9" s="1"/>
  <c r="T19" i="9" s="1"/>
  <c r="T36" i="4"/>
  <c r="T34" i="4"/>
  <c r="T45" i="4"/>
  <c r="T42" i="4"/>
  <c r="R17" i="9"/>
  <c r="R20" i="9"/>
  <c r="R18" i="9"/>
  <c r="T16" i="9"/>
  <c r="R23" i="9"/>
  <c r="R21" i="9"/>
  <c r="T24" i="8"/>
  <c r="R25" i="8"/>
  <c r="T25" i="8" s="1"/>
  <c r="R20" i="8"/>
  <c r="T20" i="8" s="1"/>
  <c r="R18" i="8"/>
  <c r="T28" i="13"/>
  <c r="T27" i="13"/>
  <c r="T22" i="9"/>
  <c r="T18" i="6"/>
  <c r="T19" i="6"/>
  <c r="T34" i="11" l="1"/>
  <c r="T32" i="4"/>
  <c r="T47" i="4"/>
  <c r="T48" i="4"/>
  <c r="T31" i="4"/>
  <c r="T21" i="9"/>
  <c r="T18" i="9"/>
  <c r="T23" i="9"/>
  <c r="T20" i="9"/>
  <c r="T17" i="9"/>
  <c r="T24" i="9" s="1"/>
  <c r="T46" i="4"/>
  <c r="T44" i="4"/>
  <c r="T40" i="4"/>
  <c r="T39" i="4"/>
  <c r="T35" i="4"/>
  <c r="T33" i="4"/>
  <c r="T18" i="8"/>
  <c r="I26" i="8"/>
  <c r="L26" i="8" s="1"/>
  <c r="T49" i="4" l="1"/>
  <c r="N26" i="8"/>
  <c r="P26" i="8"/>
  <c r="O26" i="8"/>
  <c r="R26" i="8" s="1"/>
  <c r="T26" i="8" s="1"/>
  <c r="T27" i="8" s="1"/>
</calcChain>
</file>

<file path=xl/sharedStrings.xml><?xml version="1.0" encoding="utf-8"?>
<sst xmlns="http://schemas.openxmlformats.org/spreadsheetml/2006/main" count="1102" uniqueCount="274">
  <si>
    <t>FA-1</t>
  </si>
  <si>
    <t>FA-2</t>
  </si>
  <si>
    <t>FA-3</t>
  </si>
  <si>
    <t>FA-4</t>
  </si>
  <si>
    <t>FA-5</t>
  </si>
  <si>
    <t>FA-6</t>
  </si>
  <si>
    <t>FA-7</t>
  </si>
  <si>
    <t>FA-8</t>
  </si>
  <si>
    <t>FA-9</t>
  </si>
  <si>
    <t>FA-10</t>
  </si>
  <si>
    <t>FA-11</t>
  </si>
  <si>
    <t>FA-12</t>
  </si>
  <si>
    <t>FA-13</t>
  </si>
  <si>
    <t>FA-14</t>
  </si>
  <si>
    <t>FA-15</t>
  </si>
  <si>
    <t>FA-16</t>
  </si>
  <si>
    <t>FA-17</t>
  </si>
  <si>
    <t>FA-18</t>
  </si>
  <si>
    <t>ID</t>
  </si>
  <si>
    <t>SiO2</t>
  </si>
  <si>
    <t>Al2O3</t>
  </si>
  <si>
    <t>Fe2O3</t>
  </si>
  <si>
    <t>CaO</t>
  </si>
  <si>
    <t>MgO</t>
  </si>
  <si>
    <t>Ban.1-T</t>
  </si>
  <si>
    <t>Ban.2-T</t>
  </si>
  <si>
    <t>Roo.1-T</t>
  </si>
  <si>
    <t>Roo.2-T</t>
  </si>
  <si>
    <t>Nag.1-T</t>
  </si>
  <si>
    <t>Nag.2-R</t>
  </si>
  <si>
    <t>Nag.3-R</t>
  </si>
  <si>
    <t>Alb.1-R</t>
  </si>
  <si>
    <t>Alb.2-R</t>
  </si>
  <si>
    <t>Na2O+0.658K2O</t>
  </si>
  <si>
    <t>AT</t>
  </si>
  <si>
    <t>BC</t>
  </si>
  <si>
    <t>BBR</t>
  </si>
  <si>
    <t>CE</t>
  </si>
  <si>
    <t>CC</t>
  </si>
  <si>
    <t>FO</t>
  </si>
  <si>
    <t>LEGS</t>
  </si>
  <si>
    <t>ML</t>
  </si>
  <si>
    <t>A-FA-0</t>
  </si>
  <si>
    <t>C1</t>
  </si>
  <si>
    <t>C2</t>
  </si>
  <si>
    <t>C3</t>
  </si>
  <si>
    <t>F1</t>
  </si>
  <si>
    <t>F2</t>
  </si>
  <si>
    <t>F3</t>
  </si>
  <si>
    <t>F4</t>
  </si>
  <si>
    <t>D</t>
  </si>
  <si>
    <t>FA1</t>
  </si>
  <si>
    <t>FA2</t>
  </si>
  <si>
    <t>FA3</t>
  </si>
  <si>
    <t>FA4</t>
  </si>
  <si>
    <t>WSA-650</t>
  </si>
  <si>
    <t>Fly ash</t>
  </si>
  <si>
    <t>K</t>
  </si>
  <si>
    <t>NP</t>
  </si>
  <si>
    <t>CFA</t>
  </si>
  <si>
    <t>SFA</t>
  </si>
  <si>
    <t>N</t>
  </si>
  <si>
    <t>M</t>
  </si>
  <si>
    <t>B</t>
  </si>
  <si>
    <t>FF</t>
  </si>
  <si>
    <t>R</t>
  </si>
  <si>
    <t>S</t>
  </si>
  <si>
    <t>V</t>
  </si>
  <si>
    <t>Narcea</t>
  </si>
  <si>
    <t>Barrios</t>
  </si>
  <si>
    <t>Escucha</t>
  </si>
  <si>
    <t>Meirama</t>
  </si>
  <si>
    <t>Teruel</t>
  </si>
  <si>
    <t>Espiel</t>
  </si>
  <si>
    <t>Compostilla</t>
  </si>
  <si>
    <t>Robla</t>
  </si>
  <si>
    <t>Ribera</t>
  </si>
  <si>
    <t>Puertollano</t>
  </si>
  <si>
    <t>Alkaline</t>
  </si>
  <si>
    <t>Nijmegen</t>
  </si>
  <si>
    <t>Neutral</t>
  </si>
  <si>
    <t>CCB</t>
  </si>
  <si>
    <t>Acid</t>
  </si>
  <si>
    <t>Amer-8</t>
  </si>
  <si>
    <t>Amer-9</t>
  </si>
  <si>
    <t>Hemweg-8</t>
  </si>
  <si>
    <t>Lignite</t>
  </si>
  <si>
    <t>Fusina</t>
  </si>
  <si>
    <t>Monfalcone</t>
  </si>
  <si>
    <t>Sardegna</t>
  </si>
  <si>
    <t>Number of constraints per atom, n_c</t>
  </si>
  <si>
    <t>Amorphous content
(mass fraction of the bulk material)</t>
  </si>
  <si>
    <t>6</t>
  </si>
  <si>
    <t>8</t>
  </si>
  <si>
    <t>7</t>
  </si>
  <si>
    <t>11</t>
  </si>
  <si>
    <t>15</t>
  </si>
  <si>
    <t>13</t>
  </si>
  <si>
    <t>14</t>
  </si>
  <si>
    <t>12</t>
  </si>
  <si>
    <t>Reference Number
(See Section S1 for details)</t>
  </si>
  <si>
    <t>Supporting information for “Machine Learning Enables Rapid Screening of Fly Ash Reactivity”</t>
  </si>
  <si>
    <t xml:space="preserve">The full fly ash dataset used for the machine learning analysis. Here, Columns C-to-H detail the XRF compositions for the 107 fly ash samples involved in this study, and Columns I-to-J are the target properties of the prediction. </t>
  </si>
  <si>
    <t>quartz(%)</t>
    <phoneticPr fontId="1" type="noConversion"/>
  </si>
  <si>
    <t>amorphous_Al2O3</t>
    <phoneticPr fontId="1" type="noConversion"/>
  </si>
  <si>
    <t>molar_mass_CaO</t>
    <phoneticPr fontId="1" type="noConversion"/>
  </si>
  <si>
    <t>molar_mass_Al2O3</t>
    <phoneticPr fontId="1" type="noConversion"/>
  </si>
  <si>
    <t>molar_mass_SiO2</t>
    <phoneticPr fontId="1" type="noConversion"/>
  </si>
  <si>
    <t>mole_CaO</t>
    <phoneticPr fontId="1" type="noConversion"/>
  </si>
  <si>
    <t>mole_Al2O3</t>
    <phoneticPr fontId="1" type="noConversion"/>
  </si>
  <si>
    <t>mole_SiO2</t>
    <phoneticPr fontId="1" type="noConversion"/>
  </si>
  <si>
    <t>mole_total</t>
    <phoneticPr fontId="1" type="noConversion"/>
  </si>
  <si>
    <t>mole_fraction_CaO</t>
    <phoneticPr fontId="1" type="noConversion"/>
  </si>
  <si>
    <t>mole_fraction_Al2O3</t>
    <phoneticPr fontId="1" type="noConversion"/>
  </si>
  <si>
    <t>mole_fraction_SiO2</t>
    <phoneticPr fontId="1" type="noConversion"/>
  </si>
  <si>
    <t>nc</t>
    <phoneticPr fontId="1" type="noConversion"/>
  </si>
  <si>
    <t xml:space="preserve">Reference </t>
    <phoneticPr fontId="6" type="noConversion"/>
  </si>
  <si>
    <t xml:space="preserve"> n_c</t>
    <phoneticPr fontId="6" type="noConversion"/>
  </si>
  <si>
    <t>Amorphous content</t>
    <phoneticPr fontId="6" type="noConversion"/>
  </si>
  <si>
    <t>amorphous_CaO</t>
    <phoneticPr fontId="6" type="noConversion"/>
  </si>
  <si>
    <t>amorphous_SiO2</t>
    <phoneticPr fontId="6" type="noConversion"/>
  </si>
  <si>
    <t>Mullite(%)</t>
    <phoneticPr fontId="6" type="noConversion"/>
  </si>
  <si>
    <t>Result of XRD</t>
    <phoneticPr fontId="6" type="noConversion"/>
  </si>
  <si>
    <t>Mullite 화학식, 3:2</t>
    <phoneticPr fontId="6" type="noConversion"/>
  </si>
  <si>
    <t xml:space="preserve"> Mullite 화학식, 2:1</t>
    <phoneticPr fontId="6" type="noConversion"/>
  </si>
  <si>
    <t>Al2O3(%)</t>
    <phoneticPr fontId="6" type="noConversion"/>
  </si>
  <si>
    <t>SiO2(%)</t>
    <phoneticPr fontId="6" type="noConversion"/>
  </si>
  <si>
    <t>quartz -&gt; SiO2,  
Mullite-&gt; SiO2, Al2O3</t>
    <phoneticPr fontId="6" type="noConversion"/>
  </si>
  <si>
    <t>Na2O+
0.658K2O</t>
    <phoneticPr fontId="6" type="noConversion"/>
  </si>
  <si>
    <t>Mullite
화학식(1)
3:2</t>
    <phoneticPr fontId="6" type="noConversion"/>
  </si>
  <si>
    <t>오차</t>
    <phoneticPr fontId="6" type="noConversion"/>
  </si>
  <si>
    <t>C3A</t>
    <phoneticPr fontId="6" type="noConversion"/>
  </si>
  <si>
    <t>C3A 화학식, 3:1</t>
    <phoneticPr fontId="6" type="noConversion"/>
  </si>
  <si>
    <t>CaO(%)</t>
    <phoneticPr fontId="6" type="noConversion"/>
  </si>
  <si>
    <t>quartz -&gt; SiO2,  
Mullite -&gt; SiO2, Al2O3
C3A -&gt; Al2O3, CaO</t>
    <phoneticPr fontId="6" type="noConversion"/>
  </si>
  <si>
    <t>4</t>
    <phoneticPr fontId="6" type="noConversion"/>
  </si>
  <si>
    <t>5</t>
    <phoneticPr fontId="6" type="noConversion"/>
  </si>
  <si>
    <t>6</t>
    <phoneticPr fontId="6" type="noConversion"/>
  </si>
  <si>
    <t>Mullite 화학식(1), 3:2</t>
    <phoneticPr fontId="6" type="noConversion"/>
  </si>
  <si>
    <t xml:space="preserve"> Mullite 화학식(2), 2:1</t>
    <phoneticPr fontId="6" type="noConversion"/>
  </si>
  <si>
    <t>Lime(%)</t>
    <phoneticPr fontId="6" type="noConversion"/>
  </si>
  <si>
    <t>Merwinite(%)</t>
    <phoneticPr fontId="6" type="noConversion"/>
  </si>
  <si>
    <t>Calcio-Olivine(%)</t>
    <phoneticPr fontId="6" type="noConversion"/>
  </si>
  <si>
    <r>
      <rPr>
        <sz val="12"/>
        <color theme="1"/>
        <rFont val="Calibri"/>
        <family val="3"/>
        <charset val="161"/>
      </rPr>
      <t>β</t>
    </r>
    <r>
      <rPr>
        <sz val="12"/>
        <color theme="1"/>
        <rFont val="맑은 고딕"/>
        <family val="3"/>
        <charset val="129"/>
      </rPr>
      <t>-C2S</t>
    </r>
    <r>
      <rPr>
        <sz val="12"/>
        <color theme="1"/>
        <rFont val="맑은 고딕"/>
        <family val="3"/>
        <charset val="161"/>
      </rPr>
      <t>(%)</t>
    </r>
    <phoneticPr fontId="6" type="noConversion"/>
  </si>
  <si>
    <t>C2AS</t>
    <phoneticPr fontId="6" type="noConversion"/>
  </si>
  <si>
    <t>C3A(cubic)</t>
    <phoneticPr fontId="6" type="noConversion"/>
  </si>
  <si>
    <t>C3A(orthorhombic)</t>
    <phoneticPr fontId="6" type="noConversion"/>
  </si>
  <si>
    <t>C2AS(%)</t>
    <phoneticPr fontId="6" type="noConversion"/>
  </si>
  <si>
    <t>Calcio-Olivine(규산삼칼슘) -&gt; 3CaO, SiO2.
C2S(Bellite) -&gt; 2CaO, SiO2</t>
    <phoneticPr fontId="6" type="noConversion"/>
  </si>
  <si>
    <t>C2AS(Gehlenite) -&gt; 2CaO, Al2O3, SiO2
C3A -&gt; 3CaO, Al2O3</t>
    <phoneticPr fontId="6" type="noConversion"/>
  </si>
  <si>
    <t>Merwinite</t>
    <phoneticPr fontId="6" type="noConversion"/>
  </si>
  <si>
    <t>Calcio-Olivine(C3S)</t>
    <phoneticPr fontId="6" type="noConversion"/>
  </si>
  <si>
    <t>C2S</t>
    <phoneticPr fontId="6" type="noConversion"/>
  </si>
  <si>
    <t>C2AS 제외</t>
    <phoneticPr fontId="6" type="noConversion"/>
  </si>
  <si>
    <t>7</t>
    <phoneticPr fontId="6" type="noConversion"/>
  </si>
  <si>
    <t>Ettringite(%)</t>
    <phoneticPr fontId="6" type="noConversion"/>
  </si>
  <si>
    <t xml:space="preserve">quartz -&gt; SiO2,  
Mullite-&gt; SiO2, Al2O3,
Ettringtie -&gt; 3CaO, Al2O3, 3CaSO4, 32H2O </t>
    <phoneticPr fontId="6" type="noConversion"/>
  </si>
  <si>
    <t>Ettringite</t>
    <phoneticPr fontId="6" type="noConversion"/>
  </si>
  <si>
    <t>8</t>
    <phoneticPr fontId="6" type="noConversion"/>
  </si>
  <si>
    <t>Free lime</t>
    <phoneticPr fontId="6" type="noConversion"/>
  </si>
  <si>
    <t>C4AF</t>
    <phoneticPr fontId="6" type="noConversion"/>
  </si>
  <si>
    <t>Free lime -&gt; CaO,
C3A -&gt; 3CaO, Al2O3</t>
    <phoneticPr fontId="6" type="noConversion"/>
  </si>
  <si>
    <t>C2S -&gt; 2CaO, SiO2
C4AF -&gt; 4CaO, Al2O3, Fe2O3</t>
    <phoneticPr fontId="6" type="noConversion"/>
  </si>
  <si>
    <t>col1</t>
    <phoneticPr fontId="6" type="noConversion"/>
  </si>
  <si>
    <t>col2</t>
    <phoneticPr fontId="6" type="noConversion"/>
  </si>
  <si>
    <t>col3</t>
    <phoneticPr fontId="6" type="noConversion"/>
  </si>
  <si>
    <t>allumina(Al2O3) = col1,
silica(SiO2) = col2-col1,
Lime(CaO) = col3- col2</t>
    <phoneticPr fontId="6" type="noConversion"/>
  </si>
  <si>
    <t>10</t>
    <phoneticPr fontId="6" type="noConversion"/>
  </si>
  <si>
    <t>Albite(%)</t>
    <phoneticPr fontId="6" type="noConversion"/>
  </si>
  <si>
    <t>Oligoclase(%)</t>
    <phoneticPr fontId="6" type="noConversion"/>
  </si>
  <si>
    <t>Sanidine(%)</t>
    <phoneticPr fontId="6" type="noConversion"/>
  </si>
  <si>
    <t>Adesine(%)</t>
    <phoneticPr fontId="6" type="noConversion"/>
  </si>
  <si>
    <t xml:space="preserve">quartz -&gt; SiO2,  
Albite-&gt; SiO2, Al2O3,
Ettringtie -&gt; 3CaO, Al2O3, 3CaSO4, 32H2O </t>
    <phoneticPr fontId="6" type="noConversion"/>
  </si>
  <si>
    <t>Actinolite(%)</t>
  </si>
  <si>
    <t>Albite</t>
    <phoneticPr fontId="6" type="noConversion"/>
  </si>
  <si>
    <t>Sandine</t>
    <phoneticPr fontId="6" type="noConversion"/>
  </si>
  <si>
    <t>Adesine
Actinolite</t>
    <phoneticPr fontId="6" type="noConversion"/>
  </si>
  <si>
    <t>OligoClase : Albite 80%, Anorthite 20% -&gt; Al2O3, CaO, SiO2
Adesine : Albite 60%, Anorthite 40% -&gt; Al2O3, CaO, SiO2</t>
    <phoneticPr fontId="6" type="noConversion"/>
  </si>
  <si>
    <t>molar_mass_Albite</t>
    <phoneticPr fontId="6" type="noConversion"/>
  </si>
  <si>
    <t>molar_mass_Anorthite</t>
    <phoneticPr fontId="6" type="noConversion"/>
  </si>
  <si>
    <t>Oligoclase</t>
    <phoneticPr fontId="6" type="noConversion"/>
  </si>
  <si>
    <t>11</t>
    <phoneticPr fontId="6" type="noConversion"/>
  </si>
  <si>
    <t>Mullite(1)</t>
    <phoneticPr fontId="6" type="noConversion"/>
  </si>
  <si>
    <t>Quartz(%)</t>
    <phoneticPr fontId="6" type="noConversion"/>
  </si>
  <si>
    <t>C2S</t>
  </si>
  <si>
    <t>C3A</t>
  </si>
  <si>
    <t>C4AF</t>
  </si>
  <si>
    <t>Ca(OH)2</t>
    <phoneticPr fontId="6" type="noConversion"/>
  </si>
  <si>
    <t xml:space="preserve">quartz -&gt; SiO2,  
CaO </t>
    <phoneticPr fontId="6" type="noConversion"/>
  </si>
  <si>
    <t>Mullite -&gt; SiO2, Al2O3
C2S(Bellite) -&gt; 2CaO, SiO2</t>
    <phoneticPr fontId="6" type="noConversion"/>
  </si>
  <si>
    <t>C3A -&gt; 3CaO, Al2O3
C4AF -&gt; 4CaO, Al2O3, Fe2O3
Ca(OH)2 -&gt; CaO, H2O</t>
    <phoneticPr fontId="6" type="noConversion"/>
  </si>
  <si>
    <t>12</t>
    <phoneticPr fontId="6" type="noConversion"/>
  </si>
  <si>
    <t>13</t>
    <phoneticPr fontId="6" type="noConversion"/>
  </si>
  <si>
    <t>Free lime(%)</t>
    <phoneticPr fontId="6" type="noConversion"/>
  </si>
  <si>
    <t>Aluminate(%)</t>
    <phoneticPr fontId="6" type="noConversion"/>
  </si>
  <si>
    <t>Akermanite</t>
    <phoneticPr fontId="6" type="noConversion"/>
  </si>
  <si>
    <t>Microcline</t>
    <phoneticPr fontId="6" type="noConversion"/>
  </si>
  <si>
    <t>Alite(%)</t>
    <phoneticPr fontId="6" type="noConversion"/>
  </si>
  <si>
    <t>Akermanite(%)</t>
    <phoneticPr fontId="6" type="noConversion"/>
  </si>
  <si>
    <t>Microcline(%)</t>
    <phoneticPr fontId="6" type="noConversion"/>
  </si>
  <si>
    <t>Alite(C3S)</t>
    <phoneticPr fontId="6" type="noConversion"/>
  </si>
  <si>
    <t>14</t>
    <phoneticPr fontId="6" type="noConversion"/>
  </si>
  <si>
    <t>15</t>
    <phoneticPr fontId="6" type="noConversion"/>
  </si>
  <si>
    <t>Opaline SiO2(%)</t>
    <phoneticPr fontId="6" type="noConversion"/>
  </si>
  <si>
    <t>C3A</t>
    <phoneticPr fontId="6" type="noConversion"/>
  </si>
  <si>
    <t>Periclase</t>
    <phoneticPr fontId="6" type="noConversion"/>
  </si>
  <si>
    <t>C4AF(brownmillerite)</t>
    <phoneticPr fontId="6" type="noConversion"/>
  </si>
  <si>
    <t>Free lime</t>
    <phoneticPr fontId="6" type="noConversion"/>
  </si>
  <si>
    <t>C3A -&gt; 3CaO, Al2O3
C4AF -&gt; 4CaO, Al2O3, Fe2O3</t>
    <phoneticPr fontId="6" type="noConversion"/>
  </si>
  <si>
    <t>Free lime -&gt; CaO</t>
    <phoneticPr fontId="6" type="noConversion"/>
  </si>
  <si>
    <t>해당사항없음</t>
    <phoneticPr fontId="6" type="noConversion"/>
  </si>
  <si>
    <t>Crystalline content (the result of XRD)</t>
    <phoneticPr fontId="6" type="noConversion"/>
  </si>
  <si>
    <t>Mullite 3:2</t>
    <phoneticPr fontId="6" type="noConversion"/>
  </si>
  <si>
    <r>
      <rPr>
        <b/>
        <i/>
        <sz val="11"/>
        <color theme="1"/>
        <rFont val="맑은 고딕"/>
        <family val="3"/>
        <charset val="129"/>
        <scheme val="minor"/>
      </rPr>
      <t>quartz -&gt; SiO2</t>
    </r>
    <r>
      <rPr>
        <i/>
        <sz val="11"/>
        <color theme="1"/>
        <rFont val="맑은 고딕"/>
        <family val="3"/>
        <charset val="129"/>
        <scheme val="minor"/>
      </rPr>
      <t xml:space="preserve">
Mullite-&gt; SiO2, Al2O3</t>
    </r>
    <phoneticPr fontId="6" type="noConversion"/>
  </si>
  <si>
    <t>C4AF</t>
    <phoneticPr fontId="6" type="noConversion"/>
  </si>
  <si>
    <t>Al2O3</t>
    <phoneticPr fontId="1" type="noConversion"/>
  </si>
  <si>
    <t>CaO</t>
    <phoneticPr fontId="1" type="noConversion"/>
  </si>
  <si>
    <t>SiO2</t>
    <phoneticPr fontId="1" type="noConversion"/>
  </si>
  <si>
    <t>Chemical Composition in Amorphous Phase
(Mole fraction)</t>
    <phoneticPr fontId="1" type="noConversion"/>
  </si>
  <si>
    <t>CRE_ref</t>
    <phoneticPr fontId="6" type="noConversion"/>
  </si>
  <si>
    <t>PSE_ref</t>
    <phoneticPr fontId="6" type="noConversion"/>
  </si>
  <si>
    <t>CREP_ref</t>
    <phoneticPr fontId="6" type="noConversion"/>
  </si>
  <si>
    <t>CRE_ref</t>
    <phoneticPr fontId="1" type="noConversion"/>
  </si>
  <si>
    <t>PSE_ref</t>
    <phoneticPr fontId="1" type="noConversion"/>
  </si>
  <si>
    <r>
      <rPr>
        <b/>
        <i/>
        <sz val="12"/>
        <color theme="1"/>
        <rFont val="맑은 고딕"/>
        <family val="3"/>
        <charset val="129"/>
        <scheme val="minor"/>
      </rPr>
      <t>quartz -&gt; SiO2</t>
    </r>
    <r>
      <rPr>
        <i/>
        <sz val="12"/>
        <color theme="1"/>
        <rFont val="맑은 고딕"/>
        <family val="3"/>
        <charset val="129"/>
        <scheme val="minor"/>
      </rPr>
      <t xml:space="preserve">
Mullite-&gt; SiO2, Al2O3</t>
    </r>
    <phoneticPr fontId="6" type="noConversion"/>
  </si>
  <si>
    <t>5</t>
    <phoneticPr fontId="1" type="noConversion"/>
  </si>
  <si>
    <t>Iron Oxide crystalline</t>
    <phoneticPr fontId="6" type="noConversion"/>
  </si>
  <si>
    <r>
      <rPr>
        <b/>
        <i/>
        <sz val="11"/>
        <color theme="1"/>
        <rFont val="맑은 고딕"/>
        <family val="3"/>
        <charset val="129"/>
        <scheme val="minor"/>
      </rPr>
      <t xml:space="preserve">quartz -&gt; SiO2,  </t>
    </r>
    <r>
      <rPr>
        <i/>
        <sz val="11"/>
        <color theme="1"/>
        <rFont val="맑은 고딕"/>
        <family val="3"/>
        <charset val="129"/>
        <scheme val="minor"/>
      </rPr>
      <t xml:space="preserve">
Mullite-&gt; SiO2, Al2O3</t>
    </r>
    <phoneticPr fontId="6" type="noConversion"/>
  </si>
  <si>
    <r>
      <rPr>
        <b/>
        <i/>
        <sz val="11"/>
        <color theme="1"/>
        <rFont val="맑은 고딕"/>
        <family val="3"/>
        <charset val="129"/>
        <scheme val="minor"/>
      </rPr>
      <t>Lime -&gt; CaO,</t>
    </r>
    <r>
      <rPr>
        <i/>
        <sz val="11"/>
        <color theme="1"/>
        <rFont val="맑은 고딕"/>
        <family val="3"/>
        <charset val="129"/>
        <scheme val="minor"/>
      </rPr>
      <t xml:space="preserve">
Merwinite -&gt; 3CaO, Mgo, 2SiO2</t>
    </r>
    <phoneticPr fontId="6" type="noConversion"/>
  </si>
  <si>
    <t>제외해야 정확도 높음</t>
    <phoneticPr fontId="6" type="noConversion"/>
  </si>
  <si>
    <t>9</t>
    <phoneticPr fontId="1" type="noConversion"/>
  </si>
  <si>
    <t>9</t>
    <phoneticPr fontId="6" type="noConversion"/>
  </si>
  <si>
    <t>quartz -&gt; SiO2
Free lime -&gt; CaO
Aluminate -&gt; Al2O3</t>
    <phoneticPr fontId="6" type="noConversion"/>
  </si>
  <si>
    <t>Ettringtie -&gt; 3CaO, Al2O3, 3CaSO4, 32H2O 
Albite-&gt; SiO2, Al2O3,</t>
    <phoneticPr fontId="6" type="noConversion"/>
  </si>
  <si>
    <t>Akermanite -&gt; CaO, SiO2</t>
    <phoneticPr fontId="6" type="noConversion"/>
  </si>
  <si>
    <t>Mullite -&gt;  SiO2, Al2O3
Merwinite -&gt; 3CaO, Mgo, 2SiO2
Alite -&gt; CaO, 3SiO2, Al2O3</t>
    <phoneticPr fontId="6" type="noConversion"/>
  </si>
  <si>
    <t>FA5</t>
  </si>
  <si>
    <t>FA6</t>
  </si>
  <si>
    <t>FA7</t>
  </si>
  <si>
    <t>FA8</t>
  </si>
  <si>
    <t>FA9</t>
  </si>
  <si>
    <t>FA10</t>
  </si>
  <si>
    <t>FA11</t>
  </si>
  <si>
    <t>FA12</t>
  </si>
  <si>
    <t>FA13</t>
  </si>
  <si>
    <t>FA14</t>
  </si>
  <si>
    <t>FA15</t>
  </si>
  <si>
    <t>FA16</t>
  </si>
  <si>
    <t>FA17</t>
  </si>
  <si>
    <t>Domestic_flyash_1</t>
    <phoneticPr fontId="1" type="noConversion"/>
  </si>
  <si>
    <t xml:space="preserve">Reference </t>
  </si>
  <si>
    <t>Amorphous content</t>
  </si>
  <si>
    <t>Al2O3_amor</t>
    <phoneticPr fontId="6" type="noConversion"/>
  </si>
  <si>
    <t>SiO2_amor</t>
    <phoneticPr fontId="6" type="noConversion"/>
  </si>
  <si>
    <t>Domestic_flyash_2</t>
    <phoneticPr fontId="1" type="noConversion"/>
  </si>
  <si>
    <t>A</t>
  </si>
  <si>
    <t>C</t>
  </si>
  <si>
    <t>E</t>
  </si>
  <si>
    <t>F</t>
  </si>
  <si>
    <t>G</t>
  </si>
  <si>
    <t>H</t>
  </si>
  <si>
    <t>flyash_byKang</t>
    <phoneticPr fontId="1" type="noConversion"/>
  </si>
  <si>
    <t>MTRF</t>
    <phoneticPr fontId="1" type="noConversion"/>
  </si>
  <si>
    <t>OAK</t>
    <phoneticPr fontId="1" type="noConversion"/>
  </si>
  <si>
    <t>IND</t>
    <phoneticPr fontId="1" type="noConversion"/>
  </si>
  <si>
    <t>WA</t>
    <phoneticPr fontId="1" type="noConversion"/>
  </si>
  <si>
    <t>BIG</t>
    <phoneticPr fontId="1" type="noConversion"/>
  </si>
  <si>
    <t>CC</t>
    <phoneticPr fontId="1" type="noConversion"/>
  </si>
  <si>
    <t>Quartz</t>
    <phoneticPr fontId="6" type="noConversion"/>
  </si>
  <si>
    <t>Alumina</t>
    <phoneticPr fontId="6" type="noConversion"/>
  </si>
  <si>
    <t>Mullite</t>
    <phoneticPr fontId="6" type="noConversion"/>
  </si>
  <si>
    <t>CaO</t>
    <phoneticPr fontId="6" type="noConversion"/>
  </si>
  <si>
    <t xml:space="preserve">Mullite </t>
    <phoneticPr fontId="6" type="noConversion"/>
  </si>
  <si>
    <t>nc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</si>
</sst>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"/>
    <numFmt numFmtId="177" formatCode="0.0000000"/>
    <numFmt numFmtId="178" formatCode="0.0"/>
    <numFmt numFmtId="179" formatCode="0.00000000"/>
    <numFmt numFmtId="180" formatCode="0.0000"/>
    <numFmt numFmtId="181" formatCode="0.00000"/>
  </numFmts>
  <fonts count="21">
    <font>
      <sz val="11"/>
      <color theme="1"/>
      <name val="맑은 고딕"/>
      <family val="2"/>
      <scheme val="minor"/>
    </font>
    <font>
      <sz val="8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2"/>
      <color rgb="FF333333"/>
      <name val="Segoe UI"/>
      <family val="2"/>
    </font>
    <font>
      <sz val="14"/>
      <color theme="1"/>
      <name val="맑은 고딕"/>
      <family val="2"/>
      <scheme val="minor"/>
    </font>
    <font>
      <b/>
      <sz val="16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sz val="12"/>
      <color theme="1"/>
      <name val="Calibri"/>
      <family val="3"/>
      <charset val="161"/>
    </font>
    <font>
      <sz val="12"/>
      <color theme="1"/>
      <name val="맑은 고딕"/>
      <family val="3"/>
      <charset val="161"/>
    </font>
    <font>
      <i/>
      <sz val="12"/>
      <color theme="1"/>
      <name val="맑은 고딕"/>
      <family val="3"/>
      <charset val="129"/>
      <scheme val="minor"/>
    </font>
    <font>
      <sz val="12"/>
      <name val="맑은 고딕"/>
      <family val="2"/>
      <scheme val="minor"/>
    </font>
    <font>
      <sz val="12"/>
      <name val="맑은 고딕"/>
      <family val="3"/>
      <charset val="129"/>
      <scheme val="minor"/>
    </font>
    <font>
      <i/>
      <sz val="12"/>
      <color theme="1"/>
      <name val="맑은 고딕"/>
      <family val="2"/>
      <scheme val="minor"/>
    </font>
    <font>
      <sz val="11"/>
      <color theme="1"/>
      <name val="맑은 고딕"/>
      <family val="2"/>
      <charset val="161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2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6">
    <xf numFmtId="0" fontId="0" fillId="0" borderId="0" xfId="0"/>
    <xf numFmtId="2" fontId="2" fillId="0" borderId="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2" fontId="2" fillId="4" borderId="3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/>
    </xf>
    <xf numFmtId="2" fontId="2" fillId="4" borderId="7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2" fontId="2" fillId="4" borderId="8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 wrapText="1"/>
    </xf>
    <xf numFmtId="2" fontId="2" fillId="0" borderId="10" xfId="0" applyNumberFormat="1" applyFont="1" applyFill="1" applyBorder="1" applyAlignment="1">
      <alignment horizontal="center" vertical="center" wrapText="1"/>
    </xf>
    <xf numFmtId="2" fontId="2" fillId="0" borderId="6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2" fontId="2" fillId="0" borderId="11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2" fontId="2" fillId="4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2" fillId="4" borderId="4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9" xfId="0" applyBorder="1"/>
    <xf numFmtId="2" fontId="2" fillId="0" borderId="10" xfId="0" applyNumberFormat="1" applyFont="1" applyFill="1" applyBorder="1" applyAlignment="1">
      <alignment horizontal="center" vertical="center"/>
    </xf>
    <xf numFmtId="0" fontId="0" fillId="0" borderId="1" xfId="0" applyFill="1" applyBorder="1"/>
    <xf numFmtId="2" fontId="2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vertical="top" wrapText="1"/>
    </xf>
    <xf numFmtId="0" fontId="8" fillId="0" borderId="0" xfId="0" applyFont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2" fontId="9" fillId="0" borderId="10" xfId="0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0" fillId="5" borderId="1" xfId="0" applyFill="1" applyBorder="1"/>
    <xf numFmtId="0" fontId="0" fillId="5" borderId="15" xfId="0" applyFill="1" applyBorder="1"/>
    <xf numFmtId="178" fontId="2" fillId="0" borderId="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2" fillId="0" borderId="4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0" xfId="0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78" fontId="2" fillId="0" borderId="1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/>
    <xf numFmtId="176" fontId="2" fillId="0" borderId="0" xfId="0" applyNumberFormat="1" applyFont="1" applyBorder="1" applyAlignment="1">
      <alignment horizontal="right" vertical="center"/>
    </xf>
    <xf numFmtId="176" fontId="2" fillId="0" borderId="6" xfId="0" applyNumberFormat="1" applyFont="1" applyBorder="1" applyAlignment="1">
      <alignment horizontal="right" vertical="center"/>
    </xf>
    <xf numFmtId="176" fontId="2" fillId="0" borderId="4" xfId="0" applyNumberFormat="1" applyFont="1" applyBorder="1" applyAlignment="1">
      <alignment horizontal="right" vertical="center"/>
    </xf>
    <xf numFmtId="176" fontId="2" fillId="0" borderId="4" xfId="0" applyNumberFormat="1" applyFont="1" applyFill="1" applyBorder="1" applyAlignment="1">
      <alignment horizontal="right" vertical="center"/>
    </xf>
    <xf numFmtId="176" fontId="2" fillId="0" borderId="7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4" xfId="0" applyFill="1" applyBorder="1"/>
    <xf numFmtId="2" fontId="2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horizontal="right" vertical="center"/>
    </xf>
    <xf numFmtId="176" fontId="2" fillId="0" borderId="7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vertical="center" wrapText="1"/>
    </xf>
    <xf numFmtId="0" fontId="0" fillId="0" borderId="7" xfId="0" applyBorder="1"/>
    <xf numFmtId="2" fontId="15" fillId="0" borderId="2" xfId="0" applyNumberFormat="1" applyFont="1" applyFill="1" applyBorder="1" applyAlignment="1">
      <alignment horizontal="center" vertical="center" wrapText="1"/>
    </xf>
    <xf numFmtId="2" fontId="16" fillId="2" borderId="2" xfId="0" applyNumberFormat="1" applyFont="1" applyFill="1" applyBorder="1" applyAlignment="1">
      <alignment horizontal="center" vertical="center" wrapText="1"/>
    </xf>
    <xf numFmtId="2" fontId="16" fillId="2" borderId="2" xfId="0" applyNumberFormat="1" applyFont="1" applyFill="1" applyBorder="1" applyAlignment="1">
      <alignment horizontal="center" vertical="center"/>
    </xf>
    <xf numFmtId="2" fontId="16" fillId="3" borderId="2" xfId="0" applyNumberFormat="1" applyFont="1" applyFill="1" applyBorder="1" applyAlignment="1">
      <alignment horizontal="center" vertical="center"/>
    </xf>
    <xf numFmtId="2" fontId="16" fillId="4" borderId="3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 vertical="center" wrapText="1"/>
    </xf>
    <xf numFmtId="2" fontId="16" fillId="2" borderId="0" xfId="0" applyNumberFormat="1" applyFont="1" applyFill="1" applyBorder="1" applyAlignment="1">
      <alignment horizontal="center" vertical="center" wrapText="1"/>
    </xf>
    <xf numFmtId="2" fontId="16" fillId="2" borderId="0" xfId="0" applyNumberFormat="1" applyFont="1" applyFill="1" applyBorder="1" applyAlignment="1">
      <alignment horizontal="center" vertical="center"/>
    </xf>
    <xf numFmtId="2" fontId="16" fillId="3" borderId="0" xfId="0" applyNumberFormat="1" applyFont="1" applyFill="1" applyBorder="1" applyAlignment="1">
      <alignment horizontal="center" vertical="center"/>
    </xf>
    <xf numFmtId="2" fontId="16" fillId="4" borderId="6" xfId="0" applyNumberFormat="1" applyFont="1" applyFill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 vertical="center" wrapText="1"/>
    </xf>
    <xf numFmtId="2" fontId="16" fillId="2" borderId="4" xfId="0" applyNumberFormat="1" applyFont="1" applyFill="1" applyBorder="1" applyAlignment="1">
      <alignment horizontal="center" vertical="center" wrapText="1"/>
    </xf>
    <xf numFmtId="2" fontId="16" fillId="2" borderId="4" xfId="0" applyNumberFormat="1" applyFont="1" applyFill="1" applyBorder="1" applyAlignment="1">
      <alignment horizontal="center" vertical="center"/>
    </xf>
    <xf numFmtId="2" fontId="16" fillId="3" borderId="4" xfId="0" applyNumberFormat="1" applyFont="1" applyFill="1" applyBorder="1" applyAlignment="1">
      <alignment horizontal="center" vertical="center"/>
    </xf>
    <xf numFmtId="2" fontId="16" fillId="4" borderId="7" xfId="0" applyNumberFormat="1" applyFont="1" applyFill="1" applyBorder="1" applyAlignment="1">
      <alignment horizontal="center" vertical="center"/>
    </xf>
    <xf numFmtId="2" fontId="16" fillId="4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 wrapText="1"/>
    </xf>
    <xf numFmtId="2" fontId="16" fillId="4" borderId="4" xfId="0" applyNumberFormat="1" applyFont="1" applyFill="1" applyBorder="1" applyAlignment="1">
      <alignment horizontal="center" vertical="center"/>
    </xf>
    <xf numFmtId="2" fontId="16" fillId="0" borderId="11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/>
    </xf>
    <xf numFmtId="0" fontId="0" fillId="0" borderId="0" xfId="0" applyFill="1" applyAlignment="1">
      <alignment vertical="center" wrapText="1"/>
    </xf>
    <xf numFmtId="2" fontId="16" fillId="0" borderId="10" xfId="0" applyNumberFormat="1" applyFont="1" applyFill="1" applyBorder="1" applyAlignment="1">
      <alignment horizontal="center" vertical="center" wrapText="1"/>
    </xf>
    <xf numFmtId="179" fontId="2" fillId="0" borderId="6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 wrapText="1"/>
    </xf>
    <xf numFmtId="2" fontId="13" fillId="0" borderId="6" xfId="0" applyNumberFormat="1" applyFont="1" applyFill="1" applyBorder="1" applyAlignment="1">
      <alignment horizontal="center" vertical="center"/>
    </xf>
    <xf numFmtId="0" fontId="0" fillId="0" borderId="7" xfId="0" applyFill="1" applyBorder="1"/>
    <xf numFmtId="2" fontId="2" fillId="0" borderId="0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top" wrapText="1"/>
    </xf>
    <xf numFmtId="178" fontId="2" fillId="0" borderId="6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0" fillId="0" borderId="0" xfId="0" applyNumberFormat="1"/>
    <xf numFmtId="176" fontId="0" fillId="0" borderId="0" xfId="0" applyNumberFormat="1" applyFill="1" applyBorder="1"/>
    <xf numFmtId="0" fontId="10" fillId="0" borderId="4" xfId="0" applyFont="1" applyFill="1" applyBorder="1" applyAlignment="1"/>
    <xf numFmtId="176" fontId="8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9" fontId="2" fillId="0" borderId="7" xfId="0" applyNumberFormat="1" applyFont="1" applyFill="1" applyBorder="1" applyAlignment="1">
      <alignment horizontal="center" vertical="center" wrapText="1"/>
    </xf>
    <xf numFmtId="0" fontId="0" fillId="0" borderId="6" xfId="0" applyFill="1" applyBorder="1"/>
    <xf numFmtId="0" fontId="0" fillId="0" borderId="12" xfId="0" applyBorder="1"/>
    <xf numFmtId="0" fontId="0" fillId="0" borderId="5" xfId="0" applyBorder="1"/>
    <xf numFmtId="0" fontId="0" fillId="0" borderId="8" xfId="0" applyBorder="1"/>
    <xf numFmtId="2" fontId="16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2" fontId="2" fillId="0" borderId="0" xfId="0" applyNumberFormat="1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78" fontId="2" fillId="0" borderId="10" xfId="0" applyNumberFormat="1" applyFont="1" applyFill="1" applyBorder="1" applyAlignment="1">
      <alignment horizontal="center" vertical="center" wrapText="1"/>
    </xf>
    <xf numFmtId="2" fontId="2" fillId="0" borderId="9" xfId="0" applyNumberFormat="1" applyFont="1" applyFill="1" applyBorder="1" applyAlignment="1">
      <alignment vertical="center"/>
    </xf>
    <xf numFmtId="2" fontId="2" fillId="0" borderId="2" xfId="0" applyNumberFormat="1" applyFont="1" applyFill="1" applyBorder="1" applyAlignment="1">
      <alignment vertical="center"/>
    </xf>
    <xf numFmtId="2" fontId="2" fillId="0" borderId="3" xfId="0" applyNumberFormat="1" applyFont="1" applyFill="1" applyBorder="1" applyAlignment="1">
      <alignment vertical="center"/>
    </xf>
    <xf numFmtId="2" fontId="2" fillId="0" borderId="7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181" fontId="16" fillId="4" borderId="7" xfId="0" applyNumberFormat="1" applyFont="1" applyFill="1" applyBorder="1" applyAlignment="1">
      <alignment horizontal="center" vertical="center"/>
    </xf>
    <xf numFmtId="179" fontId="0" fillId="5" borderId="1" xfId="0" applyNumberFormat="1" applyFill="1" applyBorder="1"/>
    <xf numFmtId="49" fontId="2" fillId="0" borderId="8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 wrapText="1"/>
    </xf>
    <xf numFmtId="2" fontId="16" fillId="2" borderId="5" xfId="0" applyNumberFormat="1" applyFont="1" applyFill="1" applyBorder="1" applyAlignment="1">
      <alignment horizontal="center" vertical="center" wrapText="1"/>
    </xf>
    <xf numFmtId="2" fontId="16" fillId="2" borderId="5" xfId="0" applyNumberFormat="1" applyFont="1" applyFill="1" applyBorder="1" applyAlignment="1">
      <alignment horizontal="center" vertical="center"/>
    </xf>
    <xf numFmtId="2" fontId="16" fillId="3" borderId="5" xfId="0" applyNumberFormat="1" applyFont="1" applyFill="1" applyBorder="1" applyAlignment="1">
      <alignment horizontal="center" vertical="center"/>
    </xf>
    <xf numFmtId="2" fontId="16" fillId="4" borderId="8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 wrapText="1"/>
    </xf>
    <xf numFmtId="178" fontId="2" fillId="0" borderId="11" xfId="0" applyNumberFormat="1" applyFont="1" applyFill="1" applyBorder="1" applyAlignment="1">
      <alignment horizontal="center" vertical="center" wrapText="1"/>
    </xf>
    <xf numFmtId="178" fontId="2" fillId="0" borderId="4" xfId="0" applyNumberFormat="1" applyFont="1" applyFill="1" applyBorder="1" applyAlignment="1">
      <alignment horizontal="center" vertical="center" wrapText="1"/>
    </xf>
    <xf numFmtId="2" fontId="15" fillId="0" borderId="11" xfId="0" applyNumberFormat="1" applyFont="1" applyFill="1" applyBorder="1" applyAlignment="1">
      <alignment horizontal="center" vertical="center" wrapText="1"/>
    </xf>
    <xf numFmtId="177" fontId="16" fillId="4" borderId="7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/>
    </xf>
    <xf numFmtId="180" fontId="2" fillId="0" borderId="0" xfId="0" applyNumberFormat="1" applyFont="1" applyBorder="1" applyAlignment="1">
      <alignment horizontal="right" vertical="center"/>
    </xf>
    <xf numFmtId="180" fontId="2" fillId="0" borderId="6" xfId="0" applyNumberFormat="1" applyFont="1" applyBorder="1" applyAlignment="1">
      <alignment horizontal="right" vertical="center"/>
    </xf>
    <xf numFmtId="180" fontId="2" fillId="0" borderId="4" xfId="0" applyNumberFormat="1" applyFont="1" applyBorder="1" applyAlignment="1">
      <alignment horizontal="right" vertical="center"/>
    </xf>
    <xf numFmtId="180" fontId="2" fillId="0" borderId="7" xfId="0" applyNumberFormat="1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2" fillId="0" borderId="6" xfId="0" applyNumberFormat="1" applyFont="1" applyBorder="1" applyAlignment="1">
      <alignment horizontal="right" vertical="center"/>
    </xf>
    <xf numFmtId="2" fontId="2" fillId="0" borderId="4" xfId="0" applyNumberFormat="1" applyFont="1" applyBorder="1" applyAlignment="1">
      <alignment horizontal="right" vertical="center"/>
    </xf>
    <xf numFmtId="2" fontId="2" fillId="0" borderId="7" xfId="0" applyNumberFormat="1" applyFont="1" applyBorder="1" applyAlignment="1">
      <alignment horizontal="right" vertical="center"/>
    </xf>
    <xf numFmtId="2" fontId="2" fillId="0" borderId="9" xfId="0" applyNumberFormat="1" applyFont="1" applyFill="1" applyBorder="1" applyAlignment="1">
      <alignment horizontal="center" vertical="center" wrapText="1"/>
    </xf>
    <xf numFmtId="2" fontId="2" fillId="0" borderId="6" xfId="0" applyNumberFormat="1" applyFont="1" applyFill="1" applyBorder="1" applyAlignment="1">
      <alignment horizontal="center" vertical="center"/>
    </xf>
    <xf numFmtId="178" fontId="12" fillId="0" borderId="0" xfId="0" applyNumberFormat="1" applyFont="1" applyFill="1" applyBorder="1" applyAlignment="1">
      <alignment horizontal="center" vertical="center" wrapText="1"/>
    </xf>
    <xf numFmtId="178" fontId="17" fillId="0" borderId="7" xfId="0" applyNumberFormat="1" applyFont="1" applyFill="1" applyBorder="1" applyAlignment="1">
      <alignment vertical="center" wrapText="1"/>
    </xf>
    <xf numFmtId="179" fontId="2" fillId="0" borderId="15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49" fontId="2" fillId="0" borderId="10" xfId="0" applyNumberFormat="1" applyFont="1" applyFill="1" applyBorder="1" applyAlignment="1">
      <alignment vertical="center"/>
    </xf>
    <xf numFmtId="180" fontId="2" fillId="4" borderId="6" xfId="0" applyNumberFormat="1" applyFont="1" applyFill="1" applyBorder="1" applyAlignment="1">
      <alignment horizontal="center" vertical="center"/>
    </xf>
    <xf numFmtId="180" fontId="2" fillId="4" borderId="7" xfId="0" applyNumberFormat="1" applyFont="1" applyFill="1" applyBorder="1" applyAlignment="1">
      <alignment horizontal="center" vertical="center"/>
    </xf>
    <xf numFmtId="181" fontId="2" fillId="4" borderId="6" xfId="0" applyNumberFormat="1" applyFont="1" applyFill="1" applyBorder="1" applyAlignment="1">
      <alignment horizontal="center" vertical="center"/>
    </xf>
    <xf numFmtId="181" fontId="2" fillId="4" borderId="7" xfId="0" applyNumberFormat="1" applyFont="1" applyFill="1" applyBorder="1" applyAlignment="1">
      <alignment horizontal="center" vertical="center"/>
    </xf>
    <xf numFmtId="0" fontId="0" fillId="0" borderId="6" xfId="0" applyBorder="1"/>
    <xf numFmtId="178" fontId="8" fillId="0" borderId="0" xfId="0" applyNumberFormat="1" applyFont="1" applyFill="1" applyBorder="1" applyAlignment="1">
      <alignment horizontal="center" vertical="center" wrapText="1"/>
    </xf>
    <xf numFmtId="178" fontId="0" fillId="0" borderId="0" xfId="0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>
      <alignment horizontal="center" vertical="center"/>
    </xf>
    <xf numFmtId="178" fontId="8" fillId="0" borderId="4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" fontId="2" fillId="0" borderId="11" xfId="0" applyNumberFormat="1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2" fontId="12" fillId="6" borderId="6" xfId="0" applyNumberFormat="1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2" fontId="2" fillId="0" borderId="5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49" fontId="2" fillId="0" borderId="15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 wrapText="1"/>
    </xf>
    <xf numFmtId="49" fontId="2" fillId="0" borderId="7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top" wrapText="1"/>
    </xf>
    <xf numFmtId="0" fontId="0" fillId="0" borderId="3" xfId="0" applyBorder="1"/>
    <xf numFmtId="0" fontId="10" fillId="0" borderId="0" xfId="0" applyFont="1" applyFill="1" applyBorder="1" applyAlignment="1"/>
    <xf numFmtId="176" fontId="2" fillId="0" borderId="0" xfId="0" applyNumberFormat="1" applyFont="1" applyAlignment="1">
      <alignment horizontal="center" vertical="center"/>
    </xf>
    <xf numFmtId="49" fontId="2" fillId="0" borderId="2" xfId="0" applyNumberFormat="1" applyFont="1" applyFill="1" applyBorder="1" applyAlignment="1">
      <alignment vertical="center"/>
    </xf>
    <xf numFmtId="0" fontId="7" fillId="0" borderId="0" xfId="0" applyFont="1" applyAlignment="1">
      <alignment vertical="top" wrapText="1"/>
    </xf>
    <xf numFmtId="2" fontId="8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Border="1"/>
    <xf numFmtId="2" fontId="0" fillId="0" borderId="4" xfId="0" applyNumberFormat="1" applyBorder="1"/>
    <xf numFmtId="0" fontId="0" fillId="0" borderId="13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2" fontId="2" fillId="7" borderId="0" xfId="0" applyNumberFormat="1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2" fontId="2" fillId="7" borderId="5" xfId="0" applyNumberFormat="1" applyFont="1" applyFill="1" applyBorder="1" applyAlignment="1">
      <alignment horizontal="center" vertical="center" wrapText="1"/>
    </xf>
    <xf numFmtId="2" fontId="2" fillId="8" borderId="0" xfId="0" applyNumberFormat="1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0" fillId="8" borderId="4" xfId="0" applyFill="1" applyBorder="1"/>
    <xf numFmtId="2" fontId="16" fillId="0" borderId="2" xfId="0" applyNumberFormat="1" applyFont="1" applyFill="1" applyBorder="1" applyAlignment="1">
      <alignment horizontal="center" vertical="center" wrapText="1"/>
    </xf>
    <xf numFmtId="2" fontId="16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/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/>
    </xf>
    <xf numFmtId="49" fontId="2" fillId="0" borderId="14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2" fontId="2" fillId="0" borderId="12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F9035-5DCC-42DE-A696-F1DE908AF661}">
  <sheetPr codeName="Sheet2"/>
  <dimension ref="A1:N141"/>
  <sheetViews>
    <sheetView topLeftCell="B1" zoomScale="70" zoomScaleNormal="70" workbookViewId="0">
      <pane ySplit="3" topLeftCell="A94" activePane="bottomLeft" state="frozen"/>
      <selection pane="bottomLeft" activeCell="J120" sqref="J120:J125"/>
    </sheetView>
  </sheetViews>
  <sheetFormatPr defaultColWidth="8.875" defaultRowHeight="17.25"/>
  <cols>
    <col min="1" max="1" width="25.375" style="34" customWidth="1"/>
    <col min="2" max="2" width="24.5" style="34" customWidth="1"/>
    <col min="3" max="8" width="12.625" style="34" customWidth="1"/>
    <col min="9" max="10" width="22.625" style="34" customWidth="1"/>
    <col min="11" max="11" width="12" style="1" customWidth="1"/>
    <col min="12" max="12" width="17.5" style="1" customWidth="1"/>
    <col min="13" max="13" width="14.625" style="1" customWidth="1"/>
    <col min="14" max="14" width="19.875" style="1" customWidth="1"/>
    <col min="15" max="15" width="17" style="1" customWidth="1"/>
    <col min="16" max="16" width="8.875" style="1"/>
    <col min="17" max="17" width="18.5" style="1" customWidth="1"/>
    <col min="18" max="18" width="20.125" style="1" bestFit="1" customWidth="1"/>
    <col min="19" max="19" width="18.75" style="1" customWidth="1"/>
    <col min="20" max="20" width="16.5" style="1" customWidth="1"/>
    <col min="21" max="21" width="8.875" style="1"/>
    <col min="22" max="22" width="19.5" style="1" customWidth="1"/>
    <col min="23" max="23" width="21.875" style="1" customWidth="1"/>
    <col min="24" max="24" width="18.125" style="1" customWidth="1"/>
    <col min="25" max="16384" width="8.875" style="1"/>
  </cols>
  <sheetData>
    <row r="1" spans="1:14" ht="26.25">
      <c r="A1" s="289" t="s">
        <v>101</v>
      </c>
      <c r="B1" s="289"/>
      <c r="C1" s="289"/>
      <c r="D1" s="289"/>
      <c r="E1" s="289"/>
      <c r="F1" s="289"/>
      <c r="G1" s="289"/>
      <c r="H1" s="289"/>
      <c r="I1" s="289"/>
      <c r="J1" s="289"/>
    </row>
    <row r="2" spans="1:14" ht="67.900000000000006" customHeight="1">
      <c r="A2" s="284" t="s">
        <v>102</v>
      </c>
      <c r="B2" s="285"/>
      <c r="C2" s="285"/>
      <c r="D2" s="285"/>
      <c r="E2" s="285"/>
      <c r="F2" s="285"/>
      <c r="G2" s="285"/>
      <c r="H2" s="285"/>
      <c r="I2" s="285"/>
      <c r="J2" s="285"/>
      <c r="L2" s="279" t="s">
        <v>218</v>
      </c>
      <c r="M2" s="280"/>
      <c r="N2" s="280"/>
    </row>
    <row r="3" spans="1:14" s="7" customFormat="1" ht="46.15" customHeight="1">
      <c r="A3" s="2" t="s">
        <v>100</v>
      </c>
      <c r="B3" s="3" t="s">
        <v>18</v>
      </c>
      <c r="C3" s="4" t="s">
        <v>20</v>
      </c>
      <c r="D3" s="4" t="s">
        <v>22</v>
      </c>
      <c r="E3" s="4" t="s">
        <v>21</v>
      </c>
      <c r="F3" s="4" t="s">
        <v>19</v>
      </c>
      <c r="G3" s="4" t="s">
        <v>23</v>
      </c>
      <c r="H3" s="4" t="s">
        <v>33</v>
      </c>
      <c r="I3" s="5" t="s">
        <v>91</v>
      </c>
      <c r="J3" s="6" t="s">
        <v>90</v>
      </c>
      <c r="L3" s="7" t="s">
        <v>215</v>
      </c>
      <c r="M3" s="7" t="s">
        <v>216</v>
      </c>
      <c r="N3" s="7" t="s">
        <v>217</v>
      </c>
    </row>
    <row r="4" spans="1:14" s="12" customFormat="1">
      <c r="A4" s="290">
        <v>1</v>
      </c>
      <c r="B4" s="8" t="s">
        <v>0</v>
      </c>
      <c r="C4" s="9">
        <v>29.5</v>
      </c>
      <c r="D4" s="9">
        <v>1.1000000000000001</v>
      </c>
      <c r="E4" s="9">
        <v>4.5999999999999996</v>
      </c>
      <c r="F4" s="9">
        <v>53.8</v>
      </c>
      <c r="G4" s="9">
        <v>0.7</v>
      </c>
      <c r="H4" s="9">
        <v>1.8476000000000004</v>
      </c>
      <c r="I4" s="10">
        <v>72.644999999999996</v>
      </c>
      <c r="J4" s="11">
        <v>3.3811026893429812</v>
      </c>
      <c r="L4" s="229">
        <f>ROUND('1'!N31,3)</f>
        <v>0.159</v>
      </c>
      <c r="M4" s="229">
        <f>ROUND('1'!O31,3)</f>
        <v>1.4999999999999999E-2</v>
      </c>
      <c r="N4" s="229">
        <f>ROUND('1'!P31,3)</f>
        <v>0.82599999999999996</v>
      </c>
    </row>
    <row r="5" spans="1:14" s="12" customFormat="1">
      <c r="A5" s="291"/>
      <c r="B5" s="13" t="s">
        <v>1</v>
      </c>
      <c r="C5" s="14">
        <v>20.7</v>
      </c>
      <c r="D5" s="14">
        <v>10.199999999999999</v>
      </c>
      <c r="E5" s="14">
        <v>7.1</v>
      </c>
      <c r="F5" s="14">
        <v>51.4</v>
      </c>
      <c r="G5" s="14">
        <v>3</v>
      </c>
      <c r="H5" s="14">
        <v>1.2554000000000001</v>
      </c>
      <c r="I5" s="15">
        <v>78.064999999999998</v>
      </c>
      <c r="J5" s="16">
        <v>3.0941235348453744</v>
      </c>
      <c r="L5" s="229">
        <f>ROUND('1'!N32,3)</f>
        <v>0.16300000000000001</v>
      </c>
      <c r="M5" s="229">
        <f>ROUND('1'!O32,3)</f>
        <v>0.154</v>
      </c>
      <c r="N5" s="229">
        <f>ROUND('1'!P32,3)</f>
        <v>0.68200000000000005</v>
      </c>
    </row>
    <row r="6" spans="1:14" s="12" customFormat="1">
      <c r="A6" s="291"/>
      <c r="B6" s="13" t="s">
        <v>2</v>
      </c>
      <c r="C6" s="14">
        <v>17.8</v>
      </c>
      <c r="D6" s="14">
        <v>10.6</v>
      </c>
      <c r="E6" s="14">
        <v>7.6</v>
      </c>
      <c r="F6" s="14">
        <v>55.3</v>
      </c>
      <c r="G6" s="14">
        <v>2.2999999999999998</v>
      </c>
      <c r="H6" s="14">
        <v>1.0238</v>
      </c>
      <c r="I6" s="15">
        <v>73.289999999999992</v>
      </c>
      <c r="J6" s="16">
        <v>3.1131742841900842</v>
      </c>
      <c r="L6" s="229">
        <f>ROUND('1'!N33,3)</f>
        <v>0.127</v>
      </c>
      <c r="M6" s="229">
        <f>ROUND('1'!O33,3)</f>
        <v>0.16600000000000001</v>
      </c>
      <c r="N6" s="229">
        <f>ROUND('1'!P33,3)</f>
        <v>0.70799999999999996</v>
      </c>
    </row>
    <row r="7" spans="1:14" s="12" customFormat="1">
      <c r="A7" s="291"/>
      <c r="B7" s="13" t="s">
        <v>3</v>
      </c>
      <c r="C7" s="14">
        <v>22.8</v>
      </c>
      <c r="D7" s="14">
        <v>11.9</v>
      </c>
      <c r="E7" s="14">
        <v>3.8</v>
      </c>
      <c r="F7" s="14">
        <v>51.6</v>
      </c>
      <c r="G7" s="14">
        <v>2</v>
      </c>
      <c r="H7" s="14">
        <v>0.72640000000000016</v>
      </c>
      <c r="I7" s="15">
        <v>73.805999999999997</v>
      </c>
      <c r="J7" s="16">
        <v>3.0871438947981007</v>
      </c>
      <c r="L7" s="229">
        <f>ROUND('1'!N34,3)</f>
        <v>0.124</v>
      </c>
      <c r="M7" s="229">
        <f>ROUND('1'!O34,3)</f>
        <v>0.192</v>
      </c>
      <c r="N7" s="229">
        <f>ROUND('1'!P34,3)</f>
        <v>0.68300000000000005</v>
      </c>
    </row>
    <row r="8" spans="1:14" s="12" customFormat="1">
      <c r="A8" s="291"/>
      <c r="B8" s="13" t="s">
        <v>4</v>
      </c>
      <c r="C8" s="14">
        <v>21.6</v>
      </c>
      <c r="D8" s="14">
        <v>13.6</v>
      </c>
      <c r="E8" s="14">
        <v>4.3</v>
      </c>
      <c r="F8" s="14">
        <v>42.9</v>
      </c>
      <c r="G8" s="14">
        <v>2.5</v>
      </c>
      <c r="H8" s="14">
        <v>8.3631999999999991</v>
      </c>
      <c r="I8" s="15">
        <v>84.903000000000006</v>
      </c>
      <c r="J8" s="16">
        <v>2.971018654024816</v>
      </c>
      <c r="L8" s="229">
        <f>ROUND('1'!N35,3)</f>
        <v>0.185</v>
      </c>
      <c r="M8" s="229">
        <f>ROUND('1'!O35,3)</f>
        <v>0.21</v>
      </c>
      <c r="N8" s="229">
        <f>ROUND('1'!P35,3)</f>
        <v>0.60599999999999998</v>
      </c>
    </row>
    <row r="9" spans="1:14" s="12" customFormat="1">
      <c r="A9" s="291"/>
      <c r="B9" s="13" t="s">
        <v>5</v>
      </c>
      <c r="C9" s="14">
        <v>18.100000000000001</v>
      </c>
      <c r="D9" s="14">
        <v>14.5</v>
      </c>
      <c r="E9" s="14">
        <v>7.8</v>
      </c>
      <c r="F9" s="14">
        <v>49.9</v>
      </c>
      <c r="G9" s="14">
        <v>2.8</v>
      </c>
      <c r="H9" s="14">
        <v>0.8922000000000001</v>
      </c>
      <c r="I9" s="15">
        <v>71.870999999999995</v>
      </c>
      <c r="J9" s="16">
        <v>3.0424338898581289</v>
      </c>
      <c r="L9" s="229">
        <f>ROUND('1'!N36,3)</f>
        <v>0.121</v>
      </c>
      <c r="M9" s="229">
        <f>ROUND('1'!O36,3)</f>
        <v>0.20499999999999999</v>
      </c>
      <c r="N9" s="229">
        <f>ROUND('1'!P36,3)</f>
        <v>0.67400000000000004</v>
      </c>
    </row>
    <row r="10" spans="1:14" s="12" customFormat="1">
      <c r="A10" s="291"/>
      <c r="B10" s="13" t="s">
        <v>6</v>
      </c>
      <c r="C10" s="14">
        <v>21</v>
      </c>
      <c r="D10" s="14">
        <v>15.3</v>
      </c>
      <c r="E10" s="14">
        <v>5.0999999999999996</v>
      </c>
      <c r="F10" s="14">
        <v>45.7</v>
      </c>
      <c r="G10" s="14">
        <v>3.6</v>
      </c>
      <c r="H10" s="14">
        <v>1.3264</v>
      </c>
      <c r="I10" s="15">
        <v>77.031999999999996</v>
      </c>
      <c r="J10" s="16">
        <v>2.969744993840564</v>
      </c>
      <c r="L10" s="229">
        <f>ROUND('1'!N37,3)</f>
        <v>0.16</v>
      </c>
      <c r="M10" s="229">
        <f>ROUND('1'!O37,3)</f>
        <v>0.22</v>
      </c>
      <c r="N10" s="229">
        <f>ROUND('1'!P37,3)</f>
        <v>0.62</v>
      </c>
    </row>
    <row r="11" spans="1:14" s="12" customFormat="1">
      <c r="A11" s="291"/>
      <c r="B11" s="13" t="s">
        <v>7</v>
      </c>
      <c r="C11" s="14">
        <v>19.2</v>
      </c>
      <c r="D11" s="14">
        <v>17.2</v>
      </c>
      <c r="E11" s="14">
        <v>5.5</v>
      </c>
      <c r="F11" s="14">
        <v>34.9</v>
      </c>
      <c r="G11" s="14">
        <v>3.5</v>
      </c>
      <c r="H11" s="14">
        <v>8.6631999999999998</v>
      </c>
      <c r="I11" s="15">
        <v>86.710000000000008</v>
      </c>
      <c r="J11" s="16">
        <v>2.8713870832321842</v>
      </c>
      <c r="L11" s="229">
        <f>ROUND('1'!N38,3)</f>
        <v>0.17499999999999999</v>
      </c>
      <c r="M11" s="229">
        <f>ROUND('1'!O38,3)</f>
        <v>0.27600000000000002</v>
      </c>
      <c r="N11" s="229">
        <f>ROUND('1'!P38,3)</f>
        <v>0.55000000000000004</v>
      </c>
    </row>
    <row r="12" spans="1:14" s="12" customFormat="1">
      <c r="A12" s="291"/>
      <c r="B12" s="13" t="s">
        <v>8</v>
      </c>
      <c r="C12" s="14">
        <v>18.899999999999999</v>
      </c>
      <c r="D12" s="14">
        <v>21</v>
      </c>
      <c r="E12" s="14">
        <v>6.5</v>
      </c>
      <c r="F12" s="14">
        <v>37.4</v>
      </c>
      <c r="G12" s="14">
        <v>4.3</v>
      </c>
      <c r="H12" s="14">
        <v>1.4632000000000001</v>
      </c>
      <c r="I12" s="15">
        <v>74.710000000000008</v>
      </c>
      <c r="J12" s="16">
        <v>2.8594945145428921</v>
      </c>
      <c r="L12" s="229">
        <f>ROUND('1'!N39,3)</f>
        <v>0.14799999999999999</v>
      </c>
      <c r="M12" s="229">
        <f>ROUND('1'!O39,3)</f>
        <v>0.28199999999999997</v>
      </c>
      <c r="N12" s="229">
        <f>ROUND('1'!P39,3)</f>
        <v>0.57099999999999995</v>
      </c>
    </row>
    <row r="13" spans="1:14" s="12" customFormat="1">
      <c r="A13" s="291"/>
      <c r="B13" s="13" t="s">
        <v>9</v>
      </c>
      <c r="C13" s="14">
        <v>19.3</v>
      </c>
      <c r="D13" s="14">
        <v>22.9</v>
      </c>
      <c r="E13" s="14">
        <v>6.4</v>
      </c>
      <c r="F13" s="14">
        <v>33.9</v>
      </c>
      <c r="G13" s="14">
        <v>4.5999999999999996</v>
      </c>
      <c r="H13" s="14">
        <v>1.3974</v>
      </c>
      <c r="I13" s="15">
        <v>68</v>
      </c>
      <c r="J13" s="16">
        <v>2.7340926647610901</v>
      </c>
      <c r="L13" s="229">
        <f>ROUND('1'!N40,3)</f>
        <v>0.158</v>
      </c>
      <c r="M13" s="229">
        <f>ROUND('1'!O40,3)</f>
        <v>0.32300000000000001</v>
      </c>
      <c r="N13" s="229">
        <f>ROUND('1'!P40,3)</f>
        <v>0.51900000000000002</v>
      </c>
    </row>
    <row r="14" spans="1:14" s="12" customFormat="1">
      <c r="A14" s="291"/>
      <c r="B14" s="13" t="s">
        <v>10</v>
      </c>
      <c r="C14" s="14">
        <v>18.399999999999999</v>
      </c>
      <c r="D14" s="14">
        <v>23.1</v>
      </c>
      <c r="E14" s="14">
        <v>6.6</v>
      </c>
      <c r="F14" s="14">
        <v>34.4</v>
      </c>
      <c r="G14" s="14">
        <v>4.5999999999999996</v>
      </c>
      <c r="H14" s="14">
        <v>1.4632000000000001</v>
      </c>
      <c r="I14" s="15">
        <v>65.548000000000002</v>
      </c>
      <c r="J14" s="16">
        <v>2.8059506962299996</v>
      </c>
      <c r="L14" s="229">
        <f>ROUND('1'!N41,3)</f>
        <v>0.14699999999999999</v>
      </c>
      <c r="M14" s="229">
        <f>ROUND('1'!O41,3)</f>
        <v>0.307</v>
      </c>
      <c r="N14" s="229">
        <f>ROUND('1'!P41,3)</f>
        <v>0.54600000000000004</v>
      </c>
    </row>
    <row r="15" spans="1:14" s="12" customFormat="1">
      <c r="A15" s="291"/>
      <c r="B15" s="13" t="s">
        <v>11</v>
      </c>
      <c r="C15" s="14">
        <v>19.399999999999999</v>
      </c>
      <c r="D15" s="14">
        <v>24.3</v>
      </c>
      <c r="E15" s="14">
        <v>6</v>
      </c>
      <c r="F15" s="14">
        <v>33.5</v>
      </c>
      <c r="G15" s="14">
        <v>5.4</v>
      </c>
      <c r="H15" s="14">
        <v>1.3974</v>
      </c>
      <c r="I15" s="15">
        <v>69.935000000000002</v>
      </c>
      <c r="J15" s="16">
        <v>2.6722177988935139</v>
      </c>
      <c r="L15" s="229">
        <f>ROUND('1'!N42,3)</f>
        <v>0.156</v>
      </c>
      <c r="M15" s="229">
        <f>ROUND('1'!O42,3)</f>
        <v>0.33500000000000002</v>
      </c>
      <c r="N15" s="229">
        <f>ROUND('1'!P42,3)</f>
        <v>0.50900000000000001</v>
      </c>
    </row>
    <row r="16" spans="1:14" s="12" customFormat="1">
      <c r="A16" s="291"/>
      <c r="B16" s="13" t="s">
        <v>12</v>
      </c>
      <c r="C16" s="14">
        <v>18.600000000000001</v>
      </c>
      <c r="D16" s="14">
        <v>24.7</v>
      </c>
      <c r="E16" s="14">
        <v>6.4</v>
      </c>
      <c r="F16" s="14">
        <v>31.8</v>
      </c>
      <c r="G16" s="14">
        <v>4.4000000000000004</v>
      </c>
      <c r="H16" s="14">
        <v>1.2974000000000001</v>
      </c>
      <c r="I16" s="15">
        <v>72.129000000000005</v>
      </c>
      <c r="J16" s="16">
        <v>2.6888777680965426</v>
      </c>
      <c r="L16" s="229">
        <f>ROUND('1'!N43,3)</f>
        <v>0.151</v>
      </c>
      <c r="M16" s="229">
        <f>ROUND('1'!O43,3)</f>
        <v>0.35299999999999998</v>
      </c>
      <c r="N16" s="229">
        <f>ROUND('1'!P43,3)</f>
        <v>0.497</v>
      </c>
    </row>
    <row r="17" spans="1:14" s="12" customFormat="1">
      <c r="A17" s="291"/>
      <c r="B17" s="13" t="s">
        <v>13</v>
      </c>
      <c r="C17" s="14">
        <v>19.3</v>
      </c>
      <c r="D17" s="14">
        <v>25.4</v>
      </c>
      <c r="E17" s="14">
        <v>6</v>
      </c>
      <c r="F17" s="14">
        <v>32.5</v>
      </c>
      <c r="G17" s="14">
        <v>4.4000000000000004</v>
      </c>
      <c r="H17" s="14">
        <v>1.2316</v>
      </c>
      <c r="I17" s="15">
        <v>77.548000000000002</v>
      </c>
      <c r="J17" s="16">
        <v>2.6342035061144542</v>
      </c>
      <c r="L17" s="229">
        <f>ROUND('1'!N44,3)</f>
        <v>0.155</v>
      </c>
      <c r="M17" s="229">
        <f>ROUND('1'!O44,3)</f>
        <v>0.36299999999999999</v>
      </c>
      <c r="N17" s="229">
        <f>ROUND('1'!P44,3)</f>
        <v>0.48099999999999998</v>
      </c>
    </row>
    <row r="18" spans="1:14" s="12" customFormat="1">
      <c r="A18" s="291"/>
      <c r="B18" s="13" t="s">
        <v>14</v>
      </c>
      <c r="C18" s="14">
        <v>19.5</v>
      </c>
      <c r="D18" s="14">
        <v>25.5</v>
      </c>
      <c r="E18" s="14">
        <v>5.6</v>
      </c>
      <c r="F18" s="14">
        <v>30.8</v>
      </c>
      <c r="G18" s="14">
        <v>4.5</v>
      </c>
      <c r="H18" s="14">
        <v>1.3974</v>
      </c>
      <c r="I18" s="15">
        <v>75.742000000000004</v>
      </c>
      <c r="J18" s="16">
        <v>2.6429628811011399</v>
      </c>
      <c r="L18" s="229">
        <f>ROUND('1'!N45,3)</f>
        <v>0.16300000000000001</v>
      </c>
      <c r="M18" s="229">
        <f>ROUND('1'!O45,3)</f>
        <v>0.36599999999999999</v>
      </c>
      <c r="N18" s="229">
        <f>ROUND('1'!P45,3)</f>
        <v>0.47099999999999997</v>
      </c>
    </row>
    <row r="19" spans="1:14" s="12" customFormat="1">
      <c r="A19" s="291"/>
      <c r="B19" s="13" t="s">
        <v>15</v>
      </c>
      <c r="C19" s="14">
        <v>17.2</v>
      </c>
      <c r="D19" s="14">
        <v>25.8</v>
      </c>
      <c r="E19" s="14">
        <v>5.8</v>
      </c>
      <c r="F19" s="14">
        <v>32</v>
      </c>
      <c r="G19" s="14">
        <v>6.1</v>
      </c>
      <c r="H19" s="14">
        <v>1.4974000000000001</v>
      </c>
      <c r="I19" s="15">
        <v>68.387</v>
      </c>
      <c r="J19" s="16">
        <v>2.5916324245409452</v>
      </c>
      <c r="L19" s="229">
        <f>ROUND('1'!N46,3)</f>
        <v>0.14199999999999999</v>
      </c>
      <c r="M19" s="229">
        <f>ROUND('1'!O46,3)</f>
        <v>0.38600000000000001</v>
      </c>
      <c r="N19" s="229">
        <f>ROUND('1'!P46,3)</f>
        <v>0.47099999999999997</v>
      </c>
    </row>
    <row r="20" spans="1:14" s="12" customFormat="1">
      <c r="A20" s="291"/>
      <c r="B20" s="13" t="s">
        <v>16</v>
      </c>
      <c r="C20" s="14">
        <v>17.3</v>
      </c>
      <c r="D20" s="14">
        <v>26.6</v>
      </c>
      <c r="E20" s="14">
        <v>5.8</v>
      </c>
      <c r="F20" s="14">
        <v>30.9</v>
      </c>
      <c r="G20" s="14">
        <v>7.8</v>
      </c>
      <c r="H20" s="14">
        <v>1.5315999999999999</v>
      </c>
      <c r="I20" s="15">
        <v>49.031999999999996</v>
      </c>
      <c r="J20" s="16">
        <v>2.4992907668395832</v>
      </c>
      <c r="L20" s="229">
        <f>ROUND('1'!N47,3)</f>
        <v>0.14000000000000001</v>
      </c>
      <c r="M20" s="229">
        <f>ROUND('1'!O47,3)</f>
        <v>0.41</v>
      </c>
      <c r="N20" s="229">
        <f>ROUND('1'!P47,3)</f>
        <v>0.45100000000000001</v>
      </c>
    </row>
    <row r="21" spans="1:14" s="12" customFormat="1">
      <c r="A21" s="292"/>
      <c r="B21" s="17" t="s">
        <v>17</v>
      </c>
      <c r="C21" s="18">
        <v>17.100000000000001</v>
      </c>
      <c r="D21" s="18">
        <v>29.2</v>
      </c>
      <c r="E21" s="18">
        <v>5.8</v>
      </c>
      <c r="F21" s="18">
        <v>27.1</v>
      </c>
      <c r="G21" s="18">
        <v>6.2</v>
      </c>
      <c r="H21" s="18">
        <v>1.2316</v>
      </c>
      <c r="I21" s="19">
        <v>57.935000000000002</v>
      </c>
      <c r="J21" s="20">
        <v>2.614180288706049</v>
      </c>
      <c r="L21" s="229">
        <f>ROUND('1'!N48,3)</f>
        <v>0.13600000000000001</v>
      </c>
      <c r="M21" s="229">
        <f>ROUND('1'!O48,3)</f>
        <v>0.41099999999999998</v>
      </c>
      <c r="N21" s="229">
        <f>ROUND('1'!P48,3)</f>
        <v>0.45300000000000001</v>
      </c>
    </row>
    <row r="22" spans="1:14">
      <c r="A22" s="281">
        <v>2</v>
      </c>
      <c r="B22" s="21" t="s">
        <v>24</v>
      </c>
      <c r="C22" s="9">
        <v>30.3</v>
      </c>
      <c r="D22" s="9">
        <v>0.5</v>
      </c>
      <c r="E22" s="9">
        <v>4.5999999999999996</v>
      </c>
      <c r="F22" s="9">
        <v>58.8</v>
      </c>
      <c r="G22" s="9">
        <v>1.4269575866251432</v>
      </c>
      <c r="H22" s="9">
        <v>1.1000000000000001</v>
      </c>
      <c r="I22" s="10">
        <v>70.7</v>
      </c>
      <c r="J22" s="11">
        <v>3.1718049204584133</v>
      </c>
      <c r="L22" s="138">
        <f>ROUND('2'!N18,3)</f>
        <v>0.27500000000000002</v>
      </c>
      <c r="M22" s="138">
        <f>ROUND('2'!O18,3)</f>
        <v>6.0000000000000001E-3</v>
      </c>
      <c r="N22" s="138">
        <f>ROUND('2'!P18,3)</f>
        <v>0.71799999999999997</v>
      </c>
    </row>
    <row r="23" spans="1:14">
      <c r="A23" s="283"/>
      <c r="B23" s="1" t="s">
        <v>25</v>
      </c>
      <c r="C23" s="14">
        <v>31</v>
      </c>
      <c r="D23" s="14">
        <v>0.9</v>
      </c>
      <c r="E23" s="14">
        <v>4.5999999999999996</v>
      </c>
      <c r="F23" s="14">
        <v>58.4</v>
      </c>
      <c r="G23" s="14">
        <v>1.2144319886171386</v>
      </c>
      <c r="H23" s="14">
        <v>1.1000000000000001</v>
      </c>
      <c r="I23" s="15">
        <v>65.8</v>
      </c>
      <c r="J23" s="16">
        <v>3.1653109765785743</v>
      </c>
      <c r="L23" s="138">
        <f>ROUND('2'!N19,3)</f>
        <v>0.27500000000000002</v>
      </c>
      <c r="M23" s="138">
        <f>ROUND('2'!O19,3)</f>
        <v>0.01</v>
      </c>
      <c r="N23" s="138">
        <f>ROUND('2'!P19,3)</f>
        <v>0.71499999999999997</v>
      </c>
    </row>
    <row r="24" spans="1:14">
      <c r="A24" s="283"/>
      <c r="B24" s="1" t="s">
        <v>26</v>
      </c>
      <c r="C24" s="14">
        <v>30.5</v>
      </c>
      <c r="D24" s="14">
        <v>0.7</v>
      </c>
      <c r="E24" s="14">
        <v>3.8</v>
      </c>
      <c r="F24" s="14">
        <v>56.6</v>
      </c>
      <c r="G24" s="14">
        <v>2.1859775795108503</v>
      </c>
      <c r="H24" s="14">
        <v>1.2</v>
      </c>
      <c r="I24" s="15">
        <v>72.599999999999994</v>
      </c>
      <c r="J24" s="16">
        <v>3.1578935563380983</v>
      </c>
      <c r="L24" s="138">
        <f>ROUND('2'!N20,3)</f>
        <v>0.28199999999999997</v>
      </c>
      <c r="M24" s="138">
        <f>ROUND('2'!O20,3)</f>
        <v>8.9999999999999993E-3</v>
      </c>
      <c r="N24" s="138">
        <f>ROUND('2'!P20,3)</f>
        <v>0.70899999999999996</v>
      </c>
    </row>
    <row r="25" spans="1:14">
      <c r="A25" s="283"/>
      <c r="B25" s="1" t="s">
        <v>27</v>
      </c>
      <c r="C25" s="14">
        <v>31.1</v>
      </c>
      <c r="D25" s="14">
        <v>1.3</v>
      </c>
      <c r="E25" s="14">
        <v>4.5</v>
      </c>
      <c r="F25" s="14">
        <v>55.7</v>
      </c>
      <c r="G25" s="14">
        <v>1.9430911817874235</v>
      </c>
      <c r="H25" s="14">
        <v>1</v>
      </c>
      <c r="I25" s="15">
        <v>73.3</v>
      </c>
      <c r="J25" s="16">
        <v>3.140478656447931</v>
      </c>
      <c r="L25" s="138">
        <f>ROUND('2'!N21,3)</f>
        <v>0.28299999999999997</v>
      </c>
      <c r="M25" s="138">
        <f>ROUND('2'!O21,3)</f>
        <v>1.7000000000000001E-2</v>
      </c>
      <c r="N25" s="138">
        <f>ROUND('2'!P21,3)</f>
        <v>0.7</v>
      </c>
    </row>
    <row r="26" spans="1:14">
      <c r="A26" s="283"/>
      <c r="B26" s="1" t="s">
        <v>28</v>
      </c>
      <c r="C26" s="14">
        <v>29.8</v>
      </c>
      <c r="D26" s="14">
        <v>1.3</v>
      </c>
      <c r="E26" s="14">
        <v>5.8</v>
      </c>
      <c r="F26" s="14">
        <v>57.9</v>
      </c>
      <c r="G26" s="14">
        <v>1.2751535880479965</v>
      </c>
      <c r="H26" s="14">
        <v>1</v>
      </c>
      <c r="I26" s="15">
        <v>71.900000000000006</v>
      </c>
      <c r="J26" s="16">
        <v>3.1743433370997836</v>
      </c>
      <c r="L26" s="138">
        <f>ROUND('2'!N22,3)</f>
        <v>0.26300000000000001</v>
      </c>
      <c r="M26" s="138">
        <f>ROUND('2'!O22,3)</f>
        <v>1.6E-2</v>
      </c>
      <c r="N26" s="138">
        <f>ROUND('2'!P22,3)</f>
        <v>0.72099999999999997</v>
      </c>
    </row>
    <row r="27" spans="1:14">
      <c r="A27" s="283"/>
      <c r="B27" s="1" t="s">
        <v>29</v>
      </c>
      <c r="C27" s="14">
        <v>25</v>
      </c>
      <c r="D27" s="14">
        <v>1.2</v>
      </c>
      <c r="E27" s="14">
        <v>3.5</v>
      </c>
      <c r="F27" s="14">
        <v>58</v>
      </c>
      <c r="G27" s="14">
        <v>3.4611311675588423</v>
      </c>
      <c r="H27" s="14">
        <v>0.9</v>
      </c>
      <c r="I27" s="15">
        <v>78</v>
      </c>
      <c r="J27" s="16">
        <v>3.2666910198642674</v>
      </c>
      <c r="L27" s="138">
        <f>ROUND('2'!N23,3)</f>
        <v>0.21099999999999999</v>
      </c>
      <c r="M27" s="138">
        <f>ROUND('2'!O23,3)</f>
        <v>1.6E-2</v>
      </c>
      <c r="N27" s="138">
        <f>ROUND('2'!P23,3)</f>
        <v>0.77300000000000002</v>
      </c>
    </row>
    <row r="28" spans="1:14">
      <c r="A28" s="283"/>
      <c r="B28" s="1" t="s">
        <v>30</v>
      </c>
      <c r="C28" s="14">
        <v>20.100000000000001</v>
      </c>
      <c r="D28" s="14">
        <v>4.5</v>
      </c>
      <c r="E28" s="14">
        <v>10.199999999999999</v>
      </c>
      <c r="F28" s="14">
        <v>51</v>
      </c>
      <c r="G28" s="14">
        <v>3.4004095681279889</v>
      </c>
      <c r="H28" s="14">
        <v>3</v>
      </c>
      <c r="I28" s="15">
        <v>73.3</v>
      </c>
      <c r="J28" s="16">
        <v>3.1519933071990582</v>
      </c>
      <c r="L28" s="138">
        <f>ROUND('2'!N24,3)</f>
        <v>0.159</v>
      </c>
      <c r="M28" s="138">
        <f>ROUND('2'!O24,3)</f>
        <v>6.5000000000000002E-2</v>
      </c>
      <c r="N28" s="138">
        <f>ROUND('2'!P24,3)</f>
        <v>0.77600000000000002</v>
      </c>
    </row>
    <row r="29" spans="1:14">
      <c r="A29" s="283"/>
      <c r="B29" s="1" t="s">
        <v>31</v>
      </c>
      <c r="C29" s="14">
        <v>23</v>
      </c>
      <c r="D29" s="14">
        <v>9.6</v>
      </c>
      <c r="E29" s="14">
        <v>3.2</v>
      </c>
      <c r="F29" s="14">
        <v>55.7</v>
      </c>
      <c r="G29" s="14">
        <v>1.6394831846331388</v>
      </c>
      <c r="H29" s="14">
        <v>3.1</v>
      </c>
      <c r="I29" s="15">
        <v>90.6</v>
      </c>
      <c r="J29" s="16">
        <v>3.1647860231080513</v>
      </c>
      <c r="L29" s="138">
        <f>ROUND('2'!N25,3)</f>
        <v>0.17199999999999999</v>
      </c>
      <c r="M29" s="138">
        <f>ROUND('2'!O25,3)</f>
        <v>0.13200000000000001</v>
      </c>
      <c r="N29" s="138">
        <f>ROUND('2'!P25,3)</f>
        <v>0.69599999999999995</v>
      </c>
    </row>
    <row r="30" spans="1:14">
      <c r="A30" s="282"/>
      <c r="B30" s="22" t="s">
        <v>32</v>
      </c>
      <c r="C30" s="18">
        <v>24</v>
      </c>
      <c r="D30" s="18">
        <v>9.4</v>
      </c>
      <c r="E30" s="18">
        <v>4.4000000000000004</v>
      </c>
      <c r="F30" s="18">
        <v>51.6</v>
      </c>
      <c r="G30" s="18">
        <v>2.0038127812182771</v>
      </c>
      <c r="H30" s="18">
        <v>4</v>
      </c>
      <c r="I30" s="19">
        <v>92.5</v>
      </c>
      <c r="J30" s="20">
        <v>3.1476573795506124</v>
      </c>
      <c r="L30" s="138">
        <f>ROUND('2'!N26,3)</f>
        <v>0.188</v>
      </c>
      <c r="M30" s="138">
        <f>ROUND('2'!O26,3)</f>
        <v>0.13200000000000001</v>
      </c>
      <c r="N30" s="138">
        <f>ROUND('2'!P26,3)</f>
        <v>0.68</v>
      </c>
    </row>
    <row r="31" spans="1:14" s="23" customFormat="1">
      <c r="A31" s="281">
        <v>3</v>
      </c>
      <c r="B31" s="21" t="s">
        <v>222</v>
      </c>
      <c r="C31" s="9">
        <v>30.2</v>
      </c>
      <c r="D31" s="9">
        <v>4.9000000000000004</v>
      </c>
      <c r="E31" s="9">
        <v>5.0999999999999996</v>
      </c>
      <c r="F31" s="9">
        <v>48.6</v>
      </c>
      <c r="G31" s="9">
        <v>1</v>
      </c>
      <c r="H31" s="9">
        <v>1.4528000000000001</v>
      </c>
      <c r="I31" s="10">
        <v>60</v>
      </c>
      <c r="J31" s="11">
        <f>ROUND('3'!R18,2)</f>
        <v>3.34</v>
      </c>
      <c r="L31" s="138">
        <f>ROUND('3'!N18,3)</f>
        <v>0.106</v>
      </c>
      <c r="M31" s="138">
        <f>ROUND('3'!O18,3)</f>
        <v>7.0999999999999994E-2</v>
      </c>
      <c r="N31" s="138">
        <f>ROUND('3'!P18,3)</f>
        <v>0.82299999999999995</v>
      </c>
    </row>
    <row r="32" spans="1:14" s="23" customFormat="1">
      <c r="A32" s="282"/>
      <c r="B32" s="1" t="s">
        <v>223</v>
      </c>
      <c r="C32" s="14">
        <v>23.7</v>
      </c>
      <c r="D32" s="14">
        <v>2.2000000000000002</v>
      </c>
      <c r="E32" s="14">
        <v>9</v>
      </c>
      <c r="F32" s="14">
        <v>54.4</v>
      </c>
      <c r="G32" s="14">
        <v>1.4</v>
      </c>
      <c r="H32" s="14">
        <v>1.6160000000000001</v>
      </c>
      <c r="I32" s="15">
        <v>74</v>
      </c>
      <c r="J32" s="11">
        <f>ROUND('3'!R19,2)</f>
        <v>3.32</v>
      </c>
      <c r="L32" s="138">
        <f>ROUND('3'!N19,3)</f>
        <v>0.154</v>
      </c>
      <c r="M32" s="138">
        <f>ROUND('3'!O19,3)</f>
        <v>3.2000000000000001E-2</v>
      </c>
      <c r="N32" s="138">
        <f>ROUND('3'!P19,3)</f>
        <v>0.81399999999999995</v>
      </c>
    </row>
    <row r="33" spans="1:14" s="23" customFormat="1">
      <c r="A33" s="281">
        <v>4</v>
      </c>
      <c r="B33" s="21" t="s">
        <v>34</v>
      </c>
      <c r="C33" s="9">
        <v>21.6</v>
      </c>
      <c r="D33" s="9">
        <v>12.3</v>
      </c>
      <c r="E33" s="9">
        <v>4.2</v>
      </c>
      <c r="F33" s="9">
        <v>47.7</v>
      </c>
      <c r="G33" s="9">
        <v>2.7</v>
      </c>
      <c r="H33" s="9">
        <v>2.4922</v>
      </c>
      <c r="I33" s="10">
        <v>88.3</v>
      </c>
      <c r="J33" s="11">
        <v>3.048932075840693</v>
      </c>
      <c r="L33" s="23">
        <f>ROUND('4'!N16,3)</f>
        <v>0.16800000000000001</v>
      </c>
      <c r="M33" s="23">
        <f>ROUND('4'!O16,3)</f>
        <v>0.19400000000000001</v>
      </c>
      <c r="N33" s="23">
        <f>ROUND('4'!P16,3)</f>
        <v>0.63800000000000001</v>
      </c>
    </row>
    <row r="34" spans="1:14" s="23" customFormat="1">
      <c r="A34" s="283"/>
      <c r="B34" s="1" t="s">
        <v>35</v>
      </c>
      <c r="C34" s="14">
        <v>30.5</v>
      </c>
      <c r="D34" s="14">
        <v>1.2</v>
      </c>
      <c r="E34" s="14">
        <v>4.5999999999999996</v>
      </c>
      <c r="F34" s="14">
        <v>55.8</v>
      </c>
      <c r="G34" s="14">
        <v>0.7</v>
      </c>
      <c r="H34" s="14">
        <v>1.8133999999999999</v>
      </c>
      <c r="I34" s="15">
        <v>78.7</v>
      </c>
      <c r="J34" s="16">
        <v>3.0742733792797696</v>
      </c>
      <c r="L34" s="23">
        <f>ROUND('4'!N17,3)</f>
        <v>0.13600000000000001</v>
      </c>
      <c r="M34" s="23">
        <f>ROUND('4'!O17,3)</f>
        <v>0.20799999999999999</v>
      </c>
      <c r="N34" s="23">
        <f>ROUND('4'!P17,3)</f>
        <v>0.65600000000000003</v>
      </c>
    </row>
    <row r="35" spans="1:14" s="23" customFormat="1">
      <c r="A35" s="283"/>
      <c r="B35" s="1" t="s">
        <v>36</v>
      </c>
      <c r="C35" s="14">
        <v>18.399999999999999</v>
      </c>
      <c r="D35" s="14">
        <v>14.1</v>
      </c>
      <c r="E35" s="14">
        <v>7.9</v>
      </c>
      <c r="F35" s="14">
        <v>48.4</v>
      </c>
      <c r="G35" s="14">
        <v>2.2000000000000002</v>
      </c>
      <c r="H35" s="14">
        <v>1.3238000000000001</v>
      </c>
      <c r="I35" s="15">
        <v>76.400000000000006</v>
      </c>
      <c r="J35" s="16">
        <v>3.3725201987018951</v>
      </c>
      <c r="L35" s="23">
        <f>ROUND('4'!N18,3)</f>
        <v>0.16700000000000001</v>
      </c>
      <c r="M35" s="23">
        <f>ROUND('4'!O18,3)</f>
        <v>1.7999999999999999E-2</v>
      </c>
      <c r="N35" s="23">
        <f>ROUND('4'!P18,3)</f>
        <v>0.81499999999999995</v>
      </c>
    </row>
    <row r="36" spans="1:14">
      <c r="A36" s="283"/>
      <c r="B36" s="1" t="s">
        <v>37</v>
      </c>
      <c r="C36" s="14">
        <v>16.399999999999999</v>
      </c>
      <c r="D36" s="14">
        <v>11.2</v>
      </c>
      <c r="E36" s="14">
        <v>6</v>
      </c>
      <c r="F36" s="14">
        <v>54.1</v>
      </c>
      <c r="G36" s="14">
        <v>4.0999999999999996</v>
      </c>
      <c r="H36" s="14">
        <v>2.4501999999999997</v>
      </c>
      <c r="I36" s="15">
        <v>87.2</v>
      </c>
      <c r="J36" s="16">
        <v>3.1379502418543304</v>
      </c>
      <c r="L36" s="23">
        <f>ROUND('4'!N19,3)</f>
        <v>0.128</v>
      </c>
      <c r="M36" s="23">
        <f>ROUND('4'!O19,3)</f>
        <v>0.17299999999999999</v>
      </c>
      <c r="N36" s="23">
        <f>ROUND('4'!P19,3)</f>
        <v>0.69799999999999995</v>
      </c>
    </row>
    <row r="37" spans="1:14">
      <c r="A37" s="283"/>
      <c r="B37" s="1" t="s">
        <v>38</v>
      </c>
      <c r="C37" s="14">
        <v>21</v>
      </c>
      <c r="D37" s="14">
        <v>12.8</v>
      </c>
      <c r="E37" s="14">
        <v>4.9000000000000004</v>
      </c>
      <c r="F37" s="14">
        <v>48.2</v>
      </c>
      <c r="G37" s="14">
        <v>3.4</v>
      </c>
      <c r="H37" s="14">
        <v>2.2896000000000001</v>
      </c>
      <c r="I37" s="15">
        <v>84.8</v>
      </c>
      <c r="J37" s="16">
        <v>2.994248436673514</v>
      </c>
      <c r="L37" s="23">
        <f>ROUND('4'!N20,3)</f>
        <v>0.17</v>
      </c>
      <c r="M37" s="23">
        <f>ROUND('4'!O20,3)</f>
        <v>0.222</v>
      </c>
      <c r="N37" s="23">
        <f>ROUND('4'!P20,3)</f>
        <v>0.60799999999999998</v>
      </c>
    </row>
    <row r="38" spans="1:14">
      <c r="A38" s="283"/>
      <c r="B38" s="1" t="s">
        <v>39</v>
      </c>
      <c r="C38" s="14">
        <v>25.1</v>
      </c>
      <c r="D38" s="14">
        <v>5.6</v>
      </c>
      <c r="E38" s="14">
        <v>5.6</v>
      </c>
      <c r="F38" s="14">
        <v>59.4</v>
      </c>
      <c r="G38" s="14">
        <v>0.9</v>
      </c>
      <c r="H38" s="14">
        <v>0.8580000000000001</v>
      </c>
      <c r="I38" s="15">
        <v>61.4</v>
      </c>
      <c r="J38" s="16">
        <v>3.3036889921198149</v>
      </c>
      <c r="L38" s="23">
        <f>ROUND('4'!N21,3)</f>
        <v>0.112</v>
      </c>
      <c r="M38" s="23">
        <f>ROUND('4'!O21,3)</f>
        <v>0.1</v>
      </c>
      <c r="N38" s="23">
        <f>ROUND('4'!P21,3)</f>
        <v>0.78700000000000003</v>
      </c>
    </row>
    <row r="39" spans="1:14">
      <c r="A39" s="283"/>
      <c r="B39" s="1" t="s">
        <v>40</v>
      </c>
      <c r="C39" s="14">
        <v>17.8</v>
      </c>
      <c r="D39" s="14">
        <v>10.7</v>
      </c>
      <c r="E39" s="14">
        <v>7.7</v>
      </c>
      <c r="F39" s="14">
        <v>54.1</v>
      </c>
      <c r="G39" s="14">
        <v>2.2999999999999998</v>
      </c>
      <c r="H39" s="14">
        <v>1.4212</v>
      </c>
      <c r="I39" s="15">
        <v>80.5</v>
      </c>
      <c r="J39" s="16">
        <v>3.0868412131331509</v>
      </c>
      <c r="L39" s="23">
        <f>ROUND('4'!N22,3)</f>
        <v>0.156</v>
      </c>
      <c r="M39" s="23">
        <f>ROUND('4'!O22,3)</f>
        <v>0.185</v>
      </c>
      <c r="N39" s="23">
        <f>ROUND('4'!P22,3)</f>
        <v>0.65900000000000003</v>
      </c>
    </row>
    <row r="40" spans="1:14">
      <c r="A40" s="282"/>
      <c r="B40" s="22" t="s">
        <v>41</v>
      </c>
      <c r="C40" s="18">
        <v>19.899999999999999</v>
      </c>
      <c r="D40" s="18">
        <v>9.4</v>
      </c>
      <c r="E40" s="18">
        <v>8.6999999999999993</v>
      </c>
      <c r="F40" s="18">
        <v>54.8</v>
      </c>
      <c r="G40" s="18">
        <v>2.4</v>
      </c>
      <c r="H40" s="18">
        <v>1.3238000000000001</v>
      </c>
      <c r="I40" s="19">
        <v>77.900000000000006</v>
      </c>
      <c r="J40" s="20">
        <v>3.1206344070633474</v>
      </c>
      <c r="L40" s="23">
        <f>ROUND('4'!N23,3)</f>
        <v>0.159</v>
      </c>
      <c r="M40" s="23">
        <f>ROUND('4'!O23,3)</f>
        <v>0.16400000000000001</v>
      </c>
      <c r="N40" s="23">
        <f>ROUND('4'!P23,3)</f>
        <v>0.67700000000000005</v>
      </c>
    </row>
    <row r="41" spans="1:14">
      <c r="A41" s="214" t="s">
        <v>225</v>
      </c>
      <c r="B41" s="21" t="s">
        <v>42</v>
      </c>
      <c r="C41" s="9">
        <v>27.21</v>
      </c>
      <c r="D41" s="9">
        <v>1.26</v>
      </c>
      <c r="E41" s="9">
        <v>7.98</v>
      </c>
      <c r="F41" s="9">
        <v>55.28</v>
      </c>
      <c r="G41" s="9">
        <v>1.23</v>
      </c>
      <c r="H41" s="9">
        <v>2.46</v>
      </c>
      <c r="I41" s="10">
        <v>67.5</v>
      </c>
      <c r="J41" s="11">
        <v>3.3547387557618151</v>
      </c>
      <c r="L41" s="138">
        <f>ROUND('5'!N16,3)</f>
        <v>0.16600000000000001</v>
      </c>
      <c r="M41" s="138">
        <f>ROUND('5'!O16,3)</f>
        <v>1.7000000000000001E-2</v>
      </c>
      <c r="N41" s="138">
        <f>ROUND('5'!P16,3)</f>
        <v>0.81599999999999995</v>
      </c>
    </row>
    <row r="42" spans="1:14">
      <c r="A42" s="281" t="s">
        <v>92</v>
      </c>
      <c r="B42" s="21" t="s">
        <v>43</v>
      </c>
      <c r="C42" s="9">
        <v>17.399999999999999</v>
      </c>
      <c r="D42" s="9">
        <v>26.45</v>
      </c>
      <c r="E42" s="9">
        <v>7.15</v>
      </c>
      <c r="F42" s="9">
        <v>35.44</v>
      </c>
      <c r="G42" s="9">
        <v>5.73</v>
      </c>
      <c r="H42" s="9">
        <v>2.2487399999999997</v>
      </c>
      <c r="I42" s="10">
        <v>55</v>
      </c>
      <c r="J42" s="11">
        <v>2.7619854376116524</v>
      </c>
      <c r="L42" s="138">
        <f>ROUND('6'!N27,3)</f>
        <v>0.159</v>
      </c>
      <c r="M42" s="138">
        <f>ROUND('6'!O27,3)</f>
        <v>0.30199999999999999</v>
      </c>
      <c r="N42" s="138">
        <f>ROUND('6'!P27,3)</f>
        <v>0.53900000000000003</v>
      </c>
    </row>
    <row r="43" spans="1:14">
      <c r="A43" s="283"/>
      <c r="B43" s="1" t="s">
        <v>44</v>
      </c>
      <c r="C43" s="14">
        <v>18.03</v>
      </c>
      <c r="D43" s="14">
        <v>25.9</v>
      </c>
      <c r="E43" s="14">
        <v>6.02</v>
      </c>
      <c r="F43" s="14">
        <v>36.08</v>
      </c>
      <c r="G43" s="14">
        <v>5.24</v>
      </c>
      <c r="H43" s="14">
        <v>2.1626799999999999</v>
      </c>
      <c r="I43" s="15">
        <v>57</v>
      </c>
      <c r="J43" s="16">
        <v>2.7575113798619535</v>
      </c>
      <c r="L43" s="138">
        <f>ROUND('6'!N28,3)</f>
        <v>0.16800000000000001</v>
      </c>
      <c r="M43" s="138">
        <f>ROUND('6'!O28,3)</f>
        <v>0.28599999999999998</v>
      </c>
      <c r="N43" s="138">
        <f>ROUND('6'!P28,3)</f>
        <v>0.54600000000000004</v>
      </c>
    </row>
    <row r="44" spans="1:14">
      <c r="A44" s="283"/>
      <c r="B44" s="1" t="s">
        <v>45</v>
      </c>
      <c r="C44" s="14">
        <v>20.440000000000001</v>
      </c>
      <c r="D44" s="14">
        <v>21.35</v>
      </c>
      <c r="E44" s="14">
        <v>6.29</v>
      </c>
      <c r="F44" s="14">
        <v>40.08</v>
      </c>
      <c r="G44" s="14">
        <v>4.5599999999999996</v>
      </c>
      <c r="H44" s="14">
        <v>1.9271799999999999</v>
      </c>
      <c r="I44" s="15">
        <v>59</v>
      </c>
      <c r="J44" s="16">
        <v>2.9598169190297012</v>
      </c>
      <c r="L44" s="138">
        <f>ROUND('6'!N29,3)</f>
        <v>0.188</v>
      </c>
      <c r="M44" s="138">
        <f>ROUND('6'!O29,3)</f>
        <v>0.184</v>
      </c>
      <c r="N44" s="138">
        <f>ROUND('6'!P29,3)</f>
        <v>0.629</v>
      </c>
    </row>
    <row r="45" spans="1:14">
      <c r="A45" s="283"/>
      <c r="B45" s="1" t="s">
        <v>46</v>
      </c>
      <c r="C45" s="14">
        <v>15.77</v>
      </c>
      <c r="D45" s="14">
        <v>15.05</v>
      </c>
      <c r="E45" s="14">
        <v>6.28</v>
      </c>
      <c r="F45" s="14">
        <v>50.75</v>
      </c>
      <c r="G45" s="14">
        <v>4.57</v>
      </c>
      <c r="H45" s="14">
        <v>4.6981200000000003</v>
      </c>
      <c r="I45" s="15">
        <v>83</v>
      </c>
      <c r="J45" s="16">
        <v>3.0817671755050515</v>
      </c>
      <c r="L45" s="138">
        <f>ROUND('6'!N30,3)</f>
        <v>0.114</v>
      </c>
      <c r="M45" s="138">
        <f>ROUND('6'!O30,3)</f>
        <v>0.20799999999999999</v>
      </c>
      <c r="N45" s="138">
        <f>ROUND('6'!P30,3)</f>
        <v>0.67800000000000005</v>
      </c>
    </row>
    <row r="46" spans="1:14">
      <c r="A46" s="283"/>
      <c r="B46" s="1" t="s">
        <v>47</v>
      </c>
      <c r="C46" s="14">
        <v>20.45</v>
      </c>
      <c r="D46" s="14">
        <v>12.71</v>
      </c>
      <c r="E46" s="14">
        <v>5.62</v>
      </c>
      <c r="F46" s="14">
        <v>53.97</v>
      </c>
      <c r="G46" s="14">
        <v>2.84</v>
      </c>
      <c r="H46" s="14">
        <v>1.3003800000000001</v>
      </c>
      <c r="I46" s="15">
        <v>75</v>
      </c>
      <c r="J46" s="16">
        <v>2.9957281588511706</v>
      </c>
      <c r="L46" s="138">
        <f>ROUND('6'!N31,3)</f>
        <v>0.155</v>
      </c>
      <c r="M46" s="138">
        <f>ROUND('6'!O31,3)</f>
        <v>0.16</v>
      </c>
      <c r="N46" s="138">
        <f>ROUND('6'!P31,3)</f>
        <v>0.68400000000000005</v>
      </c>
    </row>
    <row r="47" spans="1:14">
      <c r="A47" s="283"/>
      <c r="B47" s="1" t="s">
        <v>48</v>
      </c>
      <c r="C47" s="14">
        <v>22.85</v>
      </c>
      <c r="D47" s="14">
        <v>5.2</v>
      </c>
      <c r="E47" s="14">
        <v>4.47</v>
      </c>
      <c r="F47" s="14">
        <v>60.48</v>
      </c>
      <c r="G47" s="14">
        <v>1.19</v>
      </c>
      <c r="H47" s="14">
        <v>3.0019800000000001</v>
      </c>
      <c r="I47" s="15">
        <v>71</v>
      </c>
      <c r="J47" s="16">
        <v>3.2386801978733013</v>
      </c>
      <c r="L47" s="138">
        <f>ROUND('6'!N32,3)</f>
        <v>0.151</v>
      </c>
      <c r="M47" s="138">
        <f>ROUND('6'!O32,3)</f>
        <v>6.5000000000000002E-2</v>
      </c>
      <c r="N47" s="138">
        <f>ROUND('6'!P32,3)</f>
        <v>0.78400000000000003</v>
      </c>
    </row>
    <row r="48" spans="1:14">
      <c r="A48" s="282"/>
      <c r="B48" s="22" t="s">
        <v>49</v>
      </c>
      <c r="C48" s="18">
        <v>27.71</v>
      </c>
      <c r="D48" s="18">
        <v>1.64</v>
      </c>
      <c r="E48" s="18">
        <v>6.35</v>
      </c>
      <c r="F48" s="18">
        <v>57.98</v>
      </c>
      <c r="G48" s="18">
        <v>1.07</v>
      </c>
      <c r="H48" s="18">
        <v>2.2700200000000001</v>
      </c>
      <c r="I48" s="19">
        <v>63</v>
      </c>
      <c r="J48" s="20">
        <v>3.3449931791693239</v>
      </c>
      <c r="L48" s="138">
        <f>ROUND('6'!N33,3)</f>
        <v>0.14799999999999999</v>
      </c>
      <c r="M48" s="138">
        <f>ROUND('6'!O33,3)</f>
        <v>2.1000000000000001E-2</v>
      </c>
      <c r="N48" s="138">
        <f>ROUND('6'!P33,3)</f>
        <v>0.83099999999999996</v>
      </c>
    </row>
    <row r="49" spans="1:14">
      <c r="A49" s="24" t="s">
        <v>94</v>
      </c>
      <c r="B49" s="25" t="s">
        <v>64</v>
      </c>
      <c r="C49" s="26">
        <v>20.419999999999998</v>
      </c>
      <c r="D49" s="26">
        <v>9.9</v>
      </c>
      <c r="E49" s="26">
        <v>8.18</v>
      </c>
      <c r="F49" s="26">
        <v>55.110000000000007</v>
      </c>
      <c r="G49" s="26">
        <v>2.7199999999999998</v>
      </c>
      <c r="H49" s="26">
        <v>1.46</v>
      </c>
      <c r="I49" s="27">
        <v>77.3</v>
      </c>
      <c r="J49" s="28">
        <v>3.0703398169423055</v>
      </c>
      <c r="L49" s="138">
        <f>ROUND('7'!N17,3)</f>
        <v>0.16300000000000001</v>
      </c>
      <c r="M49" s="138">
        <f>ROUND('7'!O17,3)</f>
        <v>0.14599999999999999</v>
      </c>
      <c r="N49" s="138">
        <f>ROUND('7'!P17,3)</f>
        <v>0.69099999999999995</v>
      </c>
    </row>
    <row r="50" spans="1:14">
      <c r="A50" s="281" t="s">
        <v>93</v>
      </c>
      <c r="B50" s="107" t="s">
        <v>51</v>
      </c>
      <c r="C50" s="108">
        <v>19.8</v>
      </c>
      <c r="D50" s="108">
        <v>20.7</v>
      </c>
      <c r="E50" s="108">
        <v>8.1999999999999993</v>
      </c>
      <c r="F50" s="108">
        <v>42.3</v>
      </c>
      <c r="G50" s="108">
        <v>2.2000000000000002</v>
      </c>
      <c r="H50" s="109">
        <v>1.2870000000000001</v>
      </c>
      <c r="I50" s="110">
        <v>89.7</v>
      </c>
      <c r="J50" s="111">
        <v>2.9777650399941882</v>
      </c>
      <c r="L50" s="138">
        <f>ROUND('8'!N26,3)</f>
        <v>0.159</v>
      </c>
      <c r="M50" s="138">
        <f>ROUND('8'!O26,3)</f>
        <v>0.26100000000000001</v>
      </c>
      <c r="N50" s="138">
        <f>ROUND('8'!P26,3)</f>
        <v>0.57999999999999996</v>
      </c>
    </row>
    <row r="51" spans="1:14">
      <c r="A51" s="283"/>
      <c r="B51" s="112" t="s">
        <v>52</v>
      </c>
      <c r="C51" s="113">
        <v>18.2</v>
      </c>
      <c r="D51" s="113">
        <v>26.5</v>
      </c>
      <c r="E51" s="113">
        <v>6.4</v>
      </c>
      <c r="F51" s="113">
        <v>33.6</v>
      </c>
      <c r="G51" s="113">
        <v>6.4</v>
      </c>
      <c r="H51" s="114">
        <v>2.1631999999999998</v>
      </c>
      <c r="I51" s="115">
        <v>85.9</v>
      </c>
      <c r="J51" s="116">
        <v>2.6802958783333795</v>
      </c>
      <c r="L51" s="138">
        <f>ROUND('8'!N27,3)</f>
        <v>0.14499999999999999</v>
      </c>
      <c r="M51" s="138">
        <f>ROUND('8'!O27,3)</f>
        <v>0.36899999999999999</v>
      </c>
      <c r="N51" s="138">
        <f>ROUND('8'!P27,3)</f>
        <v>0.48599999999999999</v>
      </c>
    </row>
    <row r="52" spans="1:14">
      <c r="A52" s="283"/>
      <c r="B52" s="112" t="s">
        <v>53</v>
      </c>
      <c r="C52" s="113">
        <v>18</v>
      </c>
      <c r="D52" s="113">
        <v>27.5</v>
      </c>
      <c r="E52" s="113">
        <v>5.7</v>
      </c>
      <c r="F52" s="113">
        <v>33.700000000000003</v>
      </c>
      <c r="G52" s="113">
        <v>6.2</v>
      </c>
      <c r="H52" s="114">
        <v>2.3632</v>
      </c>
      <c r="I52" s="115">
        <v>75.099999999999994</v>
      </c>
      <c r="J52" s="116">
        <v>2.7565767093660769</v>
      </c>
      <c r="L52" s="138">
        <f>ROUND('8'!N28,3)</f>
        <v>0.14000000000000001</v>
      </c>
      <c r="M52" s="138">
        <f>ROUND('8'!O28,3)</f>
        <v>0.34</v>
      </c>
      <c r="N52" s="138">
        <f>ROUND('8'!P28,3)</f>
        <v>0.52</v>
      </c>
    </row>
    <row r="53" spans="1:14" ht="14.25" customHeight="1">
      <c r="A53" s="282"/>
      <c r="B53" s="112" t="s">
        <v>54</v>
      </c>
      <c r="C53" s="113">
        <v>23.3</v>
      </c>
      <c r="D53" s="113">
        <v>1.6</v>
      </c>
      <c r="E53" s="113">
        <v>6.5</v>
      </c>
      <c r="F53" s="113">
        <v>59.7</v>
      </c>
      <c r="G53" s="113">
        <v>1</v>
      </c>
      <c r="H53" s="114">
        <v>1.8160000000000001</v>
      </c>
      <c r="I53" s="115">
        <v>71.7</v>
      </c>
      <c r="J53" s="116">
        <v>3.3836184544496457</v>
      </c>
      <c r="L53" s="138">
        <f>ROUND('8'!N29,3)</f>
        <v>0.14099999999999999</v>
      </c>
      <c r="M53" s="138">
        <f>ROUND('8'!O29,3)</f>
        <v>2.1000000000000001E-2</v>
      </c>
      <c r="N53" s="138">
        <f>ROUND('8'!P29,3)</f>
        <v>0.83699999999999997</v>
      </c>
    </row>
    <row r="54" spans="1:14">
      <c r="A54" s="219" t="s">
        <v>230</v>
      </c>
      <c r="B54" s="215" t="s">
        <v>56</v>
      </c>
      <c r="C54" s="26">
        <v>20.420000000000002</v>
      </c>
      <c r="D54" s="26">
        <v>9.9</v>
      </c>
      <c r="E54" s="26">
        <v>8.18</v>
      </c>
      <c r="F54" s="26">
        <v>55.11</v>
      </c>
      <c r="G54" s="26">
        <v>2.72</v>
      </c>
      <c r="H54" s="26">
        <v>0</v>
      </c>
      <c r="I54" s="27">
        <v>77</v>
      </c>
      <c r="J54" s="28">
        <v>3.06624557977407</v>
      </c>
      <c r="L54" s="138">
        <f>ROUND('9'!N22,3)</f>
        <v>0.159</v>
      </c>
      <c r="M54" s="138">
        <f>ROUND('9'!O22,3)</f>
        <v>0.16</v>
      </c>
      <c r="N54" s="138">
        <f>ROUND('9'!P22,3)</f>
        <v>0.68</v>
      </c>
    </row>
    <row r="55" spans="1:14">
      <c r="A55" s="281" t="s">
        <v>95</v>
      </c>
      <c r="B55" s="21" t="s">
        <v>59</v>
      </c>
      <c r="C55" s="29">
        <v>19.8</v>
      </c>
      <c r="D55" s="29">
        <v>20.7</v>
      </c>
      <c r="E55" s="29">
        <v>8.1999999999999993</v>
      </c>
      <c r="F55" s="29">
        <v>42.3</v>
      </c>
      <c r="G55" s="29">
        <v>2.2000000000000002</v>
      </c>
      <c r="H55" s="9">
        <v>1.2870000000000001</v>
      </c>
      <c r="I55" s="10">
        <v>87.2</v>
      </c>
      <c r="J55" s="11">
        <v>3.0011211877894368</v>
      </c>
      <c r="L55" s="138">
        <f>ROUND('11'!N26,3)</f>
        <v>0.16200000000000001</v>
      </c>
      <c r="M55" s="138">
        <f>ROUND('11'!O26,3)</f>
        <v>0.249</v>
      </c>
      <c r="N55" s="138">
        <f>ROUND('11'!P26,3)</f>
        <v>0.58899999999999997</v>
      </c>
    </row>
    <row r="56" spans="1:14">
      <c r="A56" s="282"/>
      <c r="B56" s="22" t="s">
        <v>60</v>
      </c>
      <c r="C56" s="30">
        <v>24.4</v>
      </c>
      <c r="D56" s="30">
        <v>0.1</v>
      </c>
      <c r="E56" s="30">
        <v>2.2000000000000002</v>
      </c>
      <c r="F56" s="30">
        <v>70.8</v>
      </c>
      <c r="G56" s="30">
        <v>0.2</v>
      </c>
      <c r="H56" s="18">
        <v>0.49480000000000002</v>
      </c>
      <c r="I56" s="19">
        <v>65.8</v>
      </c>
      <c r="J56" s="20">
        <v>3.4827850804192444</v>
      </c>
      <c r="L56" s="138">
        <f>ROUND('11'!N27,3)</f>
        <v>0.10199999999999999</v>
      </c>
      <c r="M56" s="138">
        <f>ROUND('11'!O27,3)</f>
        <v>1E-3</v>
      </c>
      <c r="N56" s="138">
        <f>ROUND('11'!P27,3)</f>
        <v>0.89700000000000002</v>
      </c>
    </row>
    <row r="57" spans="1:14">
      <c r="A57" s="281" t="s">
        <v>99</v>
      </c>
      <c r="B57" s="21" t="s">
        <v>50</v>
      </c>
      <c r="C57" s="9">
        <v>28.31</v>
      </c>
      <c r="D57" s="9">
        <v>1.98</v>
      </c>
      <c r="E57" s="9">
        <v>5</v>
      </c>
      <c r="F57" s="9">
        <v>59.31</v>
      </c>
      <c r="G57" s="9">
        <v>0.42</v>
      </c>
      <c r="H57" s="9">
        <v>1.73054</v>
      </c>
      <c r="I57" s="10">
        <v>27.4</v>
      </c>
      <c r="J57" s="11">
        <v>3.0938836273795576</v>
      </c>
      <c r="L57" s="138">
        <f>ROUND('12'!M16,3)</f>
        <v>0.23100000000000001</v>
      </c>
      <c r="M57" s="138">
        <f>ROUND('12'!N16,3)</f>
        <v>0.129</v>
      </c>
      <c r="N57" s="138">
        <f>ROUND('12'!O16,3)</f>
        <v>0.64</v>
      </c>
    </row>
    <row r="58" spans="1:14">
      <c r="A58" s="283"/>
      <c r="B58" s="1" t="s">
        <v>61</v>
      </c>
      <c r="C58" s="14">
        <v>26.97</v>
      </c>
      <c r="D58" s="14">
        <v>3.51</v>
      </c>
      <c r="E58" s="14">
        <v>6.13</v>
      </c>
      <c r="F58" s="14">
        <v>56.92</v>
      </c>
      <c r="G58" s="14">
        <v>0.78</v>
      </c>
      <c r="H58" s="14">
        <v>1.8226600000000002</v>
      </c>
      <c r="I58" s="15">
        <v>36.1</v>
      </c>
      <c r="J58" s="16">
        <v>2.9125889954319106</v>
      </c>
      <c r="L58" s="138">
        <f>ROUND('12'!M17,3)</f>
        <v>0.314</v>
      </c>
      <c r="M58" s="138">
        <f>ROUND('12'!N17,3)</f>
        <v>0.17199999999999999</v>
      </c>
      <c r="N58" s="138">
        <f>ROUND('12'!O17,3)</f>
        <v>0.51400000000000001</v>
      </c>
    </row>
    <row r="59" spans="1:14">
      <c r="A59" s="283"/>
      <c r="B59" s="1" t="s">
        <v>62</v>
      </c>
      <c r="C59" s="14">
        <v>28.71</v>
      </c>
      <c r="D59" s="14">
        <v>2.88</v>
      </c>
      <c r="E59" s="14">
        <v>7.9</v>
      </c>
      <c r="F59" s="14">
        <v>54.32</v>
      </c>
      <c r="G59" s="14">
        <v>0.56000000000000005</v>
      </c>
      <c r="H59" s="14">
        <v>1.73054</v>
      </c>
      <c r="I59" s="15">
        <v>26.6</v>
      </c>
      <c r="J59" s="16">
        <v>3.0545631198714811</v>
      </c>
      <c r="L59" s="138">
        <f>ROUND('12'!M18,3)</f>
        <v>0.152</v>
      </c>
      <c r="M59" s="138">
        <f>ROUND('12'!N18,3)</f>
        <v>0.20599999999999999</v>
      </c>
      <c r="N59" s="138">
        <f>ROUND('12'!O18,3)</f>
        <v>0.64200000000000002</v>
      </c>
    </row>
    <row r="60" spans="1:14">
      <c r="A60" s="282"/>
      <c r="B60" s="22" t="s">
        <v>63</v>
      </c>
      <c r="C60" s="18">
        <v>25.06</v>
      </c>
      <c r="D60" s="18">
        <v>2.9</v>
      </c>
      <c r="E60" s="18">
        <v>7.62</v>
      </c>
      <c r="F60" s="18">
        <v>58.64</v>
      </c>
      <c r="G60" s="18">
        <v>0.88</v>
      </c>
      <c r="H60" s="18">
        <v>1.5594600000000001</v>
      </c>
      <c r="I60" s="19">
        <v>36.9</v>
      </c>
      <c r="J60" s="20">
        <v>3.1006259790088762</v>
      </c>
      <c r="L60" s="138">
        <f>ROUND('12'!M19,3)</f>
        <v>0.215</v>
      </c>
      <c r="M60" s="138">
        <f>ROUND('12'!N19,3)</f>
        <v>0.13700000000000001</v>
      </c>
      <c r="N60" s="138">
        <f>ROUND('12'!O19,3)</f>
        <v>0.64800000000000002</v>
      </c>
    </row>
    <row r="61" spans="1:14">
      <c r="A61" s="281" t="s">
        <v>97</v>
      </c>
      <c r="B61" s="155">
        <v>1</v>
      </c>
      <c r="C61" s="9">
        <v>20.399999999999999</v>
      </c>
      <c r="D61" s="9">
        <v>16</v>
      </c>
      <c r="E61" s="9">
        <v>4.2</v>
      </c>
      <c r="F61" s="9">
        <v>51.9</v>
      </c>
      <c r="G61" s="9">
        <v>3.8</v>
      </c>
      <c r="H61" s="9">
        <v>1.6264000000000003</v>
      </c>
      <c r="I61" s="10">
        <v>50.05</v>
      </c>
      <c r="J61" s="11">
        <v>2.5889181714056533</v>
      </c>
      <c r="L61" s="138">
        <f>ROUND('13'!N24,3)</f>
        <v>0.20399999999999999</v>
      </c>
      <c r="M61" s="138">
        <f>ROUND('13'!O24,3)</f>
        <v>0.23100000000000001</v>
      </c>
      <c r="N61" s="138">
        <f>ROUND('13'!P24,3)</f>
        <v>0.56499999999999995</v>
      </c>
    </row>
    <row r="62" spans="1:14">
      <c r="A62" s="283"/>
      <c r="B62" s="156">
        <v>2</v>
      </c>
      <c r="C62" s="14">
        <v>21</v>
      </c>
      <c r="D62" s="14">
        <v>14.3</v>
      </c>
      <c r="E62" s="14">
        <v>5.0999999999999996</v>
      </c>
      <c r="F62" s="14">
        <v>56.5</v>
      </c>
      <c r="G62" s="14">
        <v>3.7</v>
      </c>
      <c r="H62" s="14">
        <v>1.8896000000000002</v>
      </c>
      <c r="I62" s="15">
        <v>48.28</v>
      </c>
      <c r="J62" s="16">
        <v>2.7533990861366315</v>
      </c>
      <c r="L62" s="138">
        <f>ROUND('13'!N25,3)</f>
        <v>0.183</v>
      </c>
      <c r="M62" s="138">
        <f>ROUND('13'!O25,3)</f>
        <v>0.21099999999999999</v>
      </c>
      <c r="N62" s="138">
        <f>ROUND('13'!P25,3)</f>
        <v>0.60499999999999998</v>
      </c>
    </row>
    <row r="63" spans="1:14">
      <c r="A63" s="283"/>
      <c r="B63" s="156">
        <v>3</v>
      </c>
      <c r="C63" s="14">
        <v>25.2</v>
      </c>
      <c r="D63" s="14">
        <v>8.3000000000000007</v>
      </c>
      <c r="E63" s="14">
        <v>5</v>
      </c>
      <c r="F63" s="14">
        <v>64.8</v>
      </c>
      <c r="G63" s="14">
        <v>2</v>
      </c>
      <c r="H63" s="14">
        <v>1.1554</v>
      </c>
      <c r="I63" s="15">
        <v>61.46</v>
      </c>
      <c r="J63" s="16">
        <v>3.1232765698123699</v>
      </c>
      <c r="L63" s="138">
        <f>ROUND('13'!N26,3)</f>
        <v>0.152</v>
      </c>
      <c r="M63" s="138">
        <f>ROUND('13'!O26,3)</f>
        <v>0.14099999999999999</v>
      </c>
      <c r="N63" s="138">
        <f>ROUND('13'!P26,3)</f>
        <v>0.70699999999999996</v>
      </c>
    </row>
    <row r="64" spans="1:14">
      <c r="A64" s="283"/>
      <c r="B64" s="156">
        <v>6</v>
      </c>
      <c r="C64" s="14">
        <v>22.1</v>
      </c>
      <c r="D64" s="14">
        <v>23.1</v>
      </c>
      <c r="E64" s="14">
        <v>5.0999999999999996</v>
      </c>
      <c r="F64" s="14">
        <v>36.4</v>
      </c>
      <c r="G64" s="14">
        <v>4.0999999999999996</v>
      </c>
      <c r="H64" s="14">
        <v>2.0289999999999999</v>
      </c>
      <c r="I64" s="15">
        <v>56</v>
      </c>
      <c r="J64" s="16">
        <v>2.567983963910923</v>
      </c>
      <c r="L64" s="138">
        <f>ROUND('13'!N27,3)</f>
        <v>0.20899999999999999</v>
      </c>
      <c r="M64" s="138">
        <f>ROUND('13'!O27,3)</f>
        <v>0.31</v>
      </c>
      <c r="N64" s="138">
        <f>ROUND('13'!P27,3)</f>
        <v>0.48099999999999998</v>
      </c>
    </row>
    <row r="65" spans="1:14">
      <c r="A65" s="282"/>
      <c r="B65" s="157">
        <v>7</v>
      </c>
      <c r="C65" s="18">
        <v>18.8</v>
      </c>
      <c r="D65" s="18">
        <v>27.7</v>
      </c>
      <c r="E65" s="18">
        <v>5.4</v>
      </c>
      <c r="F65" s="18">
        <v>36</v>
      </c>
      <c r="G65" s="18">
        <v>6.3</v>
      </c>
      <c r="H65" s="18">
        <v>2.3974000000000002</v>
      </c>
      <c r="I65" s="19">
        <v>35</v>
      </c>
      <c r="J65" s="20">
        <v>2.5373261899113166</v>
      </c>
      <c r="L65" s="138">
        <f>ROUND('13'!N28,3)</f>
        <v>0.17599999999999999</v>
      </c>
      <c r="M65" s="138">
        <f>ROUND('13'!O28,3)</f>
        <v>0.35099999999999998</v>
      </c>
      <c r="N65" s="138">
        <f>ROUND('13'!P28,3)</f>
        <v>0.47299999999999998</v>
      </c>
    </row>
    <row r="66" spans="1:14">
      <c r="A66" s="281" t="s">
        <v>98</v>
      </c>
      <c r="B66" s="31" t="s">
        <v>63</v>
      </c>
      <c r="C66" s="9">
        <v>27.13</v>
      </c>
      <c r="D66" s="9">
        <v>2.74</v>
      </c>
      <c r="E66" s="9">
        <v>7.28</v>
      </c>
      <c r="F66" s="9">
        <v>55.45</v>
      </c>
      <c r="G66" s="9">
        <v>1.2</v>
      </c>
      <c r="H66" s="9">
        <v>3.4279000000000002</v>
      </c>
      <c r="I66" s="10">
        <v>54.940000000000005</v>
      </c>
      <c r="J66" s="11">
        <v>3.1331070994909043</v>
      </c>
      <c r="L66" s="138">
        <f>ROUND('14'!N17,3)</f>
        <v>0.17799999999999999</v>
      </c>
      <c r="M66" s="138">
        <f>ROUND('14'!O17,3)</f>
        <v>3.5000000000000003E-2</v>
      </c>
      <c r="N66" s="138">
        <f>ROUND('14'!P17,3)</f>
        <v>0.78800000000000003</v>
      </c>
    </row>
    <row r="67" spans="1:14">
      <c r="A67" s="283"/>
      <c r="B67" s="32" t="s">
        <v>57</v>
      </c>
      <c r="C67" s="14">
        <v>29.71</v>
      </c>
      <c r="D67" s="14">
        <v>1.36</v>
      </c>
      <c r="E67" s="14">
        <v>6.33</v>
      </c>
      <c r="F67" s="14">
        <v>55.17</v>
      </c>
      <c r="G67" s="14">
        <v>0.7</v>
      </c>
      <c r="H67" s="14">
        <v>2.2322799999999998</v>
      </c>
      <c r="I67" s="15">
        <v>44.52</v>
      </c>
      <c r="J67" s="16">
        <v>3.2295993146077753</v>
      </c>
      <c r="L67" s="138">
        <f>ROUND('14'!N18,3)</f>
        <v>0.112</v>
      </c>
      <c r="M67" s="138">
        <f>ROUND('14'!O18,3)</f>
        <v>1.7000000000000001E-2</v>
      </c>
      <c r="N67" s="138">
        <f>ROUND('14'!P18,3)</f>
        <v>0.872</v>
      </c>
    </row>
    <row r="68" spans="1:14">
      <c r="A68" s="283"/>
      <c r="B68" s="32" t="s">
        <v>62</v>
      </c>
      <c r="C68" s="14">
        <v>31.4</v>
      </c>
      <c r="D68" s="14">
        <v>3.8</v>
      </c>
      <c r="E68" s="14">
        <v>7.85</v>
      </c>
      <c r="F68" s="14">
        <v>48.81</v>
      </c>
      <c r="G68" s="14">
        <v>0.7</v>
      </c>
      <c r="H68" s="14">
        <v>2.0401600000000002</v>
      </c>
      <c r="I68" s="15">
        <v>35.17</v>
      </c>
      <c r="J68" s="16">
        <v>3.0196951905214564</v>
      </c>
      <c r="L68" s="138">
        <f>ROUND('14'!N19,3)</f>
        <v>6.0999999999999999E-2</v>
      </c>
      <c r="M68" s="138">
        <f>ROUND('14'!O19,3)</f>
        <v>4.4999999999999998E-2</v>
      </c>
      <c r="N68" s="138">
        <f>ROUND('14'!P19,3)</f>
        <v>0.89400000000000002</v>
      </c>
    </row>
    <row r="69" spans="1:14">
      <c r="A69" s="283"/>
      <c r="B69" s="32" t="s">
        <v>61</v>
      </c>
      <c r="C69" s="14">
        <v>26.46</v>
      </c>
      <c r="D69" s="14">
        <v>3.97</v>
      </c>
      <c r="E69" s="14">
        <v>7.17</v>
      </c>
      <c r="F69" s="14">
        <v>54.55</v>
      </c>
      <c r="G69" s="14">
        <v>1.17</v>
      </c>
      <c r="H69" s="14">
        <v>3.3152600000000003</v>
      </c>
      <c r="I69" s="15">
        <v>53.62</v>
      </c>
      <c r="J69" s="16">
        <v>3.0783421379478577</v>
      </c>
      <c r="L69" s="138">
        <f>ROUND('14'!N20,3)</f>
        <v>0.16400000000000001</v>
      </c>
      <c r="M69" s="138">
        <f>ROUND('14'!O20,3)</f>
        <v>5.0999999999999997E-2</v>
      </c>
      <c r="N69" s="138">
        <f>ROUND('14'!P20,3)</f>
        <v>0.78500000000000003</v>
      </c>
    </row>
    <row r="70" spans="1:14">
      <c r="A70" s="283"/>
      <c r="B70" s="32" t="s">
        <v>65</v>
      </c>
      <c r="C70" s="14">
        <v>29.42</v>
      </c>
      <c r="D70" s="14">
        <v>1.63</v>
      </c>
      <c r="E70" s="14">
        <v>5.86</v>
      </c>
      <c r="F70" s="14">
        <v>56.23</v>
      </c>
      <c r="G70" s="14">
        <v>0.8</v>
      </c>
      <c r="H70" s="14">
        <v>2.5104600000000001</v>
      </c>
      <c r="I70" s="15">
        <v>45.569999999999993</v>
      </c>
      <c r="J70" s="16">
        <v>3.1835475524984158</v>
      </c>
      <c r="L70" s="138">
        <f>ROUND('14'!N21,3)</f>
        <v>0.14000000000000001</v>
      </c>
      <c r="M70" s="138">
        <f>ROUND('14'!O21,3)</f>
        <v>1.9E-2</v>
      </c>
      <c r="N70" s="138">
        <f>ROUND('14'!P21,3)</f>
        <v>0.84099999999999997</v>
      </c>
    </row>
    <row r="71" spans="1:14">
      <c r="A71" s="283"/>
      <c r="B71" s="32" t="s">
        <v>66</v>
      </c>
      <c r="C71" s="14">
        <v>29.72</v>
      </c>
      <c r="D71" s="14">
        <v>1.3</v>
      </c>
      <c r="E71" s="14">
        <v>6.32</v>
      </c>
      <c r="F71" s="14">
        <v>55.16</v>
      </c>
      <c r="G71" s="14">
        <v>0.77</v>
      </c>
      <c r="H71" s="14">
        <v>2.6231</v>
      </c>
      <c r="I71" s="15">
        <v>46.140000000000008</v>
      </c>
      <c r="J71" s="16">
        <v>3.2132501243764371</v>
      </c>
      <c r="L71" s="138">
        <f>ROUND('14'!N22,3)</f>
        <v>0.13100000000000001</v>
      </c>
      <c r="M71" s="138">
        <f>ROUND('14'!O22,3)</f>
        <v>1.6E-2</v>
      </c>
      <c r="N71" s="138">
        <f>ROUND('14'!P22,3)</f>
        <v>0.85299999999999998</v>
      </c>
    </row>
    <row r="72" spans="1:14">
      <c r="A72" s="282"/>
      <c r="B72" s="33" t="s">
        <v>67</v>
      </c>
      <c r="C72" s="18">
        <v>29.9</v>
      </c>
      <c r="D72" s="18">
        <v>1.1100000000000001</v>
      </c>
      <c r="E72" s="18">
        <v>5.76</v>
      </c>
      <c r="F72" s="18">
        <v>56.06</v>
      </c>
      <c r="G72" s="18">
        <v>0.67</v>
      </c>
      <c r="H72" s="18">
        <v>2.3514999999999997</v>
      </c>
      <c r="I72" s="19">
        <v>39.22</v>
      </c>
      <c r="J72" s="20">
        <v>3.199763931557368</v>
      </c>
      <c r="L72" s="138">
        <f>ROUND('14'!N23,3)</f>
        <v>0.109</v>
      </c>
      <c r="M72" s="138">
        <f>ROUND('14'!O23,3)</f>
        <v>1.2999999999999999E-2</v>
      </c>
      <c r="N72" s="138">
        <f>ROUND('14'!P23,3)</f>
        <v>0.878</v>
      </c>
    </row>
    <row r="73" spans="1:14">
      <c r="A73" s="281" t="s">
        <v>96</v>
      </c>
      <c r="B73" s="31" t="s">
        <v>68</v>
      </c>
      <c r="C73" s="9">
        <v>23.3</v>
      </c>
      <c r="D73" s="9">
        <v>4</v>
      </c>
      <c r="E73" s="9">
        <v>6.9</v>
      </c>
      <c r="F73" s="9">
        <v>55.2</v>
      </c>
      <c r="G73" s="9">
        <v>2.5</v>
      </c>
      <c r="H73" s="9">
        <v>3.2004000000000001</v>
      </c>
      <c r="I73" s="10">
        <v>86</v>
      </c>
      <c r="J73" s="11">
        <v>3.2779075680029921</v>
      </c>
      <c r="L73" s="138">
        <f>ROUND('15'!N34,3)</f>
        <v>0.18099999999999999</v>
      </c>
      <c r="M73" s="138">
        <f>ROUND('15'!O34,3)</f>
        <v>6.4000000000000001E-2</v>
      </c>
      <c r="N73" s="138">
        <f>ROUND('15'!P34,3)</f>
        <v>0.755</v>
      </c>
    </row>
    <row r="74" spans="1:14">
      <c r="A74" s="283"/>
      <c r="B74" s="32" t="s">
        <v>69</v>
      </c>
      <c r="C74" s="14">
        <v>35.6</v>
      </c>
      <c r="D74" s="14">
        <v>8.4</v>
      </c>
      <c r="E74" s="14">
        <v>2.6</v>
      </c>
      <c r="F74" s="14">
        <v>42.6</v>
      </c>
      <c r="G74" s="14">
        <v>2.1</v>
      </c>
      <c r="H74" s="14">
        <v>0.69479999999999997</v>
      </c>
      <c r="I74" s="15">
        <v>48</v>
      </c>
      <c r="J74" s="16">
        <v>3.1610537024147352</v>
      </c>
      <c r="L74" s="138">
        <f>ROUND('15'!N35,3)</f>
        <v>9.0999999999999998E-2</v>
      </c>
      <c r="M74" s="138">
        <f>ROUND('15'!O35,3)</f>
        <v>0.20899999999999999</v>
      </c>
      <c r="N74" s="138">
        <f>ROUND('15'!P35,3)</f>
        <v>0.69899999999999995</v>
      </c>
    </row>
    <row r="75" spans="1:14">
      <c r="A75" s="283"/>
      <c r="B75" s="32" t="s">
        <v>70</v>
      </c>
      <c r="C75" s="14">
        <v>26.7</v>
      </c>
      <c r="D75" s="14">
        <v>2.2999999999999998</v>
      </c>
      <c r="E75" s="14">
        <v>12.3</v>
      </c>
      <c r="F75" s="14">
        <v>49.5</v>
      </c>
      <c r="G75" s="14">
        <v>0.9</v>
      </c>
      <c r="H75" s="14">
        <v>1.5502</v>
      </c>
      <c r="I75" s="15">
        <v>56</v>
      </c>
      <c r="J75" s="16">
        <v>3.3665328490409738</v>
      </c>
      <c r="L75" s="138">
        <f>ROUND('15'!N36,3)</f>
        <v>0.121</v>
      </c>
      <c r="M75" s="138">
        <f>ROUND('15'!O36,3)</f>
        <v>3.1E-2</v>
      </c>
      <c r="N75" s="138">
        <f>ROUND('15'!P36,3)</f>
        <v>0.84799999999999998</v>
      </c>
    </row>
    <row r="76" spans="1:14">
      <c r="A76" s="283"/>
      <c r="B76" s="32" t="s">
        <v>71</v>
      </c>
      <c r="C76" s="14">
        <v>17.600000000000001</v>
      </c>
      <c r="D76" s="14">
        <v>11.8</v>
      </c>
      <c r="E76" s="14">
        <v>10.4</v>
      </c>
      <c r="F76" s="14">
        <v>49.2</v>
      </c>
      <c r="G76" s="14">
        <v>2</v>
      </c>
      <c r="H76" s="14">
        <v>0.66320000000000001</v>
      </c>
      <c r="I76" s="15">
        <v>63</v>
      </c>
      <c r="J76" s="16">
        <v>3.1162112490619789</v>
      </c>
      <c r="L76" s="138">
        <f>ROUND('15'!N37,3)</f>
        <v>4.1000000000000002E-2</v>
      </c>
      <c r="M76" s="138">
        <f>ROUND('15'!O37,3)</f>
        <v>0.158</v>
      </c>
      <c r="N76" s="138">
        <f>ROUND('15'!P37,3)</f>
        <v>0.8</v>
      </c>
    </row>
    <row r="77" spans="1:14">
      <c r="A77" s="283"/>
      <c r="B77" s="32" t="s">
        <v>72</v>
      </c>
      <c r="C77" s="14">
        <v>23.9</v>
      </c>
      <c r="D77" s="14">
        <v>5.4</v>
      </c>
      <c r="E77" s="14">
        <v>16</v>
      </c>
      <c r="F77" s="14">
        <v>48.3</v>
      </c>
      <c r="G77" s="14">
        <v>1</v>
      </c>
      <c r="H77" s="14">
        <v>1.1212</v>
      </c>
      <c r="I77" s="15">
        <v>63</v>
      </c>
      <c r="J77" s="16">
        <v>3.2648408142564027</v>
      </c>
      <c r="L77" s="138">
        <f>ROUND('15'!N38,3)</f>
        <v>0.122</v>
      </c>
      <c r="M77" s="138">
        <f>ROUND('15'!O38,3)</f>
        <v>7.5999999999999998E-2</v>
      </c>
      <c r="N77" s="138">
        <f>ROUND('15'!P38,3)</f>
        <v>0.80200000000000005</v>
      </c>
    </row>
    <row r="78" spans="1:14">
      <c r="A78" s="283"/>
      <c r="B78" s="32" t="s">
        <v>73</v>
      </c>
      <c r="C78" s="14">
        <v>28.5</v>
      </c>
      <c r="D78" s="14">
        <v>2</v>
      </c>
      <c r="E78" s="14">
        <v>5.9</v>
      </c>
      <c r="F78" s="14">
        <v>52.3</v>
      </c>
      <c r="G78" s="14">
        <v>1.5</v>
      </c>
      <c r="H78" s="14">
        <v>3.1320000000000001</v>
      </c>
      <c r="I78" s="15">
        <v>86</v>
      </c>
      <c r="J78" s="16">
        <v>3.2780547468284835</v>
      </c>
      <c r="L78" s="138">
        <f>ROUND('15'!N39,3)</f>
        <v>0.21199999999999999</v>
      </c>
      <c r="M78" s="138">
        <f>ROUND('15'!O39,3)</f>
        <v>2.9000000000000001E-2</v>
      </c>
      <c r="N78" s="138">
        <f>ROUND('15'!P39,3)</f>
        <v>0.75900000000000001</v>
      </c>
    </row>
    <row r="79" spans="1:14">
      <c r="A79" s="283"/>
      <c r="B79" s="32" t="s">
        <v>74</v>
      </c>
      <c r="C79" s="14">
        <v>25.5</v>
      </c>
      <c r="D79" s="14">
        <v>2.8</v>
      </c>
      <c r="E79" s="14">
        <v>7.5</v>
      </c>
      <c r="F79" s="14">
        <v>51.2</v>
      </c>
      <c r="G79" s="14">
        <v>2</v>
      </c>
      <c r="H79" s="14">
        <v>3.3662000000000001</v>
      </c>
      <c r="I79" s="15">
        <v>89</v>
      </c>
      <c r="J79" s="16">
        <v>3.2622808217496373</v>
      </c>
      <c r="L79" s="138">
        <f>ROUND('15'!N40,3)</f>
        <v>0.21</v>
      </c>
      <c r="M79" s="138">
        <f>ROUND('15'!O40,3)</f>
        <v>4.1000000000000002E-2</v>
      </c>
      <c r="N79" s="138">
        <f>ROUND('15'!P40,3)</f>
        <v>0.749</v>
      </c>
    </row>
    <row r="80" spans="1:14">
      <c r="A80" s="283"/>
      <c r="B80" s="32" t="s">
        <v>75</v>
      </c>
      <c r="C80" s="14">
        <v>23.2</v>
      </c>
      <c r="D80" s="14">
        <v>8.9</v>
      </c>
      <c r="E80" s="14">
        <v>14.3</v>
      </c>
      <c r="F80" s="14">
        <v>44.1</v>
      </c>
      <c r="G80" s="14">
        <v>1.8</v>
      </c>
      <c r="H80" s="14">
        <v>2.0108000000000001</v>
      </c>
      <c r="I80" s="15">
        <v>85</v>
      </c>
      <c r="J80" s="16">
        <v>3.1616157772674778</v>
      </c>
      <c r="L80" s="138">
        <f>ROUND('15'!N41,3)</f>
        <v>0.188</v>
      </c>
      <c r="M80" s="138">
        <f>ROUND('15'!O41,3)</f>
        <v>0.14799999999999999</v>
      </c>
      <c r="N80" s="138">
        <f>ROUND('15'!P41,3)</f>
        <v>0.66500000000000004</v>
      </c>
    </row>
    <row r="81" spans="1:14">
      <c r="A81" s="283"/>
      <c r="B81" s="32" t="s">
        <v>76</v>
      </c>
      <c r="C81" s="14">
        <v>30.6</v>
      </c>
      <c r="D81" s="14">
        <v>3</v>
      </c>
      <c r="E81" s="14">
        <v>7.2</v>
      </c>
      <c r="F81" s="14">
        <v>48.9</v>
      </c>
      <c r="G81" s="14">
        <v>1.6</v>
      </c>
      <c r="H81" s="14">
        <v>3.1662000000000003</v>
      </c>
      <c r="I81" s="15">
        <v>74</v>
      </c>
      <c r="J81" s="16">
        <v>3.258949530516432</v>
      </c>
      <c r="L81" s="138">
        <f>ROUND('15'!N42,3)</f>
        <v>0.19</v>
      </c>
      <c r="M81" s="138">
        <f>ROUND('15'!O42,3)</f>
        <v>4.3999999999999997E-2</v>
      </c>
      <c r="N81" s="138">
        <f>ROUND('15'!P42,3)</f>
        <v>0.76600000000000001</v>
      </c>
    </row>
    <row r="82" spans="1:14">
      <c r="A82" s="283"/>
      <c r="B82" s="32" t="s">
        <v>77</v>
      </c>
      <c r="C82" s="14">
        <v>27.4</v>
      </c>
      <c r="D82" s="14">
        <v>0.8</v>
      </c>
      <c r="E82" s="14">
        <v>7.3</v>
      </c>
      <c r="F82" s="14">
        <v>58.6</v>
      </c>
      <c r="G82" s="14">
        <v>1</v>
      </c>
      <c r="H82" s="14">
        <v>1.8792</v>
      </c>
      <c r="I82" s="15">
        <v>65</v>
      </c>
      <c r="J82" s="16">
        <v>3.4042998697508779</v>
      </c>
      <c r="L82" s="138">
        <f>ROUND('15'!N43,3)</f>
        <v>0.13500000000000001</v>
      </c>
      <c r="M82" s="138">
        <f>ROUND('15'!O43,3)</f>
        <v>0.01</v>
      </c>
      <c r="N82" s="138">
        <f>ROUND('15'!P43,3)</f>
        <v>0.85499999999999998</v>
      </c>
    </row>
    <row r="83" spans="1:14">
      <c r="A83" s="283"/>
      <c r="B83" s="32" t="s">
        <v>78</v>
      </c>
      <c r="C83" s="14">
        <v>24.8</v>
      </c>
      <c r="D83" s="14">
        <v>6.8</v>
      </c>
      <c r="E83" s="14">
        <v>9</v>
      </c>
      <c r="F83" s="14">
        <v>46.8</v>
      </c>
      <c r="G83" s="14">
        <v>3.7</v>
      </c>
      <c r="H83" s="14">
        <v>2.516</v>
      </c>
      <c r="I83" s="15">
        <v>63</v>
      </c>
      <c r="J83" s="16">
        <v>3.204865675862171</v>
      </c>
      <c r="L83" s="138">
        <f>ROUND('15'!N44,3)</f>
        <v>0.124</v>
      </c>
      <c r="M83" s="138">
        <f>ROUND('15'!O44,3)</f>
        <v>0.14599999999999999</v>
      </c>
      <c r="N83" s="138">
        <f>ROUND('15'!P44,3)</f>
        <v>0.72899999999999998</v>
      </c>
    </row>
    <row r="84" spans="1:14">
      <c r="A84" s="283"/>
      <c r="B84" s="32" t="s">
        <v>79</v>
      </c>
      <c r="C84" s="14">
        <v>25</v>
      </c>
      <c r="D84" s="14">
        <v>6.4</v>
      </c>
      <c r="E84" s="14">
        <v>8.8000000000000007</v>
      </c>
      <c r="F84" s="14">
        <v>45.3</v>
      </c>
      <c r="G84" s="14">
        <v>1.4</v>
      </c>
      <c r="H84" s="14">
        <v>1.5238</v>
      </c>
      <c r="I84" s="15">
        <v>82</v>
      </c>
      <c r="J84" s="16">
        <v>3.1487963331249884</v>
      </c>
      <c r="L84" s="138">
        <f>ROUND('15'!N45,3)</f>
        <v>0.20899999999999999</v>
      </c>
      <c r="M84" s="138">
        <f>ROUND('15'!O45,3)</f>
        <v>0.112</v>
      </c>
      <c r="N84" s="138">
        <f>ROUND('15'!P45,3)</f>
        <v>0.67900000000000005</v>
      </c>
    </row>
    <row r="85" spans="1:14">
      <c r="A85" s="283"/>
      <c r="B85" s="32" t="s">
        <v>80</v>
      </c>
      <c r="C85" s="14">
        <v>26.1</v>
      </c>
      <c r="D85" s="14">
        <v>3.1</v>
      </c>
      <c r="E85" s="14">
        <v>7.4</v>
      </c>
      <c r="F85" s="14">
        <v>53.3</v>
      </c>
      <c r="G85" s="14">
        <v>0.6</v>
      </c>
      <c r="H85" s="14">
        <v>0.49480000000000002</v>
      </c>
      <c r="I85" s="15">
        <v>80</v>
      </c>
      <c r="J85" s="16">
        <v>3.2748683004106969</v>
      </c>
      <c r="L85" s="138">
        <f>ROUND('15'!N46,3)</f>
        <v>0.18</v>
      </c>
      <c r="M85" s="138">
        <f>ROUND('15'!O46,3)</f>
        <v>4.3999999999999997E-2</v>
      </c>
      <c r="N85" s="138">
        <f>ROUND('15'!P46,3)</f>
        <v>0.77600000000000002</v>
      </c>
    </row>
    <row r="86" spans="1:14">
      <c r="A86" s="283"/>
      <c r="B86" s="32" t="s">
        <v>81</v>
      </c>
      <c r="C86" s="14">
        <v>27</v>
      </c>
      <c r="D86" s="14">
        <v>0.5</v>
      </c>
      <c r="E86" s="14">
        <v>3.3</v>
      </c>
      <c r="F86" s="14">
        <v>59.6</v>
      </c>
      <c r="G86" s="14">
        <v>0.9</v>
      </c>
      <c r="H86" s="14">
        <v>2.2082000000000002</v>
      </c>
      <c r="I86" s="15">
        <v>80</v>
      </c>
      <c r="J86" s="16">
        <v>3.3437180079089472</v>
      </c>
      <c r="L86" s="138">
        <f>ROUND('15'!N47,3)</f>
        <v>0.185</v>
      </c>
      <c r="M86" s="138">
        <f>ROUND('15'!O47,3)</f>
        <v>7.0000000000000001E-3</v>
      </c>
      <c r="N86" s="138">
        <f>ROUND('15'!P47,3)</f>
        <v>0.80800000000000005</v>
      </c>
    </row>
    <row r="87" spans="1:14">
      <c r="A87" s="283"/>
      <c r="B87" s="32" t="s">
        <v>82</v>
      </c>
      <c r="C87" s="14">
        <v>28.9</v>
      </c>
      <c r="D87" s="14">
        <v>1.8</v>
      </c>
      <c r="E87" s="14">
        <v>8.4</v>
      </c>
      <c r="F87" s="14">
        <v>51.3</v>
      </c>
      <c r="G87" s="14">
        <v>1</v>
      </c>
      <c r="H87" s="14">
        <v>2.145</v>
      </c>
      <c r="I87" s="15">
        <v>83</v>
      </c>
      <c r="J87" s="16">
        <v>3.2606620615412218</v>
      </c>
      <c r="L87" s="138">
        <f>ROUND('15'!N48,3)</f>
        <v>0.218</v>
      </c>
      <c r="M87" s="138">
        <f>ROUND('15'!O48,3)</f>
        <v>2.5999999999999999E-2</v>
      </c>
      <c r="N87" s="138">
        <f>ROUND('15'!P48,3)</f>
        <v>0.755</v>
      </c>
    </row>
    <row r="88" spans="1:14">
      <c r="A88" s="283"/>
      <c r="B88" s="32" t="s">
        <v>83</v>
      </c>
      <c r="C88" s="14">
        <v>26.5</v>
      </c>
      <c r="D88" s="14">
        <v>6.1</v>
      </c>
      <c r="E88" s="14">
        <v>7.1</v>
      </c>
      <c r="F88" s="14">
        <v>45.2</v>
      </c>
      <c r="G88" s="14">
        <v>1.6</v>
      </c>
      <c r="H88" s="14">
        <v>1.5895999999999999</v>
      </c>
      <c r="I88" s="15">
        <v>78</v>
      </c>
      <c r="J88" s="16">
        <v>3.157942355404157</v>
      </c>
      <c r="L88" s="138">
        <f>ROUND('15'!N49,3)</f>
        <v>0.20799999999999999</v>
      </c>
      <c r="M88" s="138">
        <f>ROUND('15'!O49,3)</f>
        <v>0.111</v>
      </c>
      <c r="N88" s="138">
        <f>ROUND('15'!P49,3)</f>
        <v>0.68100000000000005</v>
      </c>
    </row>
    <row r="89" spans="1:14">
      <c r="A89" s="283"/>
      <c r="B89" s="32" t="s">
        <v>84</v>
      </c>
      <c r="C89" s="14">
        <v>25.8</v>
      </c>
      <c r="D89" s="14">
        <v>5.6</v>
      </c>
      <c r="E89" s="14">
        <v>7</v>
      </c>
      <c r="F89" s="14">
        <v>52.4</v>
      </c>
      <c r="G89" s="14">
        <v>1.6</v>
      </c>
      <c r="H89" s="14">
        <v>1.6212</v>
      </c>
      <c r="I89" s="15">
        <v>77</v>
      </c>
      <c r="J89" s="16">
        <v>3.1746897072575608</v>
      </c>
      <c r="L89" s="138">
        <f>ROUND('15'!N50,3)</f>
        <v>0.187</v>
      </c>
      <c r="M89" s="138">
        <f>ROUND('15'!O50,3)</f>
        <v>9.8000000000000004E-2</v>
      </c>
      <c r="N89" s="138">
        <f>ROUND('15'!P50,3)</f>
        <v>0.71399999999999997</v>
      </c>
    </row>
    <row r="90" spans="1:14">
      <c r="A90" s="283"/>
      <c r="B90" s="32" t="s">
        <v>85</v>
      </c>
      <c r="C90" s="14">
        <v>26</v>
      </c>
      <c r="D90" s="14">
        <v>2.4</v>
      </c>
      <c r="E90" s="14">
        <v>8.6</v>
      </c>
      <c r="F90" s="14">
        <v>53.2</v>
      </c>
      <c r="G90" s="14">
        <v>1.6</v>
      </c>
      <c r="H90" s="14">
        <v>2.2766000000000002</v>
      </c>
      <c r="I90" s="15">
        <v>84</v>
      </c>
      <c r="J90" s="16">
        <v>3.2759447980329917</v>
      </c>
      <c r="L90" s="138">
        <f>ROUND('15'!N51,3)</f>
        <v>0.20100000000000001</v>
      </c>
      <c r="M90" s="138">
        <f>ROUND('15'!O51,3)</f>
        <v>4.1000000000000002E-2</v>
      </c>
      <c r="N90" s="138">
        <f>ROUND('15'!P51,3)</f>
        <v>0.75800000000000001</v>
      </c>
    </row>
    <row r="91" spans="1:14">
      <c r="A91" s="283"/>
      <c r="B91" s="32" t="s">
        <v>86</v>
      </c>
      <c r="C91" s="14">
        <v>17.899999999999999</v>
      </c>
      <c r="D91" s="14">
        <v>27.3</v>
      </c>
      <c r="E91" s="14">
        <v>8.4</v>
      </c>
      <c r="F91" s="14">
        <v>28.5</v>
      </c>
      <c r="G91" s="14">
        <v>3.8</v>
      </c>
      <c r="H91" s="14">
        <v>0.8580000000000001</v>
      </c>
      <c r="I91" s="15">
        <v>62</v>
      </c>
      <c r="J91" s="16">
        <v>2.6309118657623904</v>
      </c>
      <c r="L91" s="138">
        <f>ROUND('15'!N52,3)</f>
        <v>0.109</v>
      </c>
      <c r="M91" s="138">
        <f>ROUND('15'!O52,3)</f>
        <v>0.45900000000000002</v>
      </c>
      <c r="N91" s="138">
        <f>ROUND('15'!P52,3)</f>
        <v>0.432</v>
      </c>
    </row>
    <row r="92" spans="1:14">
      <c r="A92" s="283"/>
      <c r="B92" s="32" t="s">
        <v>87</v>
      </c>
      <c r="C92" s="14">
        <v>25.9</v>
      </c>
      <c r="D92" s="14">
        <v>2.2999999999999998</v>
      </c>
      <c r="E92" s="14">
        <v>8.8000000000000007</v>
      </c>
      <c r="F92" s="14">
        <v>48.2</v>
      </c>
      <c r="G92" s="14">
        <v>1.5</v>
      </c>
      <c r="H92" s="14">
        <v>2.2107999999999999</v>
      </c>
      <c r="I92" s="15">
        <v>72</v>
      </c>
      <c r="J92" s="16">
        <v>3.3488254182862933</v>
      </c>
      <c r="L92" s="138">
        <f>ROUND('15'!N53,3)</f>
        <v>0.156</v>
      </c>
      <c r="M92" s="138">
        <f>ROUND('15'!O53,3)</f>
        <v>4.8000000000000001E-2</v>
      </c>
      <c r="N92" s="138">
        <f>ROUND('15'!P53,3)</f>
        <v>0.79600000000000004</v>
      </c>
    </row>
    <row r="93" spans="1:14">
      <c r="A93" s="283"/>
      <c r="B93" s="32" t="s">
        <v>88</v>
      </c>
      <c r="C93" s="14">
        <v>33.4</v>
      </c>
      <c r="D93" s="14">
        <v>2.4</v>
      </c>
      <c r="E93" s="14">
        <v>6.4</v>
      </c>
      <c r="F93" s="14">
        <v>50.8</v>
      </c>
      <c r="G93" s="14">
        <v>0.8</v>
      </c>
      <c r="H93" s="14">
        <v>0.86060000000000003</v>
      </c>
      <c r="I93" s="15">
        <v>73</v>
      </c>
      <c r="J93" s="16">
        <v>3.3125520706732394</v>
      </c>
      <c r="L93" s="138">
        <f>ROUND('15'!N54,3)</f>
        <v>0.16600000000000001</v>
      </c>
      <c r="M93" s="138">
        <f>ROUND('15'!O54,3)</f>
        <v>3.5999999999999997E-2</v>
      </c>
      <c r="N93" s="138">
        <f>ROUND('15'!P54,3)</f>
        <v>0.79800000000000004</v>
      </c>
    </row>
    <row r="94" spans="1:14">
      <c r="A94" s="282"/>
      <c r="B94" s="33" t="s">
        <v>89</v>
      </c>
      <c r="C94" s="18">
        <v>29</v>
      </c>
      <c r="D94" s="18">
        <v>10</v>
      </c>
      <c r="E94" s="18">
        <v>3.8</v>
      </c>
      <c r="F94" s="18">
        <v>41.7</v>
      </c>
      <c r="G94" s="18">
        <v>2.4</v>
      </c>
      <c r="H94" s="18">
        <v>1.0264000000000002</v>
      </c>
      <c r="I94" s="19">
        <v>74</v>
      </c>
      <c r="J94" s="20">
        <v>3.086827558311986</v>
      </c>
      <c r="L94" s="138">
        <f>ROUND('15'!N55,3)</f>
        <v>0.191</v>
      </c>
      <c r="M94" s="138">
        <f>ROUND('15'!O55,3)</f>
        <v>0.182</v>
      </c>
      <c r="N94" s="138">
        <f>ROUND('15'!P55,3)</f>
        <v>0.627</v>
      </c>
    </row>
    <row r="95" spans="1:14">
      <c r="A95" s="286" t="s">
        <v>249</v>
      </c>
      <c r="B95" s="257" t="s">
        <v>51</v>
      </c>
      <c r="C95" s="31">
        <v>20.9</v>
      </c>
      <c r="D95" s="31">
        <v>2.73</v>
      </c>
      <c r="E95" s="31">
        <v>5.15</v>
      </c>
      <c r="F95" s="31">
        <v>64.8</v>
      </c>
      <c r="G95" s="31">
        <v>1.39</v>
      </c>
      <c r="H95" s="31">
        <v>1.72302</v>
      </c>
      <c r="I95" s="31">
        <v>72.135000000000005</v>
      </c>
      <c r="J95" s="256">
        <f>ROUND(domst_1!R24,2)</f>
        <v>3.38</v>
      </c>
      <c r="L95" s="138">
        <f>ROUND(domst_1!N24,3)</f>
        <v>0.115</v>
      </c>
      <c r="M95" s="138">
        <f>ROUND(domst_1!O24,3)</f>
        <v>3.6999999999999998E-2</v>
      </c>
      <c r="N95" s="138">
        <f>ROUND(domst_1!P24,3)</f>
        <v>0.84899999999999998</v>
      </c>
    </row>
    <row r="96" spans="1:14">
      <c r="A96" s="287"/>
      <c r="B96" s="258" t="s">
        <v>52</v>
      </c>
      <c r="C96" s="32">
        <v>20.8</v>
      </c>
      <c r="D96" s="32">
        <v>2.68</v>
      </c>
      <c r="E96" s="32">
        <v>5.03</v>
      </c>
      <c r="F96" s="32">
        <v>65</v>
      </c>
      <c r="G96" s="32">
        <v>1.38</v>
      </c>
      <c r="H96" s="32">
        <v>1.77644</v>
      </c>
      <c r="I96" s="32">
        <v>70.093999999999994</v>
      </c>
      <c r="J96" s="256">
        <f>ROUND(domst_1!R25,2)</f>
        <v>3.39</v>
      </c>
      <c r="L96" s="138">
        <f>ROUND(domst_1!N25,3)</f>
        <v>0.112</v>
      </c>
      <c r="M96" s="138">
        <f>ROUND(domst_1!O25,3)</f>
        <v>3.5999999999999997E-2</v>
      </c>
      <c r="N96" s="138">
        <f>ROUND(domst_1!P25,3)</f>
        <v>0.85199999999999998</v>
      </c>
    </row>
    <row r="97" spans="1:14">
      <c r="A97" s="287"/>
      <c r="B97" s="258" t="s">
        <v>53</v>
      </c>
      <c r="C97" s="32">
        <v>20.9</v>
      </c>
      <c r="D97" s="32">
        <v>5.74</v>
      </c>
      <c r="E97" s="32">
        <v>8.2200000000000006</v>
      </c>
      <c r="F97" s="32">
        <v>55.9</v>
      </c>
      <c r="G97" s="32">
        <v>1.95</v>
      </c>
      <c r="H97" s="32">
        <v>2.3485999999999998</v>
      </c>
      <c r="I97" s="32">
        <v>79.983000000000004</v>
      </c>
      <c r="J97" s="256">
        <f>ROUND(domst_1!R26,2)</f>
        <v>3.24</v>
      </c>
      <c r="L97" s="138">
        <f>ROUND(domst_1!N26,3)</f>
        <v>0.15</v>
      </c>
      <c r="M97" s="138">
        <f>ROUND(domst_1!O26,3)</f>
        <v>8.4000000000000005E-2</v>
      </c>
      <c r="N97" s="138">
        <f>ROUND(domst_1!P26,3)</f>
        <v>0.76600000000000001</v>
      </c>
    </row>
    <row r="98" spans="1:14">
      <c r="A98" s="287"/>
      <c r="B98" s="258" t="s">
        <v>54</v>
      </c>
      <c r="C98" s="32">
        <v>21.3</v>
      </c>
      <c r="D98" s="32">
        <v>3.99</v>
      </c>
      <c r="E98" s="32">
        <v>6.41</v>
      </c>
      <c r="F98" s="32">
        <v>59.5</v>
      </c>
      <c r="G98" s="32">
        <v>1.46</v>
      </c>
      <c r="H98" s="32">
        <v>1.2416799999999999</v>
      </c>
      <c r="I98" s="32">
        <v>58.704000000000001</v>
      </c>
      <c r="J98" s="256">
        <f>ROUND(domst_1!R27,2)</f>
        <v>3.41</v>
      </c>
      <c r="L98" s="138">
        <f>ROUND(domst_1!N27,3)</f>
        <v>7.9000000000000001E-2</v>
      </c>
      <c r="M98" s="138">
        <f>ROUND(domst_1!O27,3)</f>
        <v>5.7000000000000002E-2</v>
      </c>
      <c r="N98" s="138">
        <f>ROUND(domst_1!P27,3)</f>
        <v>0.86399999999999999</v>
      </c>
    </row>
    <row r="99" spans="1:14">
      <c r="A99" s="287"/>
      <c r="B99" s="258" t="s">
        <v>236</v>
      </c>
      <c r="C99" s="32">
        <v>20.100000000000001</v>
      </c>
      <c r="D99" s="32">
        <v>4.13</v>
      </c>
      <c r="E99" s="32">
        <v>8.7100000000000009</v>
      </c>
      <c r="F99" s="32">
        <v>58.8</v>
      </c>
      <c r="G99" s="32">
        <v>1.95</v>
      </c>
      <c r="H99" s="32">
        <v>1.82172</v>
      </c>
      <c r="I99" s="32">
        <v>70.073999999999998</v>
      </c>
      <c r="J99" s="256">
        <f>ROUND(domst_1!R28,2)</f>
        <v>3.31</v>
      </c>
      <c r="L99" s="138">
        <f>ROUND(domst_1!N28,3)</f>
        <v>0.13300000000000001</v>
      </c>
      <c r="M99" s="138">
        <f>ROUND(domst_1!O28,3)</f>
        <v>6.0999999999999999E-2</v>
      </c>
      <c r="N99" s="138">
        <f>ROUND(domst_1!P28,3)</f>
        <v>0.80600000000000005</v>
      </c>
    </row>
    <row r="100" spans="1:14">
      <c r="A100" s="287"/>
      <c r="B100" s="258" t="s">
        <v>237</v>
      </c>
      <c r="C100" s="32">
        <v>22.5</v>
      </c>
      <c r="D100" s="32">
        <v>3.09</v>
      </c>
      <c r="E100" s="32">
        <v>7.67</v>
      </c>
      <c r="F100" s="32">
        <v>60.4</v>
      </c>
      <c r="G100" s="32">
        <v>1.1000000000000001</v>
      </c>
      <c r="H100" s="32">
        <v>1.43146</v>
      </c>
      <c r="I100" s="32">
        <v>70.622</v>
      </c>
      <c r="J100" s="256">
        <f>ROUND(domst_1!R29,2)</f>
        <v>3.36</v>
      </c>
      <c r="L100" s="138">
        <f>ROUND(domst_1!N29,3)</f>
        <v>0.122</v>
      </c>
      <c r="M100" s="138">
        <f>ROUND(domst_1!O29,3)</f>
        <v>4.3999999999999997E-2</v>
      </c>
      <c r="N100" s="138">
        <f>ROUND(domst_1!P29,3)</f>
        <v>0.83499999999999996</v>
      </c>
    </row>
    <row r="101" spans="1:14">
      <c r="A101" s="287"/>
      <c r="B101" s="258" t="s">
        <v>238</v>
      </c>
      <c r="C101" s="32">
        <v>20</v>
      </c>
      <c r="D101" s="32">
        <v>2.86</v>
      </c>
      <c r="E101" s="32">
        <v>5.05</v>
      </c>
      <c r="F101" s="32">
        <v>64.900000000000006</v>
      </c>
      <c r="G101" s="32">
        <v>1.07</v>
      </c>
      <c r="H101" s="32">
        <v>1.33432</v>
      </c>
      <c r="I101" s="32">
        <v>67.007999999999996</v>
      </c>
      <c r="J101" s="256">
        <f>ROUND(domst_1!R30,2)</f>
        <v>3.39</v>
      </c>
      <c r="L101" s="138">
        <f>ROUND(domst_1!N30,3)</f>
        <v>0.107</v>
      </c>
      <c r="M101" s="138">
        <f>ROUND(domst_1!O30,3)</f>
        <v>3.9E-2</v>
      </c>
      <c r="N101" s="138">
        <f>ROUND(domst_1!P30,3)</f>
        <v>0.85399999999999998</v>
      </c>
    </row>
    <row r="102" spans="1:14">
      <c r="A102" s="287"/>
      <c r="B102" s="258" t="s">
        <v>239</v>
      </c>
      <c r="C102" s="32">
        <v>21.5</v>
      </c>
      <c r="D102" s="32">
        <v>3.82</v>
      </c>
      <c r="E102" s="32">
        <v>8.19</v>
      </c>
      <c r="F102" s="32">
        <v>58.6</v>
      </c>
      <c r="G102" s="32">
        <v>1.39</v>
      </c>
      <c r="H102" s="32">
        <v>1.2930200000000001</v>
      </c>
      <c r="I102" s="32">
        <v>69.129000000000005</v>
      </c>
      <c r="J102" s="256">
        <f>ROUND(domst_1!R31,2)</f>
        <v>3.35</v>
      </c>
      <c r="L102" s="138">
        <f>ROUND(domst_1!N31,3)</f>
        <v>0.11600000000000001</v>
      </c>
      <c r="M102" s="138">
        <f>ROUND(domst_1!O31,3)</f>
        <v>5.5E-2</v>
      </c>
      <c r="N102" s="138">
        <f>ROUND(domst_1!P31,3)</f>
        <v>0.82899999999999996</v>
      </c>
    </row>
    <row r="103" spans="1:14">
      <c r="A103" s="287"/>
      <c r="B103" s="258" t="s">
        <v>240</v>
      </c>
      <c r="C103" s="32">
        <v>19.5</v>
      </c>
      <c r="D103" s="32">
        <v>5.34</v>
      </c>
      <c r="E103" s="32">
        <v>6.01</v>
      </c>
      <c r="F103" s="32">
        <v>58.3</v>
      </c>
      <c r="G103" s="32">
        <v>2.46</v>
      </c>
      <c r="H103" s="32">
        <v>2.0575199999999998</v>
      </c>
      <c r="I103" s="32">
        <v>72.358999999999995</v>
      </c>
      <c r="J103" s="256">
        <f>ROUND(domst_1!R32,2)</f>
        <v>3.28</v>
      </c>
      <c r="L103" s="138">
        <f>ROUND(domst_1!N32,3)</f>
        <v>0.13400000000000001</v>
      </c>
      <c r="M103" s="138">
        <f>ROUND(domst_1!O32,3)</f>
        <v>7.6999999999999999E-2</v>
      </c>
      <c r="N103" s="138">
        <f>ROUND(domst_1!P32,3)</f>
        <v>0.78900000000000003</v>
      </c>
    </row>
    <row r="104" spans="1:14">
      <c r="A104" s="287"/>
      <c r="B104" s="258" t="s">
        <v>241</v>
      </c>
      <c r="C104" s="32">
        <v>17.899999999999999</v>
      </c>
      <c r="D104" s="32">
        <v>3.63</v>
      </c>
      <c r="E104" s="32">
        <v>5.95</v>
      </c>
      <c r="F104" s="32">
        <v>64.8</v>
      </c>
      <c r="G104" s="32">
        <v>1.4</v>
      </c>
      <c r="H104" s="32">
        <v>1.9609000000000001</v>
      </c>
      <c r="I104" s="32">
        <v>67.912999999999997</v>
      </c>
      <c r="J104" s="256">
        <f>ROUND(domst_1!R33,2)</f>
        <v>3.35</v>
      </c>
      <c r="L104" s="138">
        <f>ROUND(domst_1!N33,3)</f>
        <v>0.11600000000000001</v>
      </c>
      <c r="M104" s="138">
        <f>ROUND(domst_1!O33,3)</f>
        <v>5.0999999999999997E-2</v>
      </c>
      <c r="N104" s="138">
        <f>ROUND(domst_1!P33,3)</f>
        <v>0.83199999999999996</v>
      </c>
    </row>
    <row r="105" spans="1:14">
      <c r="A105" s="287"/>
      <c r="B105" s="258" t="s">
        <v>242</v>
      </c>
      <c r="C105" s="32">
        <v>21.4</v>
      </c>
      <c r="D105" s="32">
        <v>3.5</v>
      </c>
      <c r="E105" s="32">
        <v>5.94</v>
      </c>
      <c r="F105" s="32">
        <v>58.8</v>
      </c>
      <c r="G105" s="32">
        <v>1.32</v>
      </c>
      <c r="H105" s="32">
        <v>1.85172</v>
      </c>
      <c r="I105" s="32">
        <v>69.108999999999995</v>
      </c>
      <c r="J105" s="256">
        <f>ROUND(domst_1!R34,2)</f>
        <v>3.31</v>
      </c>
      <c r="L105" s="138">
        <f>ROUND(domst_1!N34,3)</f>
        <v>0.14299999999999999</v>
      </c>
      <c r="M105" s="138">
        <f>ROUND(domst_1!O34,3)</f>
        <v>0.05</v>
      </c>
      <c r="N105" s="138">
        <f>ROUND(domst_1!P34,3)</f>
        <v>0.80700000000000005</v>
      </c>
    </row>
    <row r="106" spans="1:14">
      <c r="A106" s="287"/>
      <c r="B106" s="258" t="s">
        <v>243</v>
      </c>
      <c r="C106" s="32">
        <v>17.8</v>
      </c>
      <c r="D106" s="32">
        <v>11.4</v>
      </c>
      <c r="E106" s="32">
        <v>7.71</v>
      </c>
      <c r="F106" s="32">
        <v>54.7</v>
      </c>
      <c r="G106" s="32">
        <v>1.98</v>
      </c>
      <c r="H106" s="32">
        <v>1.7851399999999999</v>
      </c>
      <c r="I106" s="32">
        <v>66.582999999999998</v>
      </c>
      <c r="J106" s="256">
        <f>ROUND(domst_1!R35,2)</f>
        <v>3.19</v>
      </c>
      <c r="L106" s="138">
        <f>ROUND(domst_1!N35,3)</f>
        <v>0.109</v>
      </c>
      <c r="M106" s="138">
        <f>ROUND(domst_1!O35,3)</f>
        <v>0.14899999999999999</v>
      </c>
      <c r="N106" s="138">
        <f>ROUND(domst_1!P35,3)</f>
        <v>0.74199999999999999</v>
      </c>
    </row>
    <row r="107" spans="1:14">
      <c r="A107" s="287"/>
      <c r="B107" s="258" t="s">
        <v>244</v>
      </c>
      <c r="C107" s="32">
        <v>20.399999999999999</v>
      </c>
      <c r="D107" s="32">
        <v>2.63</v>
      </c>
      <c r="E107" s="32">
        <v>4.9800000000000004</v>
      </c>
      <c r="F107" s="32">
        <v>64.5</v>
      </c>
      <c r="G107" s="32">
        <v>1.24</v>
      </c>
      <c r="H107" s="32">
        <v>1.3172200000000001</v>
      </c>
      <c r="I107" s="32">
        <v>64.748000000000005</v>
      </c>
      <c r="J107" s="256">
        <f>ROUND(domst_1!R36,2)</f>
        <v>3.42</v>
      </c>
      <c r="L107" s="138">
        <f>ROUND(domst_1!N36,3)</f>
        <v>9.2999999999999999E-2</v>
      </c>
      <c r="M107" s="138">
        <f>ROUND(domst_1!O36,3)</f>
        <v>3.5000000000000003E-2</v>
      </c>
      <c r="N107" s="138">
        <f>ROUND(domst_1!P36,3)</f>
        <v>0.871</v>
      </c>
    </row>
    <row r="108" spans="1:14">
      <c r="A108" s="287"/>
      <c r="B108" s="258" t="s">
        <v>245</v>
      </c>
      <c r="C108" s="32">
        <v>20.100000000000001</v>
      </c>
      <c r="D108" s="32">
        <v>1.55</v>
      </c>
      <c r="E108" s="32">
        <v>7.25</v>
      </c>
      <c r="F108" s="32">
        <v>64.900000000000006</v>
      </c>
      <c r="G108" s="32">
        <v>0.82</v>
      </c>
      <c r="H108" s="32">
        <v>1.3680399999999999</v>
      </c>
      <c r="I108" s="32">
        <v>73.62</v>
      </c>
      <c r="J108" s="256">
        <f>ROUND(domst_1!R37,2)</f>
        <v>3.43</v>
      </c>
      <c r="L108" s="138">
        <f>ROUND(domst_1!N37,3)</f>
        <v>0.10100000000000001</v>
      </c>
      <c r="M108" s="138">
        <f>ROUND(domst_1!O37,3)</f>
        <v>2.1000000000000001E-2</v>
      </c>
      <c r="N108" s="138">
        <f>ROUND(domst_1!P37,3)</f>
        <v>0.877</v>
      </c>
    </row>
    <row r="109" spans="1:14">
      <c r="A109" s="287"/>
      <c r="B109" s="258" t="s">
        <v>246</v>
      </c>
      <c r="C109" s="32">
        <v>19.5</v>
      </c>
      <c r="D109" s="32">
        <v>3.72</v>
      </c>
      <c r="E109" s="32">
        <v>6.31</v>
      </c>
      <c r="F109" s="32">
        <v>60.8</v>
      </c>
      <c r="G109" s="32">
        <v>1.3</v>
      </c>
      <c r="H109" s="32">
        <v>1.5627599999999999</v>
      </c>
      <c r="I109" s="32">
        <v>69.451999999999998</v>
      </c>
      <c r="J109" s="256">
        <f>ROUND(domst_1!R38,2)</f>
        <v>3.34</v>
      </c>
      <c r="L109" s="138">
        <f>ROUND(domst_1!N38,3)</f>
        <v>0.121</v>
      </c>
      <c r="M109" s="138">
        <f>ROUND(domst_1!O38,3)</f>
        <v>5.2999999999999999E-2</v>
      </c>
      <c r="N109" s="138">
        <f>ROUND(domst_1!P38,3)</f>
        <v>0.82599999999999996</v>
      </c>
    </row>
    <row r="110" spans="1:14">
      <c r="A110" s="287"/>
      <c r="B110" s="258" t="s">
        <v>247</v>
      </c>
      <c r="C110" s="32">
        <v>19.600000000000001</v>
      </c>
      <c r="D110" s="32">
        <v>7.7</v>
      </c>
      <c r="E110" s="32">
        <v>5.81</v>
      </c>
      <c r="F110" s="32">
        <v>54.8</v>
      </c>
      <c r="G110" s="32">
        <v>1.63</v>
      </c>
      <c r="H110" s="32">
        <v>1.9006400000000001</v>
      </c>
      <c r="I110" s="32">
        <v>66.207999999999998</v>
      </c>
      <c r="J110" s="256">
        <f>ROUND(domst_1!R39,2)</f>
        <v>3.28</v>
      </c>
      <c r="L110" s="138">
        <f>ROUND(domst_1!N39,3)</f>
        <v>0.10199999999999999</v>
      </c>
      <c r="M110" s="138">
        <f>ROUND(domst_1!O39,3)</f>
        <v>0.111</v>
      </c>
      <c r="N110" s="138">
        <f>ROUND(domst_1!P39,3)</f>
        <v>0.78600000000000003</v>
      </c>
    </row>
    <row r="111" spans="1:14">
      <c r="A111" s="288"/>
      <c r="B111" s="259" t="s">
        <v>248</v>
      </c>
      <c r="C111" s="33">
        <v>18</v>
      </c>
      <c r="D111" s="33">
        <v>6.66</v>
      </c>
      <c r="E111" s="33">
        <v>7.55</v>
      </c>
      <c r="F111" s="33">
        <v>57.9</v>
      </c>
      <c r="G111" s="33">
        <v>2.02</v>
      </c>
      <c r="H111" s="33">
        <v>3.2016800000000001</v>
      </c>
      <c r="I111" s="33">
        <v>85.715999999999994</v>
      </c>
      <c r="J111" s="256">
        <f>ROUND(domst_1!R40,2)</f>
        <v>3.26</v>
      </c>
      <c r="L111" s="138">
        <f>ROUND(domst_1!N40,3)</f>
        <v>0.125</v>
      </c>
      <c r="M111" s="138">
        <f>ROUND(domst_1!O40,3)</f>
        <v>9.6000000000000002E-2</v>
      </c>
      <c r="N111" s="138">
        <f>ROUND(domst_1!P40,3)</f>
        <v>0.77900000000000003</v>
      </c>
    </row>
    <row r="112" spans="1:14">
      <c r="A112" s="286" t="s">
        <v>254</v>
      </c>
      <c r="B112" s="257" t="s">
        <v>255</v>
      </c>
      <c r="C112" s="31">
        <v>23.8</v>
      </c>
      <c r="D112" s="31">
        <v>3.1</v>
      </c>
      <c r="E112" s="31">
        <v>6.62</v>
      </c>
      <c r="F112" s="31">
        <v>59.1</v>
      </c>
      <c r="G112" s="31">
        <v>1.41</v>
      </c>
      <c r="H112" s="31">
        <v>1.5641</v>
      </c>
      <c r="I112" s="31">
        <v>83.67</v>
      </c>
      <c r="J112" s="256">
        <f>ROUND(domst_2!R15,2)</f>
        <v>3.19</v>
      </c>
      <c r="L112" s="138">
        <f>ROUND(domst_2!N15,3)</f>
        <v>0.20799999999999999</v>
      </c>
      <c r="M112" s="138">
        <f>ROUND(domst_2!O15,3)</f>
        <v>5.2999999999999999E-2</v>
      </c>
      <c r="N112" s="138">
        <f>ROUND(domst_2!P15,3)</f>
        <v>0.73899999999999999</v>
      </c>
    </row>
    <row r="113" spans="1:14">
      <c r="A113" s="287"/>
      <c r="B113" s="258" t="s">
        <v>63</v>
      </c>
      <c r="C113" s="32">
        <v>25.5</v>
      </c>
      <c r="D113" s="32">
        <v>6.49</v>
      </c>
      <c r="E113" s="32">
        <v>8.5</v>
      </c>
      <c r="F113" s="32">
        <v>48.3</v>
      </c>
      <c r="G113" s="32">
        <v>1.67</v>
      </c>
      <c r="H113" s="32">
        <v>2.32986</v>
      </c>
      <c r="I113" s="32">
        <v>91.22</v>
      </c>
      <c r="J113" s="256">
        <f>ROUND(domst_2!R16,2)</f>
        <v>3.19</v>
      </c>
      <c r="L113" s="138">
        <f>ROUND(domst_2!N16,3)</f>
        <v>0.17199999999999999</v>
      </c>
      <c r="M113" s="138">
        <f>ROUND(domst_2!O16,3)</f>
        <v>8.7999999999999995E-2</v>
      </c>
      <c r="N113" s="138">
        <f>ROUND(domst_2!P16,3)</f>
        <v>0.74</v>
      </c>
    </row>
    <row r="114" spans="1:14">
      <c r="A114" s="287"/>
      <c r="B114" s="258" t="s">
        <v>256</v>
      </c>
      <c r="C114" s="32">
        <v>21.8</v>
      </c>
      <c r="D114" s="32">
        <v>4.9400000000000004</v>
      </c>
      <c r="E114" s="32">
        <v>6.39</v>
      </c>
      <c r="F114" s="32">
        <v>56.7</v>
      </c>
      <c r="G114" s="32">
        <v>1.6</v>
      </c>
      <c r="H114" s="32">
        <v>1.8898600000000001</v>
      </c>
      <c r="I114" s="32">
        <v>76</v>
      </c>
      <c r="J114" s="256">
        <f>ROUND(domst_2!R17,2)</f>
        <v>3.22</v>
      </c>
      <c r="L114" s="138">
        <f>ROUND(domst_2!N17,3)</f>
        <v>0.16800000000000001</v>
      </c>
      <c r="M114" s="138">
        <f>ROUND(domst_2!O17,3)</f>
        <v>7.5999999999999998E-2</v>
      </c>
      <c r="N114" s="138">
        <f>ROUND(domst_2!P17,3)</f>
        <v>0.75600000000000001</v>
      </c>
    </row>
    <row r="115" spans="1:14">
      <c r="A115" s="287"/>
      <c r="B115" s="258" t="s">
        <v>50</v>
      </c>
      <c r="C115" s="32">
        <v>20.399999999999999</v>
      </c>
      <c r="D115" s="32">
        <v>10.6</v>
      </c>
      <c r="E115" s="32">
        <v>4.3</v>
      </c>
      <c r="F115" s="32">
        <v>42.1</v>
      </c>
      <c r="G115" s="32">
        <v>1.0900000000000001</v>
      </c>
      <c r="H115" s="32">
        <v>2.1418400000000002</v>
      </c>
      <c r="I115" s="32">
        <v>75.33</v>
      </c>
      <c r="J115" s="256">
        <f>ROUND(domst_2!R18,2)</f>
        <v>3.04</v>
      </c>
      <c r="L115" s="138">
        <f>ROUND(domst_2!N18,3)</f>
        <v>0.161</v>
      </c>
      <c r="M115" s="138">
        <f>ROUND(domst_2!O18,3)</f>
        <v>0.18099999999999999</v>
      </c>
      <c r="N115" s="138">
        <f>ROUND(domst_2!P18,3)</f>
        <v>0.65800000000000003</v>
      </c>
    </row>
    <row r="116" spans="1:14">
      <c r="A116" s="287"/>
      <c r="B116" s="258" t="s">
        <v>257</v>
      </c>
      <c r="C116" s="32">
        <v>21.7</v>
      </c>
      <c r="D116" s="32">
        <v>5.8</v>
      </c>
      <c r="E116" s="32">
        <v>7.83</v>
      </c>
      <c r="F116" s="32">
        <v>54.7</v>
      </c>
      <c r="G116" s="32">
        <v>2.13</v>
      </c>
      <c r="H116" s="32">
        <v>1.3606400000000001</v>
      </c>
      <c r="I116" s="32">
        <v>74.56</v>
      </c>
      <c r="J116" s="256">
        <f>ROUND(domst_2!R19,2)</f>
        <v>3.18</v>
      </c>
      <c r="L116" s="138">
        <f>ROUND(domst_2!N19,3)</f>
        <v>0.159</v>
      </c>
      <c r="M116" s="138">
        <f>ROUND(domst_2!O19,3)</f>
        <v>0.108</v>
      </c>
      <c r="N116" s="138">
        <f>ROUND(domst_2!P19,3)</f>
        <v>0.73299999999999998</v>
      </c>
    </row>
    <row r="117" spans="1:14">
      <c r="A117" s="287"/>
      <c r="B117" s="258" t="s">
        <v>258</v>
      </c>
      <c r="C117" s="32">
        <v>22.9</v>
      </c>
      <c r="D117" s="32">
        <v>5.45</v>
      </c>
      <c r="E117" s="32">
        <v>7.7</v>
      </c>
      <c r="F117" s="32">
        <v>55.9</v>
      </c>
      <c r="G117" s="32">
        <v>1.8</v>
      </c>
      <c r="H117" s="32">
        <v>2.19834</v>
      </c>
      <c r="I117" s="32">
        <v>69.33</v>
      </c>
      <c r="J117" s="256">
        <f>ROUND(domst_2!R20,2)</f>
        <v>3.22</v>
      </c>
      <c r="L117" s="138">
        <f>ROUND(domst_2!N20,3)</f>
        <v>0.157</v>
      </c>
      <c r="M117" s="138">
        <f>ROUND(domst_2!O20,3)</f>
        <v>8.6999999999999994E-2</v>
      </c>
      <c r="N117" s="138">
        <f>ROUND(domst_2!P20,3)</f>
        <v>0.75600000000000001</v>
      </c>
    </row>
    <row r="118" spans="1:14">
      <c r="A118" s="287"/>
      <c r="B118" s="258" t="s">
        <v>259</v>
      </c>
      <c r="C118" s="32">
        <v>21.2</v>
      </c>
      <c r="D118" s="32">
        <v>3.9</v>
      </c>
      <c r="E118" s="32">
        <v>6.34</v>
      </c>
      <c r="F118" s="32">
        <v>62.7</v>
      </c>
      <c r="G118" s="32">
        <v>1.46</v>
      </c>
      <c r="H118" s="32">
        <v>0.79012000000000004</v>
      </c>
      <c r="I118" s="32">
        <v>79.78</v>
      </c>
      <c r="J118" s="256">
        <f>ROUND(domst_2!R21,2)</f>
        <v>3.26</v>
      </c>
      <c r="L118" s="138">
        <f>ROUND(domst_2!N21,3)</f>
        <v>0.16800000000000001</v>
      </c>
      <c r="M118" s="138">
        <f>ROUND(domst_2!O21,3)</f>
        <v>5.6000000000000001E-2</v>
      </c>
      <c r="N118" s="138">
        <f>ROUND(domst_2!P21,3)</f>
        <v>0.77600000000000002</v>
      </c>
    </row>
    <row r="119" spans="1:14">
      <c r="A119" s="288"/>
      <c r="B119" s="259" t="s">
        <v>260</v>
      </c>
      <c r="C119" s="33">
        <v>21.6</v>
      </c>
      <c r="D119" s="33">
        <v>5.14</v>
      </c>
      <c r="E119" s="33">
        <v>7.46</v>
      </c>
      <c r="F119" s="33">
        <v>47</v>
      </c>
      <c r="G119" s="33">
        <v>1.91</v>
      </c>
      <c r="H119" s="33">
        <v>3.0063</v>
      </c>
      <c r="I119" s="33">
        <v>73.7</v>
      </c>
      <c r="J119" s="256">
        <f>ROUND(domst_2!R22,2)</f>
        <v>3.26</v>
      </c>
      <c r="L119" s="138">
        <f>ROUND(domst_2!N22,3)</f>
        <v>0.13800000000000001</v>
      </c>
      <c r="M119" s="138">
        <f>ROUND(domst_2!O22,3)</f>
        <v>8.4000000000000005E-2</v>
      </c>
      <c r="N119" s="138">
        <f>ROUND(domst_2!P22,3)</f>
        <v>0.77700000000000002</v>
      </c>
    </row>
    <row r="120" spans="1:14">
      <c r="A120" s="286" t="s">
        <v>261</v>
      </c>
      <c r="B120" s="257" t="s">
        <v>263</v>
      </c>
      <c r="C120" s="31">
        <v>18.899999999999999</v>
      </c>
      <c r="D120" s="31">
        <v>26.75</v>
      </c>
      <c r="E120" s="31">
        <v>6.492</v>
      </c>
      <c r="F120" s="31">
        <v>34.18</v>
      </c>
      <c r="G120" s="31">
        <v>4.88</v>
      </c>
      <c r="H120" s="31">
        <v>2.6620379999999999</v>
      </c>
      <c r="I120" s="31">
        <v>67.92</v>
      </c>
      <c r="J120" s="256">
        <f>ROUND('18'!R16,2)</f>
        <v>2.46</v>
      </c>
      <c r="L120" s="138">
        <f>ROUND('18'!N16,3)</f>
        <v>0.14000000000000001</v>
      </c>
      <c r="M120" s="138">
        <f>ROUND('18'!O16,3)</f>
        <v>0.434</v>
      </c>
      <c r="N120" s="138">
        <f>ROUND('18'!P16,3)</f>
        <v>0.42599999999999999</v>
      </c>
    </row>
    <row r="121" spans="1:14">
      <c r="A121" s="287"/>
      <c r="B121" s="258" t="s">
        <v>264</v>
      </c>
      <c r="C121" s="32">
        <v>19.88</v>
      </c>
      <c r="D121" s="32">
        <v>24.16</v>
      </c>
      <c r="E121" s="32">
        <v>5.5679999999999996</v>
      </c>
      <c r="F121" s="32">
        <v>37.200000000000003</v>
      </c>
      <c r="G121" s="32">
        <v>4.12</v>
      </c>
      <c r="H121" s="32">
        <v>2.7363759999999999</v>
      </c>
      <c r="I121" s="32">
        <v>77.47</v>
      </c>
      <c r="J121" s="256">
        <f>ROUND('18'!R17,2)</f>
        <v>2.6</v>
      </c>
      <c r="L121" s="138">
        <f>ROUND('18'!N17,3)</f>
        <v>0.154</v>
      </c>
      <c r="M121" s="138">
        <f>ROUND('18'!O17,3)</f>
        <v>0.376</v>
      </c>
      <c r="N121" s="138">
        <f>ROUND('18'!P17,3)</f>
        <v>0.47</v>
      </c>
    </row>
    <row r="122" spans="1:14">
      <c r="A122" s="287"/>
      <c r="B122" s="258" t="s">
        <v>267</v>
      </c>
      <c r="C122" s="32">
        <v>17.37</v>
      </c>
      <c r="D122" s="32">
        <v>29.25</v>
      </c>
      <c r="E122" s="32">
        <v>6.8940000000000001</v>
      </c>
      <c r="F122" s="32">
        <v>29.54</v>
      </c>
      <c r="G122" s="32">
        <v>5.69</v>
      </c>
      <c r="H122" s="32">
        <v>2.7596659999999997</v>
      </c>
      <c r="I122" s="32">
        <v>79</v>
      </c>
      <c r="J122" s="256">
        <f>ROUND('18'!R18,2)</f>
        <v>2.36</v>
      </c>
      <c r="L122" s="138">
        <f>ROUND('18'!N18,3)</f>
        <v>0.109</v>
      </c>
      <c r="M122" s="138">
        <f>ROUND('18'!O18,3)</f>
        <v>0.48199999999999998</v>
      </c>
      <c r="N122" s="138">
        <f>ROUND('18'!P18,3)</f>
        <v>0.40899999999999997</v>
      </c>
    </row>
    <row r="123" spans="1:14">
      <c r="A123" s="287"/>
      <c r="B123" s="258" t="s">
        <v>262</v>
      </c>
      <c r="C123" s="32">
        <v>18.149999999999999</v>
      </c>
      <c r="D123" s="32">
        <v>26.8</v>
      </c>
      <c r="E123" s="32">
        <v>5.1749999999999998</v>
      </c>
      <c r="F123" s="32">
        <v>37</v>
      </c>
      <c r="G123" s="32">
        <v>4.5999999999999996</v>
      </c>
      <c r="H123" s="32">
        <v>2.6126879999999999</v>
      </c>
      <c r="I123" s="32">
        <v>69.02</v>
      </c>
      <c r="J123" s="256">
        <f>ROUND('18'!R19,2)</f>
        <v>2.52</v>
      </c>
      <c r="L123" s="138">
        <f>ROUND('18'!N19,3)</f>
        <v>0.112</v>
      </c>
      <c r="M123" s="138">
        <f>ROUND('18'!O19,3)</f>
        <v>0.43</v>
      </c>
      <c r="N123" s="138">
        <f>ROUND('18'!P19,3)</f>
        <v>0.45800000000000002</v>
      </c>
    </row>
    <row r="124" spans="1:14">
      <c r="A124" s="287"/>
      <c r="B124" s="258" t="s">
        <v>266</v>
      </c>
      <c r="C124" s="32">
        <v>15.05</v>
      </c>
      <c r="D124" s="32">
        <v>21.61</v>
      </c>
      <c r="E124" s="32">
        <v>4.79</v>
      </c>
      <c r="F124" s="32">
        <v>25.04</v>
      </c>
      <c r="G124" s="32">
        <v>4.18</v>
      </c>
      <c r="H124" s="32">
        <v>15.911892</v>
      </c>
      <c r="I124" s="32">
        <v>67.02</v>
      </c>
      <c r="J124" s="256">
        <f>ROUND('18'!R20,2)</f>
        <v>2.44</v>
      </c>
      <c r="L124" s="138">
        <f>ROUND('18'!N20,3)</f>
        <v>9.4E-2</v>
      </c>
      <c r="M124" s="138">
        <f>ROUND('18'!O20,3)</f>
        <v>0.46600000000000003</v>
      </c>
      <c r="N124" s="138">
        <f>ROUND('18'!P20,3)</f>
        <v>0.44</v>
      </c>
    </row>
    <row r="125" spans="1:14">
      <c r="A125" s="288"/>
      <c r="B125" s="259" t="s">
        <v>265</v>
      </c>
      <c r="C125" s="33">
        <v>18.04</v>
      </c>
      <c r="D125" s="33">
        <v>27.53</v>
      </c>
      <c r="E125" s="33">
        <v>6.71</v>
      </c>
      <c r="F125" s="33">
        <v>31.98</v>
      </c>
      <c r="G125" s="33">
        <v>5.2</v>
      </c>
      <c r="H125" s="33">
        <v>2.7842720000000001</v>
      </c>
      <c r="I125" s="33">
        <v>69.540000000000006</v>
      </c>
      <c r="J125" s="256">
        <f>ROUND('18'!R21,2)</f>
        <v>2.4</v>
      </c>
      <c r="L125" s="138">
        <f>ROUND('18'!N21,3)</f>
        <v>0.113</v>
      </c>
      <c r="M125" s="138">
        <f>ROUND('18'!O21,3)</f>
        <v>0.46800000000000003</v>
      </c>
      <c r="N125" s="138">
        <f>ROUND('18'!P21,3)</f>
        <v>0.41899999999999998</v>
      </c>
    </row>
    <row r="126" spans="1:14">
      <c r="L126" s="138"/>
      <c r="M126" s="138"/>
      <c r="N126" s="138"/>
    </row>
    <row r="127" spans="1:14">
      <c r="L127" s="138"/>
      <c r="M127" s="138"/>
      <c r="N127" s="138"/>
    </row>
    <row r="128" spans="1:14">
      <c r="L128" s="138"/>
      <c r="M128" s="138"/>
      <c r="N128" s="138"/>
    </row>
    <row r="129" spans="12:14">
      <c r="L129" s="138"/>
      <c r="M129" s="138"/>
      <c r="N129" s="138"/>
    </row>
    <row r="130" spans="12:14">
      <c r="L130" s="138"/>
      <c r="M130" s="138"/>
      <c r="N130" s="138"/>
    </row>
    <row r="131" spans="12:14">
      <c r="L131" s="138"/>
      <c r="M131" s="138"/>
      <c r="N131" s="138"/>
    </row>
    <row r="132" spans="12:14">
      <c r="L132" s="138"/>
      <c r="M132" s="138"/>
      <c r="N132" s="138"/>
    </row>
    <row r="133" spans="12:14">
      <c r="L133" s="138"/>
      <c r="M133" s="138"/>
      <c r="N133" s="138"/>
    </row>
    <row r="134" spans="12:14">
      <c r="L134" s="138"/>
      <c r="M134" s="138"/>
      <c r="N134" s="138"/>
    </row>
    <row r="135" spans="12:14">
      <c r="L135" s="138"/>
      <c r="M135" s="138"/>
      <c r="N135" s="138"/>
    </row>
    <row r="136" spans="12:14">
      <c r="L136" s="138"/>
      <c r="M136" s="138"/>
      <c r="N136" s="138"/>
    </row>
    <row r="137" spans="12:14">
      <c r="L137" s="138"/>
      <c r="M137" s="138"/>
      <c r="N137" s="138"/>
    </row>
    <row r="138" spans="12:14">
      <c r="L138" s="138"/>
      <c r="M138" s="138"/>
      <c r="N138" s="138"/>
    </row>
    <row r="139" spans="12:14">
      <c r="L139" s="138"/>
      <c r="M139" s="138"/>
      <c r="N139" s="138"/>
    </row>
    <row r="140" spans="12:14">
      <c r="L140" s="138"/>
      <c r="M140" s="138"/>
      <c r="N140" s="138"/>
    </row>
    <row r="141" spans="12:14">
      <c r="L141" s="138"/>
      <c r="M141" s="138"/>
      <c r="N141" s="138"/>
    </row>
  </sheetData>
  <mergeCells count="17">
    <mergeCell ref="A95:A111"/>
    <mergeCell ref="A112:A119"/>
    <mergeCell ref="A120:A125"/>
    <mergeCell ref="A1:J1"/>
    <mergeCell ref="A55:A56"/>
    <mergeCell ref="A57:A60"/>
    <mergeCell ref="A4:A21"/>
    <mergeCell ref="A22:A30"/>
    <mergeCell ref="A42:A48"/>
    <mergeCell ref="A73:A94"/>
    <mergeCell ref="A66:A72"/>
    <mergeCell ref="L2:N2"/>
    <mergeCell ref="A31:A32"/>
    <mergeCell ref="A33:A40"/>
    <mergeCell ref="A50:A53"/>
    <mergeCell ref="A61:A65"/>
    <mergeCell ref="A2:J2"/>
  </mergeCells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157D-50BB-41E0-BDBE-60E219E4D74A}">
  <dimension ref="A1:AA26"/>
  <sheetViews>
    <sheetView zoomScale="75" zoomScaleNormal="75" workbookViewId="0">
      <selection activeCell="L5" sqref="L5:N7"/>
    </sheetView>
  </sheetViews>
  <sheetFormatPr defaultRowHeight="16.5"/>
  <cols>
    <col min="1" max="1" width="11.25" customWidth="1"/>
    <col min="2" max="3" width="12.375" customWidth="1"/>
    <col min="4" max="4" width="11.5" customWidth="1"/>
    <col min="6" max="6" width="11.625" customWidth="1"/>
    <col min="8" max="8" width="12.375" customWidth="1"/>
    <col min="9" max="9" width="13.25" customWidth="1"/>
    <col min="10" max="10" width="12.25" customWidth="1"/>
    <col min="11" max="11" width="11.5" customWidth="1"/>
    <col min="12" max="12" width="19.875" customWidth="1"/>
    <col min="13" max="13" width="19.125" customWidth="1"/>
    <col min="14" max="14" width="20.625" customWidth="1"/>
    <col min="15" max="15" width="19.875" customWidth="1"/>
    <col min="16" max="16" width="19.75" customWidth="1"/>
    <col min="17" max="17" width="19.125" customWidth="1"/>
    <col min="18" max="18" width="18.875" customWidth="1"/>
    <col min="19" max="19" width="14.875" customWidth="1"/>
    <col min="20" max="20" width="19" customWidth="1"/>
    <col min="21" max="21" width="14.25" customWidth="1"/>
    <col min="22" max="22" width="10.25" customWidth="1"/>
    <col min="25" max="25" width="11.875" bestFit="1" customWidth="1"/>
  </cols>
  <sheetData>
    <row r="1" spans="1:27" ht="26.25">
      <c r="A1" s="289" t="s">
        <v>101</v>
      </c>
      <c r="B1" s="289"/>
      <c r="C1" s="289"/>
      <c r="D1" s="289"/>
      <c r="E1" s="289"/>
      <c r="F1" s="289"/>
      <c r="G1" s="289"/>
      <c r="H1" s="289"/>
      <c r="I1" s="289"/>
      <c r="J1" s="289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</row>
    <row r="2" spans="1:27" ht="20.25">
      <c r="A2" s="284" t="s">
        <v>102</v>
      </c>
      <c r="B2" s="285"/>
      <c r="C2" s="285"/>
      <c r="D2" s="285"/>
      <c r="E2" s="285"/>
      <c r="F2" s="285"/>
      <c r="G2" s="285"/>
      <c r="H2" s="285"/>
      <c r="I2" s="285"/>
      <c r="J2" s="285"/>
      <c r="K2" s="134"/>
      <c r="L2" s="159" t="s">
        <v>122</v>
      </c>
      <c r="M2" s="160"/>
      <c r="N2" s="161"/>
      <c r="O2" s="102"/>
      <c r="P2" s="102"/>
      <c r="Q2" s="102"/>
      <c r="R2" s="134"/>
      <c r="S2" s="134"/>
      <c r="T2" s="134"/>
      <c r="U2" s="134"/>
      <c r="V2" s="134"/>
      <c r="W2" s="134"/>
      <c r="X2" s="134"/>
    </row>
    <row r="3" spans="1:27" ht="34.5">
      <c r="A3" s="2" t="s">
        <v>116</v>
      </c>
      <c r="B3" s="3" t="s">
        <v>18</v>
      </c>
      <c r="C3" s="4" t="s">
        <v>20</v>
      </c>
      <c r="D3" s="4" t="s">
        <v>22</v>
      </c>
      <c r="E3" s="4" t="s">
        <v>21</v>
      </c>
      <c r="F3" s="4" t="s">
        <v>19</v>
      </c>
      <c r="G3" s="4" t="s">
        <v>23</v>
      </c>
      <c r="H3" s="4" t="s">
        <v>33</v>
      </c>
      <c r="I3" s="5" t="s">
        <v>118</v>
      </c>
      <c r="J3" s="6" t="s">
        <v>117</v>
      </c>
      <c r="K3" s="7"/>
      <c r="L3" s="36" t="s">
        <v>103</v>
      </c>
      <c r="M3" s="7" t="s">
        <v>121</v>
      </c>
      <c r="N3" s="37" t="s">
        <v>155</v>
      </c>
      <c r="O3" s="7"/>
      <c r="P3" s="7"/>
      <c r="Q3" s="7"/>
      <c r="R3" s="7"/>
      <c r="S3" s="7"/>
      <c r="T3" s="7"/>
      <c r="U3" s="7"/>
      <c r="V3" s="7"/>
    </row>
    <row r="4" spans="1:27" ht="17.25">
      <c r="A4" s="224" t="s">
        <v>231</v>
      </c>
      <c r="B4" s="117" t="s">
        <v>56</v>
      </c>
      <c r="C4" s="118">
        <v>20.420000000000002</v>
      </c>
      <c r="D4" s="118">
        <v>9.9</v>
      </c>
      <c r="E4" s="118">
        <v>8.18</v>
      </c>
      <c r="F4" s="118">
        <v>55.11</v>
      </c>
      <c r="G4" s="118">
        <v>2.72</v>
      </c>
      <c r="H4" s="119">
        <v>0</v>
      </c>
      <c r="I4" s="120">
        <v>77</v>
      </c>
      <c r="J4" s="121">
        <v>3.06624557977407</v>
      </c>
      <c r="K4" s="23"/>
      <c r="L4" s="158">
        <v>16.8</v>
      </c>
      <c r="M4" s="7">
        <v>3.6</v>
      </c>
      <c r="N4" s="162">
        <v>0.2</v>
      </c>
      <c r="O4" s="23"/>
      <c r="P4" s="23"/>
      <c r="Q4" s="23"/>
      <c r="R4" s="23"/>
      <c r="S4" s="23"/>
      <c r="T4" s="23"/>
      <c r="U4" s="23"/>
    </row>
    <row r="5" spans="1:27" ht="17.25">
      <c r="A5" s="99"/>
      <c r="B5" s="134"/>
      <c r="C5" s="134"/>
      <c r="D5" s="134"/>
      <c r="E5" s="134"/>
      <c r="F5" s="134"/>
      <c r="G5" s="134"/>
      <c r="H5" s="134"/>
      <c r="I5" s="134"/>
      <c r="J5" s="134"/>
      <c r="K5" s="23"/>
      <c r="L5" s="303" t="s">
        <v>156</v>
      </c>
      <c r="M5" s="303"/>
      <c r="N5" s="303"/>
      <c r="O5" s="23"/>
      <c r="P5" s="23"/>
      <c r="Q5" s="23"/>
      <c r="R5" s="23"/>
      <c r="S5" s="23"/>
      <c r="T5" s="23"/>
      <c r="U5" s="23"/>
    </row>
    <row r="6" spans="1:27" ht="17.25">
      <c r="K6" s="23"/>
      <c r="L6" s="319"/>
      <c r="M6" s="319"/>
      <c r="N6" s="319"/>
      <c r="O6" s="23"/>
      <c r="P6" s="23"/>
      <c r="Q6" s="23"/>
      <c r="R6" s="23"/>
      <c r="S6" s="23"/>
      <c r="T6" s="23"/>
      <c r="U6" s="23"/>
      <c r="V6" s="23"/>
    </row>
    <row r="7" spans="1:27" ht="17.25">
      <c r="A7" s="7"/>
      <c r="B7" s="7"/>
      <c r="C7" s="7"/>
      <c r="D7" s="55"/>
      <c r="K7" s="23"/>
      <c r="L7" s="319"/>
      <c r="M7" s="319"/>
      <c r="N7" s="319"/>
      <c r="O7" s="23"/>
      <c r="P7" s="23"/>
      <c r="Q7" s="23"/>
      <c r="R7" s="23"/>
      <c r="S7" s="23"/>
      <c r="T7" s="23"/>
      <c r="U7" s="23"/>
      <c r="V7" s="23"/>
    </row>
    <row r="8" spans="1:27" ht="17.25">
      <c r="A8" s="134"/>
      <c r="B8" s="134"/>
      <c r="C8" s="134"/>
      <c r="D8" s="55"/>
      <c r="K8" s="23"/>
      <c r="L8" s="223"/>
      <c r="M8" s="223"/>
      <c r="N8" s="223"/>
      <c r="O8" s="23"/>
      <c r="P8" s="23"/>
      <c r="Q8" s="23"/>
      <c r="R8" s="23"/>
      <c r="S8" s="23"/>
      <c r="T8" s="23"/>
      <c r="U8" s="23"/>
      <c r="V8" s="23"/>
    </row>
    <row r="9" spans="1:27" ht="17.25" customHeight="1">
      <c r="A9" s="55"/>
      <c r="B9" s="55"/>
      <c r="C9" s="55"/>
      <c r="D9" s="55"/>
      <c r="L9" s="223"/>
      <c r="M9" s="223"/>
      <c r="N9" s="223"/>
      <c r="O9" s="163"/>
      <c r="P9" s="163"/>
      <c r="Q9" s="164"/>
      <c r="R9" s="100"/>
      <c r="S9" s="100"/>
      <c r="T9" s="100"/>
    </row>
    <row r="10" spans="1:27" ht="17.25" customHeight="1">
      <c r="A10" s="55"/>
      <c r="B10" s="55"/>
      <c r="C10" s="55"/>
      <c r="D10" s="55"/>
      <c r="L10" s="223"/>
      <c r="M10" s="223"/>
      <c r="N10" s="223"/>
      <c r="O10" s="163"/>
      <c r="P10" s="164"/>
      <c r="Q10" s="164"/>
      <c r="R10" s="100"/>
      <c r="S10" s="100"/>
      <c r="T10" s="100"/>
    </row>
    <row r="11" spans="1:27" ht="16.5" customHeight="1">
      <c r="L11" s="223"/>
      <c r="M11" s="223"/>
      <c r="N11" s="223"/>
      <c r="O11" s="68"/>
      <c r="P11" s="68"/>
      <c r="Q11" s="68"/>
      <c r="R11" s="68"/>
      <c r="S11" s="68"/>
      <c r="T11" s="68"/>
    </row>
    <row r="12" spans="1:27" ht="17.25">
      <c r="L12" s="23"/>
      <c r="M12" s="23"/>
      <c r="N12" s="23"/>
      <c r="R12" s="68"/>
      <c r="S12" s="68"/>
      <c r="T12" s="68"/>
    </row>
    <row r="13" spans="1:27" ht="17.25">
      <c r="L13" s="23"/>
      <c r="M13" s="23"/>
      <c r="N13" s="23"/>
    </row>
    <row r="14" spans="1:27">
      <c r="K14" s="64"/>
      <c r="L14" s="89" t="s">
        <v>138</v>
      </c>
      <c r="M14" s="90" t="s">
        <v>139</v>
      </c>
      <c r="N14" s="91" t="s">
        <v>157</v>
      </c>
      <c r="O14" s="55"/>
    </row>
    <row r="15" spans="1:27" ht="17.25">
      <c r="K15" s="92" t="s">
        <v>125</v>
      </c>
      <c r="L15" s="93">
        <v>0.71799999999999997</v>
      </c>
      <c r="M15" s="93">
        <v>0.77200000000000002</v>
      </c>
      <c r="N15" s="94">
        <v>8.1000000000000003E-2</v>
      </c>
    </row>
    <row r="16" spans="1:27" ht="34.5">
      <c r="A16" s="44" t="s">
        <v>106</v>
      </c>
      <c r="B16" s="45" t="s">
        <v>105</v>
      </c>
      <c r="C16" s="46" t="s">
        <v>107</v>
      </c>
      <c r="K16" s="92" t="s">
        <v>133</v>
      </c>
      <c r="L16" s="93"/>
      <c r="M16" s="93"/>
      <c r="N16" s="94">
        <v>0.13400000000000001</v>
      </c>
    </row>
    <row r="17" spans="1:21" ht="17.25">
      <c r="A17" s="146">
        <v>102</v>
      </c>
      <c r="B17" s="147">
        <v>56.1</v>
      </c>
      <c r="C17" s="148">
        <v>60.1</v>
      </c>
      <c r="K17" s="75" t="s">
        <v>126</v>
      </c>
      <c r="L17" s="95">
        <v>0.28199999999999997</v>
      </c>
      <c r="M17" s="95">
        <v>0.22800000000000001</v>
      </c>
      <c r="N17" s="104"/>
    </row>
    <row r="18" spans="1:21" ht="17.25">
      <c r="A18" s="35"/>
      <c r="I18" s="134"/>
      <c r="J18" s="134"/>
      <c r="L18" s="134"/>
      <c r="M18" s="134"/>
      <c r="N18" s="134"/>
    </row>
    <row r="19" spans="1:21" ht="17.25">
      <c r="A19" s="35"/>
      <c r="I19" s="134"/>
      <c r="J19" s="134"/>
      <c r="L19" s="23"/>
      <c r="M19" s="23"/>
      <c r="N19" s="23"/>
      <c r="Q19" s="83"/>
      <c r="R19" s="83"/>
      <c r="U19" s="55"/>
    </row>
    <row r="20" spans="1:21" ht="17.25">
      <c r="A20" s="35"/>
      <c r="I20" s="134"/>
      <c r="J20" s="134"/>
      <c r="K20" s="134"/>
      <c r="L20" s="134"/>
      <c r="M20" s="134"/>
      <c r="N20" s="134"/>
      <c r="O20" s="134"/>
      <c r="P20" s="134"/>
      <c r="Q20" s="134"/>
      <c r="R20" s="134"/>
    </row>
    <row r="21" spans="1:21" ht="34.5" customHeight="1">
      <c r="A21" s="299" t="s">
        <v>129</v>
      </c>
      <c r="B21" s="53"/>
      <c r="C21" s="3" t="s">
        <v>104</v>
      </c>
      <c r="D21" s="3" t="s">
        <v>119</v>
      </c>
      <c r="E21" s="3"/>
      <c r="F21" s="54" t="s">
        <v>120</v>
      </c>
      <c r="G21" s="54"/>
      <c r="H21" s="3"/>
      <c r="I21" s="3" t="s">
        <v>109</v>
      </c>
      <c r="J21" s="3" t="s">
        <v>108</v>
      </c>
      <c r="K21" s="3" t="s">
        <v>110</v>
      </c>
      <c r="L21" s="3" t="s">
        <v>111</v>
      </c>
      <c r="M21" s="3"/>
      <c r="N21" s="3" t="s">
        <v>113</v>
      </c>
      <c r="O21" s="3" t="s">
        <v>112</v>
      </c>
      <c r="P21" s="3" t="s">
        <v>114</v>
      </c>
      <c r="Q21" s="3"/>
      <c r="R21" s="3" t="s">
        <v>115</v>
      </c>
      <c r="S21" s="6" t="s">
        <v>117</v>
      </c>
      <c r="T21" s="59" t="s">
        <v>130</v>
      </c>
    </row>
    <row r="22" spans="1:21" ht="17.25">
      <c r="A22" s="300"/>
      <c r="B22" s="125" t="s">
        <v>56</v>
      </c>
      <c r="C22" s="117">
        <f>C4-M4*$L$15-N4*$N$15</f>
        <v>17.818999999999999</v>
      </c>
      <c r="D22" s="33">
        <f>D4-(N4*$N$16)</f>
        <v>9.8732000000000006</v>
      </c>
      <c r="E22" s="101"/>
      <c r="F22" s="33">
        <f>F4*(100-L4)*0.01-(M4*$L$17)</f>
        <v>44.836320000000001</v>
      </c>
      <c r="G22" s="117"/>
      <c r="H22" s="33"/>
      <c r="I22" s="50">
        <f>100*C22/$A$17</f>
        <v>17.469607843137254</v>
      </c>
      <c r="J22" s="50">
        <f>100*D22/$B$17</f>
        <v>17.599286987522284</v>
      </c>
      <c r="K22" s="50">
        <f>100*F22/$C$17</f>
        <v>74.60286189683859</v>
      </c>
      <c r="L22" s="50">
        <f>SUM(I22:K22)</f>
        <v>109.67175672749812</v>
      </c>
      <c r="M22" s="50"/>
      <c r="N22" s="50">
        <f>I22/L22</f>
        <v>0.15928994268363972</v>
      </c>
      <c r="O22" s="50">
        <f>J22/L22</f>
        <v>0.16047237240168685</v>
      </c>
      <c r="P22" s="50">
        <f>K22/L22</f>
        <v>0.68023768491467351</v>
      </c>
      <c r="Q22" s="50"/>
      <c r="R22" s="50">
        <f>(11-12*O22+N22)/(3-2*O22+2*N22)</f>
        <v>3.0803019850262352</v>
      </c>
      <c r="S22" s="165">
        <v>3.06624557977407</v>
      </c>
      <c r="T22" s="144">
        <f t="shared" ref="T22" si="0">ABS(R22-S22)</f>
        <v>1.4056405252165227E-2</v>
      </c>
    </row>
    <row r="23" spans="1:21">
      <c r="A23" s="254"/>
      <c r="T23" s="166">
        <f>AVERAGE(T22:T22)</f>
        <v>1.4056405252165227E-2</v>
      </c>
    </row>
    <row r="24" spans="1:21" ht="34.5" customHeight="1">
      <c r="A24" s="105"/>
      <c r="U24" s="55"/>
    </row>
    <row r="25" spans="1:21" ht="34.5" customHeight="1">
      <c r="A25" s="105"/>
    </row>
    <row r="26" spans="1:21">
      <c r="A26" s="105"/>
    </row>
  </sheetData>
  <mergeCells count="4">
    <mergeCell ref="L5:N7"/>
    <mergeCell ref="A1:J1"/>
    <mergeCell ref="A2:J2"/>
    <mergeCell ref="A21:A22"/>
  </mergeCells>
  <phoneticPr fontId="6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B9944-E35E-4BB4-9C75-2F88BD7B82D8}">
  <dimension ref="A1:AA26"/>
  <sheetViews>
    <sheetView topLeftCell="B1" zoomScale="75" zoomScaleNormal="75" workbookViewId="0">
      <selection activeCell="L5" sqref="L5:M6"/>
    </sheetView>
  </sheetViews>
  <sheetFormatPr defaultRowHeight="16.5"/>
  <cols>
    <col min="1" max="1" width="11.25" customWidth="1"/>
    <col min="2" max="2" width="12.375" customWidth="1"/>
    <col min="3" max="3" width="26" customWidth="1"/>
    <col min="4" max="5" width="11.5" customWidth="1"/>
    <col min="6" max="6" width="11.625" customWidth="1"/>
    <col min="8" max="8" width="12.375" customWidth="1"/>
    <col min="9" max="9" width="13.25" customWidth="1"/>
    <col min="10" max="10" width="12.25" customWidth="1"/>
    <col min="11" max="11" width="11.5" customWidth="1"/>
    <col min="12" max="12" width="19.875" customWidth="1"/>
    <col min="13" max="13" width="19.125" customWidth="1"/>
    <col min="14" max="14" width="20.625" customWidth="1"/>
    <col min="15" max="15" width="19.875" customWidth="1"/>
    <col min="16" max="16" width="19.75" customWidth="1"/>
    <col min="17" max="17" width="19.125" customWidth="1"/>
    <col min="18" max="18" width="17.875" customWidth="1"/>
    <col min="19" max="19" width="14.875" customWidth="1"/>
    <col min="20" max="20" width="19" customWidth="1"/>
    <col min="21" max="21" width="14.25" customWidth="1"/>
    <col min="22" max="22" width="10.25" customWidth="1"/>
    <col min="25" max="25" width="11.875" bestFit="1" customWidth="1"/>
  </cols>
  <sheetData>
    <row r="1" spans="1:27" ht="26.25">
      <c r="A1" s="289" t="s">
        <v>101</v>
      </c>
      <c r="B1" s="289"/>
      <c r="C1" s="289"/>
      <c r="D1" s="289"/>
      <c r="E1" s="289"/>
      <c r="F1" s="289"/>
      <c r="G1" s="289"/>
      <c r="H1" s="289"/>
      <c r="I1" s="289"/>
      <c r="J1" s="289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</row>
    <row r="2" spans="1:27" ht="20.25">
      <c r="A2" s="284" t="s">
        <v>102</v>
      </c>
      <c r="B2" s="285"/>
      <c r="C2" s="285"/>
      <c r="D2" s="285"/>
      <c r="E2" s="285"/>
      <c r="F2" s="285"/>
      <c r="G2" s="285"/>
      <c r="H2" s="285"/>
      <c r="I2" s="285"/>
      <c r="J2" s="285"/>
      <c r="K2" s="134"/>
      <c r="L2" s="295" t="s">
        <v>122</v>
      </c>
      <c r="M2" s="296"/>
      <c r="N2" s="296"/>
      <c r="O2" s="296"/>
      <c r="P2" s="296"/>
      <c r="Q2" s="297"/>
      <c r="R2" s="102"/>
      <c r="S2" s="134"/>
      <c r="T2" s="134"/>
      <c r="U2" s="134"/>
      <c r="V2" s="134"/>
      <c r="W2" s="134"/>
      <c r="X2" s="134"/>
    </row>
    <row r="3" spans="1:27" ht="34.5">
      <c r="A3" s="2" t="s">
        <v>116</v>
      </c>
      <c r="B3" s="3" t="s">
        <v>18</v>
      </c>
      <c r="C3" s="4" t="s">
        <v>20</v>
      </c>
      <c r="D3" s="4" t="s">
        <v>22</v>
      </c>
      <c r="E3" s="4" t="s">
        <v>21</v>
      </c>
      <c r="F3" s="4" t="s">
        <v>19</v>
      </c>
      <c r="G3" s="4" t="s">
        <v>23</v>
      </c>
      <c r="H3" s="4" t="s">
        <v>33</v>
      </c>
      <c r="I3" s="5" t="s">
        <v>118</v>
      </c>
      <c r="J3" s="6" t="s">
        <v>117</v>
      </c>
      <c r="K3" s="7"/>
      <c r="L3" s="36" t="s">
        <v>103</v>
      </c>
      <c r="M3" s="7" t="s">
        <v>168</v>
      </c>
      <c r="N3" s="7" t="s">
        <v>169</v>
      </c>
      <c r="O3" s="7" t="s">
        <v>170</v>
      </c>
      <c r="P3" s="7" t="s">
        <v>171</v>
      </c>
      <c r="Q3" s="212" t="s">
        <v>173</v>
      </c>
      <c r="R3" s="7"/>
      <c r="S3" s="7"/>
      <c r="T3" s="7"/>
      <c r="U3" s="7"/>
    </row>
    <row r="4" spans="1:27" ht="17.25">
      <c r="A4" s="167" t="s">
        <v>167</v>
      </c>
      <c r="B4" s="168" t="s">
        <v>58</v>
      </c>
      <c r="C4" s="169">
        <v>13.51</v>
      </c>
      <c r="D4" s="169">
        <v>3.33</v>
      </c>
      <c r="E4" s="169">
        <v>1.82</v>
      </c>
      <c r="F4" s="169">
        <v>66.97</v>
      </c>
      <c r="G4" s="169">
        <v>0.65</v>
      </c>
      <c r="H4" s="170">
        <v>6.0545600000000004</v>
      </c>
      <c r="I4" s="171">
        <v>91.8</v>
      </c>
      <c r="J4" s="172">
        <v>3.4539205212692585</v>
      </c>
      <c r="K4" s="23"/>
      <c r="L4" s="174">
        <v>1.2</v>
      </c>
      <c r="M4" s="175">
        <v>1.3</v>
      </c>
      <c r="N4" s="175">
        <v>1.7</v>
      </c>
      <c r="O4" s="81">
        <v>0.4</v>
      </c>
      <c r="P4" s="81">
        <v>0.9</v>
      </c>
      <c r="Q4" s="213">
        <v>0.3</v>
      </c>
      <c r="R4" s="23"/>
      <c r="S4" s="23"/>
      <c r="T4" s="23"/>
    </row>
    <row r="5" spans="1:27" ht="17.25" customHeight="1">
      <c r="A5" s="99"/>
      <c r="B5" s="134"/>
      <c r="C5" s="134"/>
      <c r="D5" s="134"/>
      <c r="E5" s="134"/>
      <c r="F5" s="134"/>
      <c r="G5" s="134"/>
      <c r="H5" s="134"/>
      <c r="I5" s="134"/>
      <c r="J5" s="134"/>
      <c r="K5" s="23"/>
      <c r="L5" s="319" t="s">
        <v>172</v>
      </c>
      <c r="M5" s="319"/>
      <c r="N5" s="303" t="s">
        <v>177</v>
      </c>
      <c r="O5" s="303"/>
      <c r="P5" s="303"/>
      <c r="Q5" s="325" t="s">
        <v>176</v>
      </c>
      <c r="R5" s="178"/>
      <c r="S5" s="23"/>
      <c r="T5" s="23"/>
      <c r="U5" s="23"/>
    </row>
    <row r="6" spans="1:27" ht="17.25">
      <c r="K6" s="23"/>
      <c r="L6" s="319"/>
      <c r="M6" s="319"/>
      <c r="N6" s="319"/>
      <c r="O6" s="319"/>
      <c r="P6" s="319"/>
      <c r="Q6" s="326"/>
      <c r="R6" s="178"/>
      <c r="S6" s="23"/>
      <c r="T6" s="23"/>
      <c r="U6" s="23"/>
      <c r="V6" s="23"/>
    </row>
    <row r="7" spans="1:27" ht="17.25">
      <c r="A7" s="7"/>
      <c r="B7" s="7"/>
      <c r="C7" s="7"/>
      <c r="D7" s="55"/>
      <c r="K7" s="23"/>
      <c r="L7" s="163"/>
      <c r="M7" s="163"/>
      <c r="N7" s="163"/>
      <c r="O7" s="23"/>
      <c r="P7" s="178"/>
      <c r="Q7" s="178"/>
      <c r="R7" s="178"/>
      <c r="S7" s="23"/>
      <c r="T7" s="23"/>
      <c r="U7" s="23"/>
      <c r="V7" s="23"/>
    </row>
    <row r="8" spans="1:27" ht="17.25">
      <c r="A8" s="134"/>
      <c r="B8" s="134"/>
      <c r="C8" s="134"/>
      <c r="D8" s="55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</row>
    <row r="9" spans="1:27" ht="17.25" customHeight="1">
      <c r="A9" s="134"/>
      <c r="B9" s="134"/>
      <c r="C9" s="134"/>
      <c r="D9" s="55"/>
      <c r="L9" s="23"/>
      <c r="M9" s="23"/>
      <c r="N9" s="23"/>
      <c r="O9" s="163"/>
      <c r="P9" s="163"/>
      <c r="Q9" s="179"/>
      <c r="R9" s="100"/>
      <c r="S9" s="100"/>
      <c r="T9" s="100"/>
    </row>
    <row r="10" spans="1:27" ht="17.25" customHeight="1">
      <c r="A10" s="134"/>
      <c r="B10" s="134"/>
      <c r="C10" s="134"/>
      <c r="D10" s="55"/>
      <c r="L10" s="23"/>
      <c r="M10" s="23"/>
      <c r="N10" s="23"/>
      <c r="O10" s="163"/>
      <c r="P10" s="164"/>
      <c r="Q10" s="164"/>
      <c r="R10" s="100"/>
      <c r="S10" s="100"/>
      <c r="T10" s="100"/>
    </row>
    <row r="11" spans="1:27" ht="16.5" customHeight="1">
      <c r="A11" s="134"/>
      <c r="B11" s="134"/>
      <c r="C11" s="134"/>
      <c r="D11" s="55"/>
      <c r="L11" s="23"/>
      <c r="M11" s="23"/>
      <c r="N11" s="23"/>
      <c r="O11" s="68"/>
      <c r="P11" s="68"/>
      <c r="Q11" s="68"/>
      <c r="R11" s="68"/>
      <c r="S11" s="68"/>
      <c r="T11" s="68"/>
    </row>
    <row r="12" spans="1:27" ht="17.25">
      <c r="A12" s="134"/>
      <c r="B12" s="134"/>
      <c r="C12" s="134"/>
      <c r="D12" s="55"/>
      <c r="L12" s="23"/>
      <c r="M12" s="23"/>
      <c r="N12" s="23"/>
      <c r="R12" s="68"/>
      <c r="S12" s="68"/>
      <c r="T12" s="68"/>
    </row>
    <row r="13" spans="1:27" ht="17.25">
      <c r="A13" s="55"/>
      <c r="B13" s="55"/>
      <c r="C13" s="55"/>
      <c r="D13" s="55"/>
      <c r="L13" s="23"/>
      <c r="M13" s="23"/>
      <c r="N13" s="23"/>
    </row>
    <row r="14" spans="1:27">
      <c r="A14" s="55"/>
      <c r="B14" s="55"/>
      <c r="C14" s="55"/>
      <c r="D14" s="55"/>
      <c r="O14" s="55"/>
    </row>
    <row r="16" spans="1:27" ht="17.25">
      <c r="L16" s="7"/>
      <c r="M16" s="7"/>
      <c r="N16" s="7"/>
    </row>
    <row r="17" spans="1:21" ht="17.25">
      <c r="L17" s="7"/>
      <c r="M17" s="7"/>
      <c r="N17" s="7"/>
    </row>
    <row r="18" spans="1:21" ht="17.25">
      <c r="L18" s="134"/>
      <c r="M18" s="134"/>
      <c r="N18" s="134"/>
    </row>
    <row r="19" spans="1:21" ht="17.25">
      <c r="L19" s="23"/>
      <c r="M19" s="23"/>
      <c r="N19" s="23"/>
      <c r="Q19" s="83"/>
      <c r="R19" s="83"/>
      <c r="U19" s="55"/>
    </row>
    <row r="20" spans="1:21" ht="31.5" customHeight="1">
      <c r="A20" s="44" t="s">
        <v>106</v>
      </c>
      <c r="B20" s="45" t="s">
        <v>105</v>
      </c>
      <c r="C20" s="46" t="s">
        <v>107</v>
      </c>
      <c r="E20" s="188" t="s">
        <v>178</v>
      </c>
      <c r="F20" s="59" t="s">
        <v>179</v>
      </c>
      <c r="K20" s="64"/>
      <c r="L20" s="89" t="s">
        <v>174</v>
      </c>
      <c r="M20" s="89" t="s">
        <v>180</v>
      </c>
      <c r="N20" s="91" t="s">
        <v>175</v>
      </c>
      <c r="O20" s="80"/>
      <c r="P20" s="80"/>
      <c r="Q20" s="80"/>
      <c r="R20" s="83"/>
      <c r="S20" s="80"/>
    </row>
    <row r="21" spans="1:21" ht="17.25">
      <c r="A21" s="146">
        <v>102</v>
      </c>
      <c r="B21" s="147">
        <v>56.1</v>
      </c>
      <c r="C21" s="148">
        <v>60.1</v>
      </c>
      <c r="E21" s="75">
        <v>262.2</v>
      </c>
      <c r="F21" s="106">
        <v>277.39999999999998</v>
      </c>
      <c r="K21" s="92" t="s">
        <v>125</v>
      </c>
      <c r="L21" s="184">
        <v>0.19</v>
      </c>
      <c r="M21" s="180">
        <v>0.23050000000000001</v>
      </c>
      <c r="N21" s="181">
        <v>0.19919999999999999</v>
      </c>
      <c r="O21" s="93"/>
      <c r="P21" s="93"/>
      <c r="Q21" s="93"/>
      <c r="R21" s="88"/>
      <c r="S21" s="86"/>
    </row>
    <row r="22" spans="1:21" ht="17.25">
      <c r="A22" s="35"/>
      <c r="I22" s="134"/>
      <c r="J22" s="134"/>
      <c r="K22" s="92" t="s">
        <v>133</v>
      </c>
      <c r="L22" s="184"/>
      <c r="M22" s="180">
        <v>4.2300000000000003E-3</v>
      </c>
      <c r="N22" s="181">
        <v>4.4999999999999997E-3</v>
      </c>
      <c r="O22" s="93"/>
      <c r="P22" s="93"/>
      <c r="Q22" s="93"/>
      <c r="R22" s="85"/>
      <c r="S22" s="86"/>
    </row>
    <row r="23" spans="1:21" ht="17.25">
      <c r="A23" s="35"/>
      <c r="I23" s="134"/>
      <c r="J23" s="134"/>
      <c r="K23" s="75" t="s">
        <v>126</v>
      </c>
      <c r="L23" s="186">
        <v>0.69</v>
      </c>
      <c r="M23" s="182">
        <v>0.63380000000000003</v>
      </c>
      <c r="N23" s="183">
        <v>0.64029999999999998</v>
      </c>
      <c r="O23" s="103"/>
      <c r="P23" s="103"/>
      <c r="Q23" s="93"/>
      <c r="R23" s="85"/>
      <c r="S23" s="86"/>
    </row>
    <row r="24" spans="1:21" ht="34.5" customHeight="1">
      <c r="A24" s="35"/>
      <c r="I24" s="134"/>
      <c r="J24" s="134"/>
      <c r="K24" s="134"/>
      <c r="L24" s="134"/>
      <c r="M24" s="154"/>
      <c r="N24" s="134"/>
      <c r="O24" s="134"/>
      <c r="P24" s="134"/>
      <c r="Q24" s="134"/>
      <c r="R24" s="134"/>
      <c r="U24" s="55"/>
    </row>
    <row r="25" spans="1:21" ht="34.5" customHeight="1">
      <c r="A25" s="299"/>
      <c r="B25" s="53"/>
      <c r="C25" s="3" t="s">
        <v>104</v>
      </c>
      <c r="D25" s="3" t="s">
        <v>119</v>
      </c>
      <c r="E25" s="3"/>
      <c r="F25" s="54" t="s">
        <v>120</v>
      </c>
      <c r="G25" s="54"/>
      <c r="H25" s="3"/>
      <c r="I25" s="3" t="s">
        <v>109</v>
      </c>
      <c r="J25" s="3" t="s">
        <v>108</v>
      </c>
      <c r="K25" s="3" t="s">
        <v>110</v>
      </c>
      <c r="L25" s="3" t="s">
        <v>111</v>
      </c>
      <c r="M25" s="3"/>
      <c r="N25" s="3" t="s">
        <v>113</v>
      </c>
      <c r="O25" s="3" t="s">
        <v>112</v>
      </c>
      <c r="P25" s="3" t="s">
        <v>114</v>
      </c>
      <c r="Q25" s="3"/>
      <c r="R25" s="3" t="s">
        <v>115</v>
      </c>
      <c r="S25" s="6" t="s">
        <v>117</v>
      </c>
      <c r="T25" s="59" t="s">
        <v>130</v>
      </c>
    </row>
    <row r="26" spans="1:21" ht="17.25">
      <c r="A26" s="301"/>
      <c r="B26" s="176" t="s">
        <v>55</v>
      </c>
      <c r="C26" s="33">
        <f>C4-M4*L21-N4*M21-O4*N21-P4*(A21/E21)*3/5-P4*(A21/F21)*2/5</f>
        <v>12.449029324159119</v>
      </c>
      <c r="D26" s="33">
        <f>D4-N4*M22-O4*N22-P4*(B21/F21)*2/5</f>
        <v>3.2482043857245855</v>
      </c>
      <c r="E26" s="33"/>
      <c r="F26" s="33">
        <f>F4*(100-L4)*0.01-M4*L23-N4*M23-O4*N23-P4*(6*C21/E21)*3/5-P4*(2*C21/F21)*2/5</f>
        <v>63.037134189523826</v>
      </c>
      <c r="G26" s="33"/>
      <c r="H26" s="33"/>
      <c r="I26" s="50">
        <f>100*C26/$A$21</f>
        <v>12.204930709959921</v>
      </c>
      <c r="J26" s="50">
        <f>100*D26/$B$21</f>
        <v>5.7900256430028261</v>
      </c>
      <c r="K26" s="50">
        <f>100*F26/$C$21</f>
        <v>104.88707851834246</v>
      </c>
      <c r="L26" s="50">
        <f>SUM(I26:K26)</f>
        <v>122.88203487130521</v>
      </c>
      <c r="M26" s="50"/>
      <c r="N26" s="50">
        <f>I26/L26</f>
        <v>9.9322335626539623E-2</v>
      </c>
      <c r="O26" s="50">
        <f>J26/L26</f>
        <v>4.7118569033030258E-2</v>
      </c>
      <c r="P26" s="50">
        <f>K26/L26</f>
        <v>0.85355909534043017</v>
      </c>
      <c r="Q26" s="50"/>
      <c r="R26" s="50">
        <f>(11-12*O26+N26)/(3-2*O26+2*N26)</f>
        <v>3.3932076876568971</v>
      </c>
      <c r="S26" s="177">
        <v>3.4539205212692599</v>
      </c>
      <c r="T26" s="144">
        <f>ABS(R26-S26)</f>
        <v>6.0712833612362793E-2</v>
      </c>
    </row>
  </sheetData>
  <mergeCells count="7">
    <mergeCell ref="A25:A26"/>
    <mergeCell ref="N5:P6"/>
    <mergeCell ref="Q5:Q6"/>
    <mergeCell ref="A1:J1"/>
    <mergeCell ref="A2:J2"/>
    <mergeCell ref="L2:Q2"/>
    <mergeCell ref="L5:M6"/>
  </mergeCells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45D9-E36B-4C26-8D0C-F51632470C19}">
  <dimension ref="A1:AA28"/>
  <sheetViews>
    <sheetView zoomScale="75" zoomScaleNormal="75" workbookViewId="0">
      <selection activeCell="N6" sqref="N6:O7"/>
    </sheetView>
  </sheetViews>
  <sheetFormatPr defaultRowHeight="16.5"/>
  <cols>
    <col min="1" max="1" width="11.25" customWidth="1"/>
    <col min="2" max="2" width="12.375" customWidth="1"/>
    <col min="3" max="3" width="12.125" customWidth="1"/>
    <col min="4" max="5" width="11.5" customWidth="1"/>
    <col min="6" max="6" width="11.625" customWidth="1"/>
    <col min="8" max="8" width="12.375" customWidth="1"/>
    <col min="9" max="9" width="13.25" customWidth="1"/>
    <col min="10" max="10" width="12.25" customWidth="1"/>
    <col min="11" max="11" width="11.5" customWidth="1"/>
    <col min="12" max="12" width="19.875" customWidth="1"/>
    <col min="13" max="13" width="19.125" customWidth="1"/>
    <col min="14" max="14" width="20.625" customWidth="1"/>
    <col min="15" max="15" width="19.875" customWidth="1"/>
    <col min="16" max="16" width="19.75" customWidth="1"/>
    <col min="17" max="17" width="19.125" customWidth="1"/>
    <col min="18" max="18" width="17.875" customWidth="1"/>
    <col min="19" max="19" width="14.875" customWidth="1"/>
    <col min="20" max="20" width="19" customWidth="1"/>
    <col min="21" max="21" width="14.25" customWidth="1"/>
    <col min="22" max="22" width="10.25" customWidth="1"/>
    <col min="25" max="25" width="11.875" bestFit="1" customWidth="1"/>
  </cols>
  <sheetData>
    <row r="1" spans="1:27" ht="26.25">
      <c r="A1" s="289" t="s">
        <v>101</v>
      </c>
      <c r="B1" s="289"/>
      <c r="C1" s="289"/>
      <c r="D1" s="289"/>
      <c r="E1" s="289"/>
      <c r="F1" s="289"/>
      <c r="G1" s="289"/>
      <c r="H1" s="289"/>
      <c r="I1" s="289"/>
      <c r="J1" s="289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</row>
    <row r="2" spans="1:27" ht="20.25">
      <c r="A2" s="284" t="s">
        <v>102</v>
      </c>
      <c r="B2" s="285"/>
      <c r="C2" s="285"/>
      <c r="D2" s="285"/>
      <c r="E2" s="285"/>
      <c r="F2" s="285"/>
      <c r="G2" s="285"/>
      <c r="H2" s="285"/>
      <c r="I2" s="285"/>
      <c r="J2" s="285"/>
      <c r="K2" s="134"/>
      <c r="L2" s="295" t="s">
        <v>122</v>
      </c>
      <c r="M2" s="296"/>
      <c r="N2" s="296"/>
      <c r="O2" s="296"/>
      <c r="P2" s="296"/>
      <c r="Q2" s="296"/>
      <c r="R2" s="297"/>
      <c r="S2" s="134"/>
      <c r="T2" s="134"/>
      <c r="U2" s="134"/>
      <c r="V2" s="134"/>
      <c r="W2" s="134"/>
      <c r="X2" s="134"/>
    </row>
    <row r="3" spans="1:27" ht="34.5">
      <c r="A3" s="2" t="s">
        <v>116</v>
      </c>
      <c r="B3" s="3" t="s">
        <v>18</v>
      </c>
      <c r="C3" s="4" t="s">
        <v>20</v>
      </c>
      <c r="D3" s="4" t="s">
        <v>22</v>
      </c>
      <c r="E3" s="4" t="s">
        <v>21</v>
      </c>
      <c r="F3" s="4" t="s">
        <v>19</v>
      </c>
      <c r="G3" s="4" t="s">
        <v>23</v>
      </c>
      <c r="H3" s="4" t="s">
        <v>33</v>
      </c>
      <c r="I3" s="5" t="s">
        <v>118</v>
      </c>
      <c r="J3" s="6" t="s">
        <v>117</v>
      </c>
      <c r="K3" s="7"/>
      <c r="L3" s="65" t="s">
        <v>183</v>
      </c>
      <c r="M3" s="134" t="s">
        <v>133</v>
      </c>
      <c r="N3" s="134" t="s">
        <v>121</v>
      </c>
      <c r="O3" s="134" t="s">
        <v>152</v>
      </c>
      <c r="P3" s="134" t="s">
        <v>131</v>
      </c>
      <c r="Q3" s="134" t="s">
        <v>160</v>
      </c>
      <c r="R3" s="37" t="s">
        <v>187</v>
      </c>
      <c r="S3" s="7"/>
      <c r="T3" s="7"/>
      <c r="U3" s="7"/>
    </row>
    <row r="4" spans="1:27" ht="17.25">
      <c r="A4" s="281" t="s">
        <v>181</v>
      </c>
      <c r="B4" s="135" t="s">
        <v>59</v>
      </c>
      <c r="C4" s="29">
        <v>19.8</v>
      </c>
      <c r="D4" s="29">
        <v>20.7</v>
      </c>
      <c r="E4" s="29">
        <v>8.1999999999999993</v>
      </c>
      <c r="F4" s="29">
        <v>42.3</v>
      </c>
      <c r="G4" s="29">
        <v>2.2000000000000002</v>
      </c>
      <c r="H4" s="9">
        <v>1.2870000000000001</v>
      </c>
      <c r="I4" s="10">
        <v>87.2</v>
      </c>
      <c r="J4" s="11">
        <v>3.0011211877894368</v>
      </c>
      <c r="K4" s="23"/>
      <c r="L4" s="158">
        <v>1.3</v>
      </c>
      <c r="M4" s="173">
        <v>1.7</v>
      </c>
      <c r="N4" s="173"/>
      <c r="O4" s="173">
        <v>2.5</v>
      </c>
      <c r="P4" s="173">
        <v>1</v>
      </c>
      <c r="Q4" s="190">
        <v>1.6</v>
      </c>
      <c r="R4" s="137">
        <v>1.6</v>
      </c>
      <c r="S4" s="23"/>
      <c r="T4" s="23"/>
    </row>
    <row r="5" spans="1:27" ht="17.25" customHeight="1">
      <c r="A5" s="282"/>
      <c r="B5" s="22" t="s">
        <v>60</v>
      </c>
      <c r="C5" s="30">
        <v>24.4</v>
      </c>
      <c r="D5" s="30">
        <v>0.1</v>
      </c>
      <c r="E5" s="30">
        <v>2.2000000000000002</v>
      </c>
      <c r="F5" s="30">
        <v>70.8</v>
      </c>
      <c r="G5" s="30">
        <v>0.2</v>
      </c>
      <c r="H5" s="18">
        <v>0.49480000000000002</v>
      </c>
      <c r="I5" s="19">
        <v>65.8</v>
      </c>
      <c r="J5" s="20">
        <v>3.4827850804192444</v>
      </c>
      <c r="K5" s="23"/>
      <c r="L5" s="174">
        <v>14.9</v>
      </c>
      <c r="M5" s="175"/>
      <c r="N5" s="175">
        <v>19.3</v>
      </c>
      <c r="O5" s="81"/>
      <c r="P5" s="81"/>
      <c r="Q5" s="81"/>
      <c r="R5" s="191"/>
      <c r="S5" s="23"/>
      <c r="T5" s="23"/>
      <c r="U5" s="23"/>
    </row>
    <row r="6" spans="1:27" ht="17.25" customHeight="1">
      <c r="K6" s="23"/>
      <c r="L6" s="319" t="s">
        <v>188</v>
      </c>
      <c r="M6" s="319"/>
      <c r="N6" s="303" t="s">
        <v>189</v>
      </c>
      <c r="O6" s="303"/>
      <c r="P6" s="303" t="s">
        <v>190</v>
      </c>
      <c r="Q6" s="303"/>
      <c r="R6" s="303"/>
      <c r="S6" s="23"/>
      <c r="T6" s="23"/>
      <c r="U6" s="23"/>
      <c r="V6" s="23"/>
    </row>
    <row r="7" spans="1:27" ht="17.25">
      <c r="A7" s="7"/>
      <c r="B7" s="7"/>
      <c r="C7" s="7"/>
      <c r="D7" s="55"/>
      <c r="K7" s="23"/>
      <c r="L7" s="319"/>
      <c r="M7" s="319"/>
      <c r="N7" s="319"/>
      <c r="O7" s="319"/>
      <c r="P7" s="319"/>
      <c r="Q7" s="319"/>
      <c r="R7" s="319"/>
      <c r="S7" s="23"/>
      <c r="T7" s="23"/>
      <c r="U7" s="23"/>
      <c r="V7" s="23"/>
    </row>
    <row r="8" spans="1:27" ht="17.25">
      <c r="A8" s="134"/>
      <c r="B8" s="134"/>
      <c r="C8" s="134"/>
      <c r="D8" s="55"/>
      <c r="K8" s="23"/>
      <c r="L8" s="163"/>
      <c r="M8" s="163"/>
      <c r="N8" s="163"/>
      <c r="O8" s="23"/>
      <c r="P8" s="319"/>
      <c r="Q8" s="319"/>
      <c r="R8" s="319"/>
      <c r="S8" s="23"/>
      <c r="T8" s="23"/>
      <c r="U8" s="23"/>
      <c r="V8" s="23"/>
    </row>
    <row r="9" spans="1:27" ht="17.25" customHeight="1">
      <c r="A9" s="134"/>
      <c r="B9" s="134"/>
      <c r="C9" s="134"/>
      <c r="D9" s="55"/>
      <c r="L9" s="23"/>
      <c r="M9" s="23"/>
      <c r="N9" s="23"/>
      <c r="O9" s="23"/>
      <c r="P9" s="23"/>
      <c r="Q9" s="23"/>
      <c r="R9" s="100"/>
      <c r="S9" s="100"/>
      <c r="T9" s="100"/>
    </row>
    <row r="10" spans="1:27" ht="17.25" customHeight="1">
      <c r="A10" s="134"/>
      <c r="B10" s="134"/>
      <c r="C10" s="134"/>
      <c r="D10" s="55"/>
      <c r="L10" s="23"/>
      <c r="M10" s="23"/>
      <c r="N10" s="23"/>
      <c r="O10" s="163"/>
      <c r="P10" s="163"/>
      <c r="Q10" s="179"/>
      <c r="R10" s="100"/>
      <c r="S10" s="100"/>
      <c r="T10" s="100"/>
    </row>
    <row r="11" spans="1:27" ht="16.5" customHeight="1">
      <c r="A11" s="134"/>
      <c r="B11" s="134"/>
      <c r="C11" s="134"/>
      <c r="D11" s="55"/>
      <c r="L11" s="23"/>
      <c r="M11" s="23"/>
      <c r="N11" s="23"/>
      <c r="O11" s="163"/>
      <c r="P11" s="164"/>
      <c r="Q11" s="164"/>
      <c r="R11" s="68"/>
      <c r="S11" s="68"/>
      <c r="T11" s="68"/>
    </row>
    <row r="12" spans="1:27" ht="17.25">
      <c r="A12" s="134"/>
      <c r="B12" s="134"/>
      <c r="C12" s="134"/>
      <c r="D12" s="55"/>
      <c r="L12" s="23"/>
      <c r="M12" s="23"/>
      <c r="N12" s="23"/>
      <c r="O12" s="68"/>
      <c r="P12" s="68"/>
      <c r="Q12" s="68"/>
      <c r="R12" s="68"/>
      <c r="S12" s="68"/>
      <c r="T12" s="68"/>
    </row>
    <row r="13" spans="1:27" ht="17.25">
      <c r="A13" s="55"/>
      <c r="B13" s="55"/>
      <c r="C13" s="55"/>
      <c r="D13" s="55"/>
      <c r="L13" s="23"/>
      <c r="M13" s="23"/>
      <c r="N13" s="23"/>
      <c r="O13" s="80"/>
      <c r="P13" s="80"/>
      <c r="Q13" s="80"/>
      <c r="R13" s="55"/>
    </row>
    <row r="14" spans="1:27" ht="17.25">
      <c r="A14" s="55"/>
      <c r="B14" s="55"/>
      <c r="C14" s="55"/>
      <c r="D14" s="55"/>
      <c r="L14" s="23"/>
      <c r="M14" s="23"/>
      <c r="N14" s="23"/>
      <c r="O14" s="93"/>
      <c r="P14" s="93"/>
      <c r="Q14" s="93"/>
      <c r="R14" s="55"/>
    </row>
    <row r="15" spans="1:27" ht="17.25">
      <c r="N15" s="55"/>
      <c r="O15" s="93"/>
      <c r="P15" s="93"/>
      <c r="Q15" s="93"/>
      <c r="R15" s="55"/>
    </row>
    <row r="16" spans="1:27" ht="17.25">
      <c r="L16" s="7"/>
      <c r="M16" s="7"/>
      <c r="N16" s="7"/>
      <c r="O16" s="93"/>
      <c r="P16" s="103"/>
      <c r="Q16" s="103"/>
      <c r="R16" s="55"/>
    </row>
    <row r="17" spans="1:21" ht="17.25">
      <c r="L17" s="7"/>
      <c r="M17" s="7"/>
      <c r="N17" s="7"/>
      <c r="O17" s="55"/>
      <c r="P17" s="55"/>
      <c r="Q17" s="55"/>
      <c r="R17" s="55"/>
    </row>
    <row r="18" spans="1:21" ht="17.25">
      <c r="L18" s="134"/>
      <c r="M18" s="134"/>
      <c r="N18" s="134"/>
    </row>
    <row r="19" spans="1:21" ht="17.25">
      <c r="L19" s="23"/>
      <c r="M19" s="23"/>
      <c r="N19" s="23"/>
      <c r="Q19" s="83"/>
      <c r="R19" s="83"/>
      <c r="U19" s="55"/>
    </row>
    <row r="20" spans="1:21" ht="31.5" customHeight="1">
      <c r="A20" s="44" t="s">
        <v>106</v>
      </c>
      <c r="B20" s="45" t="s">
        <v>105</v>
      </c>
      <c r="C20" s="46" t="s">
        <v>107</v>
      </c>
      <c r="E20" s="188" t="s">
        <v>178</v>
      </c>
      <c r="F20" s="59" t="s">
        <v>179</v>
      </c>
      <c r="K20" s="64"/>
      <c r="L20" s="89" t="s">
        <v>138</v>
      </c>
      <c r="M20" s="90" t="s">
        <v>139</v>
      </c>
      <c r="N20" s="89" t="s">
        <v>184</v>
      </c>
      <c r="O20" s="89" t="s">
        <v>185</v>
      </c>
      <c r="P20" s="89" t="s">
        <v>186</v>
      </c>
      <c r="Q20" s="91" t="s">
        <v>187</v>
      </c>
      <c r="R20" s="83"/>
      <c r="S20" s="80"/>
    </row>
    <row r="21" spans="1:21" ht="17.25">
      <c r="A21" s="146">
        <v>102</v>
      </c>
      <c r="B21" s="147">
        <v>56.1</v>
      </c>
      <c r="C21" s="148">
        <v>60.1</v>
      </c>
      <c r="E21" s="75">
        <v>262.2</v>
      </c>
      <c r="F21" s="106">
        <v>277.39999999999998</v>
      </c>
      <c r="K21" s="92" t="s">
        <v>125</v>
      </c>
      <c r="L21" s="93">
        <v>0.71799999999999997</v>
      </c>
      <c r="M21" s="93">
        <v>0.77200000000000002</v>
      </c>
      <c r="N21" s="180"/>
      <c r="O21" s="93">
        <v>0.377</v>
      </c>
      <c r="P21" s="93">
        <v>0.21</v>
      </c>
      <c r="Q21" s="94"/>
      <c r="R21" s="88"/>
      <c r="S21" s="86"/>
    </row>
    <row r="22" spans="1:21" ht="17.25">
      <c r="A22" s="35"/>
      <c r="I22" s="134"/>
      <c r="J22" s="134"/>
      <c r="K22" s="92" t="s">
        <v>133</v>
      </c>
      <c r="L22" s="93"/>
      <c r="M22" s="93"/>
      <c r="N22" s="180">
        <v>0.65100000000000002</v>
      </c>
      <c r="O22" s="93">
        <v>0.623</v>
      </c>
      <c r="P22" s="93">
        <v>0.46200000000000002</v>
      </c>
      <c r="Q22" s="94">
        <v>0.76</v>
      </c>
      <c r="R22" s="85"/>
      <c r="S22" s="86"/>
    </row>
    <row r="23" spans="1:21" ht="17.25">
      <c r="A23" s="35"/>
      <c r="I23" s="134"/>
      <c r="J23" s="134"/>
      <c r="K23" s="75" t="s">
        <v>126</v>
      </c>
      <c r="L23" s="95">
        <v>0.28199999999999997</v>
      </c>
      <c r="M23" s="95">
        <v>0.22800000000000001</v>
      </c>
      <c r="N23" s="182">
        <v>0.34899999999999998</v>
      </c>
      <c r="O23" s="96"/>
      <c r="P23" s="96"/>
      <c r="Q23" s="97"/>
      <c r="R23" s="85"/>
      <c r="S23" s="86"/>
    </row>
    <row r="24" spans="1:21" ht="34.5" customHeight="1">
      <c r="A24" s="35"/>
      <c r="I24" s="134"/>
      <c r="J24" s="134"/>
      <c r="K24" s="134"/>
      <c r="L24" s="134"/>
      <c r="M24" s="154"/>
      <c r="N24" s="134"/>
      <c r="O24" s="134"/>
      <c r="P24" s="134"/>
      <c r="Q24" s="134"/>
      <c r="R24" s="134"/>
      <c r="U24" s="55"/>
    </row>
    <row r="25" spans="1:21" ht="34.5" customHeight="1">
      <c r="A25" s="299" t="s">
        <v>182</v>
      </c>
      <c r="B25" s="53"/>
      <c r="C25" s="3" t="s">
        <v>104</v>
      </c>
      <c r="D25" s="3" t="s">
        <v>119</v>
      </c>
      <c r="E25" s="3"/>
      <c r="F25" s="54" t="s">
        <v>120</v>
      </c>
      <c r="G25" s="54"/>
      <c r="H25" s="3"/>
      <c r="I25" s="3" t="s">
        <v>109</v>
      </c>
      <c r="J25" s="3" t="s">
        <v>108</v>
      </c>
      <c r="K25" s="3" t="s">
        <v>110</v>
      </c>
      <c r="L25" s="3" t="s">
        <v>111</v>
      </c>
      <c r="M25" s="3"/>
      <c r="N25" s="3" t="s">
        <v>113</v>
      </c>
      <c r="O25" s="3" t="s">
        <v>112</v>
      </c>
      <c r="P25" s="3" t="s">
        <v>114</v>
      </c>
      <c r="Q25" s="3"/>
      <c r="R25" s="3" t="s">
        <v>115</v>
      </c>
      <c r="S25" s="6" t="s">
        <v>117</v>
      </c>
      <c r="T25" s="59" t="s">
        <v>130</v>
      </c>
    </row>
    <row r="26" spans="1:21" ht="17.25">
      <c r="A26" s="300"/>
      <c r="B26" s="134" t="s">
        <v>59</v>
      </c>
      <c r="C26" s="32">
        <f>C4-N4*$L$21-P4*$O$21-Q4*$P$21</f>
        <v>19.087000000000003</v>
      </c>
      <c r="D26" s="32">
        <f>D4*(100-M4)*0.01-O4*$N$22-P4*$O$22-Q4*$P$22-R4*$Q$22</f>
        <v>16.142399999999995</v>
      </c>
      <c r="E26" s="32"/>
      <c r="F26" s="32">
        <f>F4*(100-L4)*0.01-N4*$L$23-O4*$N$23</f>
        <v>40.877600000000001</v>
      </c>
      <c r="G26" s="32"/>
      <c r="H26" s="32"/>
      <c r="I26" s="23">
        <f>100*C26/$A$21</f>
        <v>18.712745098039218</v>
      </c>
      <c r="J26" s="23">
        <f>100*D26/$B$21</f>
        <v>28.774331550802131</v>
      </c>
      <c r="K26" s="23">
        <f>100*F26/$C$21</f>
        <v>68.01597337770383</v>
      </c>
      <c r="L26" s="23">
        <f>SUM(I26:K26)</f>
        <v>115.50305002654518</v>
      </c>
      <c r="M26" s="23"/>
      <c r="N26" s="23">
        <f>I26/L26</f>
        <v>0.16201083082861112</v>
      </c>
      <c r="O26" s="23">
        <f>J26/L26</f>
        <v>0.24912183309608835</v>
      </c>
      <c r="P26" s="23">
        <f>K26/L26</f>
        <v>0.58886733607530051</v>
      </c>
      <c r="Q26" s="23"/>
      <c r="R26" s="23">
        <f>(11-12*O26+N26)/(3-2*O26+2*N26)</f>
        <v>2.8921411543268007</v>
      </c>
      <c r="S26" s="16">
        <v>3.0011211877894368</v>
      </c>
      <c r="T26" s="129">
        <f>ABS(R26-S26)</f>
        <v>0.10898003346263607</v>
      </c>
    </row>
    <row r="27" spans="1:21" ht="17.25">
      <c r="A27" s="301"/>
      <c r="B27" s="22" t="s">
        <v>60</v>
      </c>
      <c r="C27" s="33">
        <f>C5-N5*$L$21-P5*$O$21-Q5*$P$21</f>
        <v>10.542599999999998</v>
      </c>
      <c r="D27" s="33">
        <f>D5*I5*0.01</f>
        <v>6.5799999999999997E-2</v>
      </c>
      <c r="E27" s="56"/>
      <c r="F27" s="33">
        <f>F5*(100-L5)*0.01-N5*$L$23-O5*$N$23</f>
        <v>54.808199999999992</v>
      </c>
      <c r="G27" s="56"/>
      <c r="H27" s="56"/>
      <c r="I27" s="50">
        <f>100*C27/$A$21</f>
        <v>10.335882352941175</v>
      </c>
      <c r="J27" s="50">
        <f>100*D27/$B$21</f>
        <v>0.11729055258467024</v>
      </c>
      <c r="K27" s="50">
        <f>100*F27/$C$21</f>
        <v>91.195008319467533</v>
      </c>
      <c r="L27" s="50">
        <f>SUM(I27:K27)</f>
        <v>101.64818122499338</v>
      </c>
      <c r="M27" s="50"/>
      <c r="N27" s="50">
        <f>I27/L27</f>
        <v>0.10168290498049537</v>
      </c>
      <c r="O27" s="50">
        <f>J27/L27</f>
        <v>1.1538873708428999E-3</v>
      </c>
      <c r="P27" s="50">
        <f>K27/L27</f>
        <v>0.89716320764866175</v>
      </c>
      <c r="Q27" s="50"/>
      <c r="R27" s="50">
        <f>(11-12*O27+N27)/(3-2*O27+2*N27)</f>
        <v>3.4638035719870208</v>
      </c>
      <c r="S27" s="20">
        <v>3.4827850804192444</v>
      </c>
      <c r="T27" s="192">
        <f>ABS(R27-S27)</f>
        <v>1.8981508432223571E-2</v>
      </c>
    </row>
    <row r="28" spans="1:21" ht="17.25">
      <c r="T28" s="205">
        <f>AVERAGE(T26:T27)</f>
        <v>6.3980770947429821E-2</v>
      </c>
    </row>
  </sheetData>
  <mergeCells count="8">
    <mergeCell ref="A1:J1"/>
    <mergeCell ref="A2:J2"/>
    <mergeCell ref="L6:M7"/>
    <mergeCell ref="A4:A5"/>
    <mergeCell ref="A25:A27"/>
    <mergeCell ref="L2:R2"/>
    <mergeCell ref="N6:O7"/>
    <mergeCell ref="P6:R8"/>
  </mergeCells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00E2-5E16-4E5D-B33D-70029A388AC7}">
  <dimension ref="A1:AB36"/>
  <sheetViews>
    <sheetView zoomScale="75" zoomScaleNormal="75" workbookViewId="0">
      <selection activeCell="D17" sqref="D17"/>
    </sheetView>
  </sheetViews>
  <sheetFormatPr defaultRowHeight="16.5"/>
  <cols>
    <col min="1" max="1" width="11.875" customWidth="1"/>
    <col min="3" max="3" width="12.375" customWidth="1"/>
    <col min="4" max="4" width="11.5" customWidth="1"/>
    <col min="6" max="6" width="11.625" customWidth="1"/>
    <col min="8" max="8" width="12.375" customWidth="1"/>
    <col min="9" max="9" width="13.25" customWidth="1"/>
    <col min="10" max="10" width="12.25" customWidth="1"/>
    <col min="11" max="11" width="11.5" customWidth="1"/>
    <col min="12" max="12" width="13.125" customWidth="1"/>
    <col min="13" max="13" width="12.5" customWidth="1"/>
    <col min="14" max="14" width="20.5" customWidth="1"/>
    <col min="15" max="15" width="20" customWidth="1"/>
    <col min="16" max="16" width="19.75" customWidth="1"/>
    <col min="17" max="17" width="19.125" customWidth="1"/>
    <col min="18" max="18" width="18.875" customWidth="1"/>
    <col min="19" max="19" width="17.375" customWidth="1"/>
    <col min="20" max="20" width="14.25" customWidth="1"/>
    <col min="22" max="22" width="10.25" customWidth="1"/>
  </cols>
  <sheetData>
    <row r="1" spans="1:28" ht="26.25">
      <c r="A1" s="289" t="s">
        <v>101</v>
      </c>
      <c r="B1" s="289"/>
      <c r="C1" s="289"/>
      <c r="D1" s="289"/>
      <c r="E1" s="289"/>
      <c r="F1" s="289"/>
      <c r="G1" s="289"/>
      <c r="H1" s="289"/>
      <c r="I1" s="289"/>
      <c r="J1" s="289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</row>
    <row r="2" spans="1:28" ht="20.25">
      <c r="A2" s="284" t="s">
        <v>102</v>
      </c>
      <c r="B2" s="285"/>
      <c r="C2" s="285"/>
      <c r="D2" s="285"/>
      <c r="E2" s="285"/>
      <c r="F2" s="285"/>
      <c r="G2" s="285"/>
      <c r="H2" s="285"/>
      <c r="I2" s="285"/>
      <c r="J2" s="285"/>
      <c r="K2" s="134"/>
      <c r="L2" s="102"/>
      <c r="M2" s="102"/>
      <c r="N2" s="102"/>
      <c r="O2" s="134"/>
      <c r="P2" s="44" t="s">
        <v>106</v>
      </c>
      <c r="Q2" s="45" t="s">
        <v>105</v>
      </c>
      <c r="R2" s="46" t="s">
        <v>107</v>
      </c>
      <c r="S2" s="134"/>
      <c r="T2" s="134"/>
      <c r="U2" s="134"/>
      <c r="V2" s="134"/>
      <c r="W2" s="134"/>
      <c r="X2" s="134"/>
      <c r="Y2" s="134"/>
      <c r="Z2" s="134"/>
      <c r="AA2" s="134"/>
      <c r="AB2" s="134"/>
    </row>
    <row r="3" spans="1:28" ht="34.5">
      <c r="A3" s="2" t="s">
        <v>116</v>
      </c>
      <c r="B3" s="3" t="s">
        <v>18</v>
      </c>
      <c r="C3" s="4" t="s">
        <v>20</v>
      </c>
      <c r="D3" s="4" t="s">
        <v>22</v>
      </c>
      <c r="E3" s="4" t="s">
        <v>21</v>
      </c>
      <c r="F3" s="4" t="s">
        <v>19</v>
      </c>
      <c r="G3" s="4" t="s">
        <v>23</v>
      </c>
      <c r="H3" s="4" t="s">
        <v>33</v>
      </c>
      <c r="I3" s="5" t="s">
        <v>118</v>
      </c>
      <c r="J3" s="6" t="s">
        <v>117</v>
      </c>
      <c r="K3" s="7"/>
      <c r="L3" s="143"/>
      <c r="M3" s="143"/>
      <c r="N3" s="143"/>
      <c r="O3" s="7"/>
      <c r="P3" s="87">
        <v>102</v>
      </c>
      <c r="Q3" s="81">
        <v>56.1</v>
      </c>
      <c r="R3" s="79">
        <v>60.1</v>
      </c>
      <c r="S3" s="7"/>
      <c r="T3" s="7"/>
      <c r="U3" s="7"/>
      <c r="V3" s="7"/>
      <c r="W3" s="7"/>
      <c r="X3" s="7"/>
      <c r="Y3" s="7"/>
      <c r="Z3" s="7"/>
    </row>
    <row r="4" spans="1:28" ht="17.25">
      <c r="A4" s="281" t="s">
        <v>191</v>
      </c>
      <c r="B4" s="135" t="s">
        <v>50</v>
      </c>
      <c r="C4" s="9">
        <v>28.31</v>
      </c>
      <c r="D4" s="9">
        <v>1.98</v>
      </c>
      <c r="E4" s="9">
        <v>5</v>
      </c>
      <c r="F4" s="9">
        <v>59.31</v>
      </c>
      <c r="G4" s="9">
        <v>0.42</v>
      </c>
      <c r="H4" s="9">
        <v>1.73054</v>
      </c>
      <c r="I4" s="10">
        <v>27.4</v>
      </c>
      <c r="J4" s="11">
        <v>3.0938836273795576</v>
      </c>
      <c r="K4" s="23"/>
      <c r="L4" s="200"/>
      <c r="M4" s="201"/>
      <c r="N4" s="201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28" ht="17.25">
      <c r="A5" s="283"/>
      <c r="B5" s="134" t="s">
        <v>61</v>
      </c>
      <c r="C5" s="14">
        <v>26.97</v>
      </c>
      <c r="D5" s="14">
        <v>3.51</v>
      </c>
      <c r="E5" s="14">
        <v>6.13</v>
      </c>
      <c r="F5" s="14">
        <v>56.92</v>
      </c>
      <c r="G5" s="14">
        <v>0.78</v>
      </c>
      <c r="H5" s="14">
        <v>1.8226600000000002</v>
      </c>
      <c r="I5" s="15">
        <v>36.1</v>
      </c>
      <c r="J5" s="16">
        <v>2.9125889954319106</v>
      </c>
      <c r="K5" s="23"/>
      <c r="L5" s="202"/>
      <c r="M5" s="201"/>
      <c r="N5" s="201"/>
      <c r="O5" s="23"/>
      <c r="P5" s="23"/>
      <c r="Q5" s="23"/>
      <c r="R5" s="23"/>
      <c r="S5" s="23"/>
      <c r="T5" s="23"/>
      <c r="U5" s="70"/>
      <c r="V5" s="70"/>
      <c r="W5" s="70"/>
      <c r="X5" s="23"/>
      <c r="Y5" s="23"/>
    </row>
    <row r="6" spans="1:28" ht="17.25">
      <c r="A6" s="283"/>
      <c r="B6" s="134" t="s">
        <v>62</v>
      </c>
      <c r="C6" s="14">
        <v>28.71</v>
      </c>
      <c r="D6" s="14">
        <v>2.88</v>
      </c>
      <c r="E6" s="14">
        <v>7.9</v>
      </c>
      <c r="F6" s="14">
        <v>54.32</v>
      </c>
      <c r="G6" s="14">
        <v>0.56000000000000005</v>
      </c>
      <c r="H6" s="14">
        <v>1.73054</v>
      </c>
      <c r="I6" s="15">
        <v>26.6</v>
      </c>
      <c r="J6" s="16">
        <v>3.0545631198714811</v>
      </c>
      <c r="K6" s="23"/>
      <c r="L6" s="202"/>
      <c r="M6" s="201"/>
      <c r="N6" s="201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8" ht="17.25">
      <c r="A7" s="282"/>
      <c r="B7" s="22" t="s">
        <v>63</v>
      </c>
      <c r="C7" s="18">
        <v>25.06</v>
      </c>
      <c r="D7" s="18">
        <v>2.9</v>
      </c>
      <c r="E7" s="18">
        <v>7.62</v>
      </c>
      <c r="F7" s="18">
        <v>58.64</v>
      </c>
      <c r="G7" s="18">
        <v>0.88</v>
      </c>
      <c r="H7" s="18">
        <v>1.5594600000000001</v>
      </c>
      <c r="I7" s="19">
        <v>36.9</v>
      </c>
      <c r="J7" s="20">
        <v>3.1006259790088762</v>
      </c>
      <c r="K7" s="23"/>
      <c r="L7" s="202"/>
      <c r="M7" s="201"/>
      <c r="N7" s="201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8" ht="17.25">
      <c r="A8" s="194"/>
      <c r="B8" s="134"/>
      <c r="C8" s="134"/>
      <c r="D8" s="134"/>
      <c r="E8" s="134"/>
      <c r="F8" s="134"/>
      <c r="G8" s="134"/>
      <c r="H8" s="134"/>
      <c r="I8" s="134"/>
      <c r="J8" s="134"/>
      <c r="K8" s="23"/>
      <c r="L8" s="142"/>
      <c r="M8" s="143"/>
      <c r="N8" s="193"/>
      <c r="O8" s="193"/>
      <c r="P8" s="19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8" ht="17.25">
      <c r="A9" s="194"/>
      <c r="B9" s="134"/>
      <c r="C9" s="134"/>
      <c r="D9" s="134"/>
      <c r="E9" s="134"/>
      <c r="F9" s="134"/>
      <c r="G9" s="134"/>
      <c r="H9" s="134"/>
      <c r="I9" s="134"/>
      <c r="J9" s="134"/>
      <c r="L9" s="142"/>
      <c r="M9" s="143"/>
      <c r="N9" s="193"/>
      <c r="O9" s="193"/>
      <c r="P9" s="193"/>
      <c r="Q9" s="23"/>
      <c r="R9" s="23"/>
      <c r="S9" s="55"/>
      <c r="T9" s="55"/>
      <c r="U9" s="55"/>
      <c r="V9" s="55"/>
      <c r="W9" s="55"/>
      <c r="X9" s="55"/>
    </row>
    <row r="10" spans="1:28" ht="17.25">
      <c r="A10" s="194"/>
      <c r="B10" s="134"/>
      <c r="C10" s="134"/>
      <c r="D10" s="134"/>
      <c r="E10" s="134"/>
      <c r="F10" s="134"/>
      <c r="G10" s="134"/>
      <c r="H10" s="134"/>
      <c r="I10" s="134"/>
      <c r="J10" s="134"/>
      <c r="L10" s="142"/>
      <c r="M10" s="143"/>
      <c r="N10" s="193"/>
      <c r="O10" s="193"/>
      <c r="P10" s="193"/>
      <c r="Q10" s="23"/>
      <c r="R10" s="23"/>
      <c r="S10" s="55"/>
    </row>
    <row r="11" spans="1:28" ht="17.25">
      <c r="A11" s="99"/>
      <c r="B11" s="134"/>
      <c r="C11" s="134"/>
      <c r="D11" s="134"/>
      <c r="E11" s="134"/>
      <c r="F11" s="134"/>
      <c r="G11" s="134"/>
      <c r="H11" s="134"/>
      <c r="I11" s="134"/>
      <c r="J11" s="134"/>
      <c r="L11" s="142"/>
      <c r="M11" s="143"/>
      <c r="N11" s="193"/>
      <c r="O11" s="193"/>
      <c r="P11" s="193"/>
      <c r="Q11" s="55"/>
      <c r="R11" s="55"/>
      <c r="S11" s="55"/>
    </row>
    <row r="12" spans="1:28">
      <c r="L12" s="68"/>
      <c r="M12" s="68"/>
      <c r="N12" s="193"/>
      <c r="O12" s="193"/>
      <c r="P12" s="193"/>
    </row>
    <row r="13" spans="1:28" ht="16.5" customHeight="1">
      <c r="A13" s="57"/>
      <c r="B13" s="134"/>
      <c r="C13" s="55"/>
      <c r="D13" s="55"/>
      <c r="E13" s="55"/>
      <c r="F13" s="55"/>
      <c r="G13" s="55"/>
      <c r="H13" s="55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55"/>
    </row>
    <row r="15" spans="1:28" ht="34.5">
      <c r="A15" s="105"/>
      <c r="B15" s="64"/>
      <c r="C15" s="3" t="s">
        <v>104</v>
      </c>
      <c r="D15" s="3" t="s">
        <v>119</v>
      </c>
      <c r="E15" s="3"/>
      <c r="F15" s="54" t="s">
        <v>120</v>
      </c>
      <c r="G15" s="3"/>
      <c r="H15" s="3" t="s">
        <v>109</v>
      </c>
      <c r="I15" s="3" t="s">
        <v>108</v>
      </c>
      <c r="J15" s="3" t="s">
        <v>110</v>
      </c>
      <c r="K15" s="3" t="s">
        <v>111</v>
      </c>
      <c r="L15" s="3"/>
      <c r="M15" s="3" t="s">
        <v>113</v>
      </c>
      <c r="N15" s="3" t="s">
        <v>112</v>
      </c>
      <c r="O15" s="3" t="s">
        <v>114</v>
      </c>
      <c r="P15" s="3"/>
      <c r="Q15" s="3" t="s">
        <v>115</v>
      </c>
      <c r="R15" s="6" t="s">
        <v>117</v>
      </c>
      <c r="S15" s="59" t="s">
        <v>130</v>
      </c>
    </row>
    <row r="16" spans="1:28" ht="20.25" customHeight="1">
      <c r="A16" s="105"/>
      <c r="B16" s="65" t="s">
        <v>50</v>
      </c>
      <c r="C16" s="200">
        <v>6.5</v>
      </c>
      <c r="D16" s="201">
        <v>2</v>
      </c>
      <c r="E16" s="55"/>
      <c r="F16" s="201">
        <v>10.6</v>
      </c>
      <c r="G16" s="55"/>
      <c r="H16" s="23">
        <f>100*C16/$P$3</f>
        <v>6.3725490196078427</v>
      </c>
      <c r="I16" s="23">
        <f>100*D16/$Q$3</f>
        <v>3.5650623885918002</v>
      </c>
      <c r="J16" s="23">
        <f>100*F16/$R$3</f>
        <v>17.637271214642261</v>
      </c>
      <c r="K16" s="23">
        <f>SUM(H16:J16)</f>
        <v>27.574882622841905</v>
      </c>
      <c r="L16" s="23"/>
      <c r="M16" s="23">
        <f>H16/K16</f>
        <v>0.23109976955365474</v>
      </c>
      <c r="N16" s="23">
        <f>I16/K16</f>
        <v>0.12928658436568097</v>
      </c>
      <c r="O16" s="23">
        <f>J16/K16</f>
        <v>0.63961364608066429</v>
      </c>
      <c r="P16" s="23"/>
      <c r="Q16" s="23">
        <f>(11-12*N16+M16)/(3-2*N16+2*M16)</f>
        <v>3.0214699337830608</v>
      </c>
      <c r="R16" s="197">
        <v>3.0938836273795576</v>
      </c>
      <c r="S16" s="199">
        <f>ABS(Q16-R16)</f>
        <v>7.2413693596496742E-2</v>
      </c>
    </row>
    <row r="17" spans="1:19" ht="20.25" customHeight="1">
      <c r="A17" s="105"/>
      <c r="B17" s="65" t="s">
        <v>61</v>
      </c>
      <c r="C17" s="202">
        <v>11.6</v>
      </c>
      <c r="D17" s="201">
        <v>3.5</v>
      </c>
      <c r="E17" s="55"/>
      <c r="F17" s="201">
        <v>11.2</v>
      </c>
      <c r="G17" s="55"/>
      <c r="H17" s="23">
        <f>100*C17/$P$3</f>
        <v>11.372549019607844</v>
      </c>
      <c r="I17" s="23">
        <f>100*D17/$Q$3</f>
        <v>6.2388591800356501</v>
      </c>
      <c r="J17" s="23">
        <f>100*F17/$R$3</f>
        <v>18.635607321131449</v>
      </c>
      <c r="K17" s="23">
        <f t="shared" ref="K17:K19" si="0">SUM(H17:J17)</f>
        <v>36.247015520774937</v>
      </c>
      <c r="L17" s="23"/>
      <c r="M17" s="23">
        <f t="shared" ref="M17:M19" si="1">H17/K17</f>
        <v>0.31375132148713542</v>
      </c>
      <c r="N17" s="23">
        <f t="shared" ref="N17:N19" si="2">I17/K17</f>
        <v>0.17212063090987048</v>
      </c>
      <c r="O17" s="23">
        <f t="shared" ref="O17:O19" si="3">J17/K17</f>
        <v>0.51412804760299424</v>
      </c>
      <c r="P17" s="23"/>
      <c r="Q17" s="23">
        <f t="shared" ref="Q17:Q19" si="4">(11-12*N17+M17)/(3-2*N17+2*M17)</f>
        <v>2.8168039875389406</v>
      </c>
      <c r="R17" s="197">
        <v>2.9125889954319106</v>
      </c>
      <c r="S17" s="199">
        <f t="shared" ref="S17:S19" si="5">ABS(Q17-R17)</f>
        <v>9.5785007892970064E-2</v>
      </c>
    </row>
    <row r="18" spans="1:19" ht="17.25">
      <c r="A18" s="105"/>
      <c r="B18" s="65" t="s">
        <v>62</v>
      </c>
      <c r="C18" s="202">
        <v>3.9</v>
      </c>
      <c r="D18" s="201">
        <v>2.9</v>
      </c>
      <c r="E18" s="55"/>
      <c r="F18" s="201">
        <v>9.6999999999999993</v>
      </c>
      <c r="G18" s="55"/>
      <c r="H18" s="23">
        <f>100*C18/$P$3</f>
        <v>3.8235294117647061</v>
      </c>
      <c r="I18" s="23">
        <f>100*D18/$Q$3</f>
        <v>5.1693404634581102</v>
      </c>
      <c r="J18" s="23">
        <f>100*F18/$R$3</f>
        <v>16.139767054908482</v>
      </c>
      <c r="K18" s="23">
        <f t="shared" si="0"/>
        <v>25.132636930131298</v>
      </c>
      <c r="L18" s="23"/>
      <c r="M18" s="23">
        <f t="shared" si="1"/>
        <v>0.15213403282728005</v>
      </c>
      <c r="N18" s="23">
        <f t="shared" si="2"/>
        <v>0.20568237538420145</v>
      </c>
      <c r="O18" s="23">
        <f t="shared" si="3"/>
        <v>0.64218359178851847</v>
      </c>
      <c r="P18" s="23"/>
      <c r="Q18" s="23">
        <f t="shared" si="4"/>
        <v>3.0018098024678017</v>
      </c>
      <c r="R18" s="197">
        <v>3.0545631198714811</v>
      </c>
      <c r="S18" s="199">
        <f t="shared" si="5"/>
        <v>5.2753317403679389E-2</v>
      </c>
    </row>
    <row r="19" spans="1:19" ht="17.25">
      <c r="A19" s="105"/>
      <c r="B19" s="42" t="s">
        <v>63</v>
      </c>
      <c r="C19" s="203">
        <v>8.3000000000000007</v>
      </c>
      <c r="D19" s="204">
        <v>2.9</v>
      </c>
      <c r="E19" s="56"/>
      <c r="F19" s="204">
        <v>14.7</v>
      </c>
      <c r="G19" s="56"/>
      <c r="H19" s="50">
        <f>100*C19/$P$3</f>
        <v>8.1372549019607856</v>
      </c>
      <c r="I19" s="50">
        <f>100*D19/$Q$3</f>
        <v>5.1693404634581102</v>
      </c>
      <c r="J19" s="50">
        <f>100*F19/$R$3</f>
        <v>24.459234608985025</v>
      </c>
      <c r="K19" s="50">
        <f t="shared" si="0"/>
        <v>37.765829974403921</v>
      </c>
      <c r="L19" s="50"/>
      <c r="M19" s="50">
        <f t="shared" si="1"/>
        <v>0.21546606833414947</v>
      </c>
      <c r="N19" s="50">
        <f t="shared" si="2"/>
        <v>0.13687877287382985</v>
      </c>
      <c r="O19" s="50">
        <f t="shared" si="3"/>
        <v>0.64765515879202062</v>
      </c>
      <c r="P19" s="50"/>
      <c r="Q19" s="50">
        <f t="shared" si="4"/>
        <v>3.0321163806961677</v>
      </c>
      <c r="R19" s="198">
        <v>3.1006259790088762</v>
      </c>
      <c r="S19" s="106">
        <f t="shared" si="5"/>
        <v>6.850959831270842E-2</v>
      </c>
    </row>
    <row r="20" spans="1:19" ht="17.25">
      <c r="A20" s="105"/>
      <c r="B20" s="134"/>
      <c r="C20" s="142"/>
      <c r="D20" s="143"/>
      <c r="E20" s="55"/>
      <c r="F20" s="55"/>
      <c r="G20" s="55"/>
      <c r="S20" s="66">
        <f>AVERAGE(S16:S19)</f>
        <v>7.2365404301463654E-2</v>
      </c>
    </row>
    <row r="21" spans="1:19">
      <c r="A21" s="105"/>
      <c r="B21" s="55"/>
      <c r="C21" s="55"/>
      <c r="D21" s="55"/>
      <c r="E21" s="55"/>
      <c r="F21" s="55"/>
      <c r="G21" s="55"/>
    </row>
    <row r="22" spans="1:19">
      <c r="A22" s="105"/>
      <c r="B22" s="55"/>
      <c r="C22" s="55"/>
      <c r="D22" s="55"/>
      <c r="E22" s="55"/>
      <c r="F22" s="55"/>
      <c r="G22" s="55"/>
      <c r="H22" s="55"/>
    </row>
    <row r="23" spans="1:19">
      <c r="A23" s="105"/>
      <c r="B23" s="55"/>
      <c r="C23" s="55"/>
      <c r="D23" s="55"/>
      <c r="E23" s="55"/>
      <c r="F23" s="55"/>
      <c r="G23" s="55"/>
      <c r="H23" s="55"/>
    </row>
    <row r="24" spans="1:19">
      <c r="A24" s="57"/>
      <c r="B24" s="55"/>
      <c r="C24" s="55"/>
      <c r="D24" s="55"/>
      <c r="E24" s="55"/>
      <c r="F24" s="55"/>
      <c r="G24" s="55"/>
      <c r="H24" s="55"/>
    </row>
    <row r="25" spans="1:19">
      <c r="A25" s="55"/>
      <c r="B25" s="55"/>
      <c r="C25" s="55"/>
      <c r="D25" s="55"/>
      <c r="E25" s="55"/>
      <c r="F25" s="55"/>
      <c r="G25" s="55"/>
      <c r="H25" s="55"/>
    </row>
    <row r="26" spans="1:19">
      <c r="A26" s="55"/>
      <c r="B26" s="55"/>
      <c r="C26" s="55"/>
      <c r="D26" s="55"/>
      <c r="E26" s="55"/>
      <c r="F26" s="55"/>
      <c r="G26" s="55"/>
      <c r="H26" s="55"/>
    </row>
    <row r="27" spans="1:19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</row>
    <row r="28" spans="1:19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</row>
    <row r="29" spans="1:19" ht="17.25">
      <c r="A29" s="100"/>
      <c r="B29" s="100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134"/>
      <c r="N29" s="100"/>
      <c r="O29" s="100"/>
      <c r="P29" s="100"/>
      <c r="Q29" s="100"/>
      <c r="R29" s="100"/>
    </row>
    <row r="30" spans="1:19" ht="17.25">
      <c r="A30" s="100"/>
      <c r="B30" s="100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134"/>
      <c r="N30" s="100"/>
      <c r="O30" s="100"/>
      <c r="P30" s="100"/>
      <c r="Q30" s="100"/>
      <c r="R30" s="100"/>
    </row>
    <row r="31" spans="1:19" ht="17.25">
      <c r="A31" s="100"/>
      <c r="B31" s="100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134"/>
      <c r="N31" s="100"/>
      <c r="O31" s="100"/>
      <c r="P31" s="100"/>
      <c r="Q31" s="100"/>
      <c r="R31" s="100"/>
    </row>
    <row r="32" spans="1:19">
      <c r="A32" s="100"/>
      <c r="B32" s="100"/>
      <c r="C32" s="100"/>
      <c r="D32" s="100"/>
      <c r="E32" s="100"/>
      <c r="F32" s="14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</row>
    <row r="33" spans="1:18">
      <c r="A33" s="100"/>
      <c r="B33" s="100"/>
      <c r="C33" s="100"/>
      <c r="D33" s="100"/>
      <c r="E33" s="100"/>
      <c r="F33" s="14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</row>
    <row r="34" spans="1:18">
      <c r="A34" s="100"/>
      <c r="B34" s="100"/>
      <c r="C34" s="100"/>
      <c r="D34" s="100"/>
      <c r="E34" s="100"/>
      <c r="F34" s="14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</row>
    <row r="35" spans="1:18">
      <c r="A35" s="100"/>
      <c r="B35" s="100"/>
      <c r="C35" s="100"/>
      <c r="D35" s="100"/>
      <c r="E35" s="100"/>
      <c r="F35" s="14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</row>
    <row r="36" spans="1:18">
      <c r="F36" s="139"/>
    </row>
  </sheetData>
  <mergeCells count="3">
    <mergeCell ref="A1:J1"/>
    <mergeCell ref="A2:J2"/>
    <mergeCell ref="A4:A7"/>
  </mergeCells>
  <phoneticPr fontId="6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98C3-37F2-45E1-B273-84F44371CBE2}">
  <dimension ref="A1:AA32"/>
  <sheetViews>
    <sheetView zoomScale="75" zoomScaleNormal="75" workbookViewId="0">
      <selection activeCell="H41" sqref="H41"/>
    </sheetView>
  </sheetViews>
  <sheetFormatPr defaultRowHeight="16.5"/>
  <cols>
    <col min="1" max="1" width="11.25" customWidth="1"/>
    <col min="2" max="3" width="12.375" customWidth="1"/>
    <col min="4" max="4" width="11.5" customWidth="1"/>
    <col min="6" max="6" width="11.625" customWidth="1"/>
    <col min="8" max="8" width="12.375" customWidth="1"/>
    <col min="9" max="9" width="13.25" customWidth="1"/>
    <col min="10" max="10" width="12.25" customWidth="1"/>
    <col min="11" max="11" width="11.5" customWidth="1"/>
    <col min="12" max="12" width="19.875" customWidth="1"/>
    <col min="13" max="13" width="19.125" customWidth="1"/>
    <col min="14" max="14" width="20.625" customWidth="1"/>
    <col min="15" max="15" width="19.875" customWidth="1"/>
    <col min="16" max="16" width="19.75" customWidth="1"/>
    <col min="17" max="17" width="17.25" customWidth="1"/>
    <col min="18" max="18" width="16.5" customWidth="1"/>
    <col min="19" max="19" width="14.875" customWidth="1"/>
    <col min="20" max="20" width="17.5" customWidth="1"/>
    <col min="21" max="21" width="17.125" customWidth="1"/>
    <col min="22" max="22" width="10.25" customWidth="1"/>
    <col min="25" max="25" width="11.875" bestFit="1" customWidth="1"/>
  </cols>
  <sheetData>
    <row r="1" spans="1:27" ht="26.25">
      <c r="A1" s="289" t="s">
        <v>101</v>
      </c>
      <c r="B1" s="289"/>
      <c r="C1" s="289"/>
      <c r="D1" s="289"/>
      <c r="E1" s="289"/>
      <c r="F1" s="289"/>
      <c r="G1" s="289"/>
      <c r="H1" s="289"/>
      <c r="I1" s="289"/>
      <c r="J1" s="289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</row>
    <row r="2" spans="1:27" ht="20.25">
      <c r="A2" s="284" t="s">
        <v>102</v>
      </c>
      <c r="B2" s="285"/>
      <c r="C2" s="285"/>
      <c r="D2" s="285"/>
      <c r="E2" s="285"/>
      <c r="F2" s="285"/>
      <c r="G2" s="285"/>
      <c r="H2" s="285"/>
      <c r="I2" s="285"/>
      <c r="J2" s="285"/>
      <c r="K2" s="134"/>
      <c r="L2" s="295" t="s">
        <v>122</v>
      </c>
      <c r="M2" s="296"/>
      <c r="N2" s="296"/>
      <c r="O2" s="296"/>
      <c r="P2" s="296"/>
      <c r="Q2" s="296"/>
      <c r="R2" s="296"/>
      <c r="S2" s="296"/>
      <c r="T2" s="296"/>
      <c r="U2" s="297"/>
      <c r="V2" s="134"/>
      <c r="W2" s="134"/>
      <c r="X2" s="134"/>
      <c r="Y2" s="134"/>
      <c r="Z2" s="134"/>
      <c r="AA2" s="134"/>
    </row>
    <row r="3" spans="1:27" ht="34.5">
      <c r="A3" s="2" t="s">
        <v>116</v>
      </c>
      <c r="B3" s="3" t="s">
        <v>18</v>
      </c>
      <c r="C3" s="4" t="s">
        <v>20</v>
      </c>
      <c r="D3" s="4" t="s">
        <v>22</v>
      </c>
      <c r="E3" s="4" t="s">
        <v>21</v>
      </c>
      <c r="F3" s="4" t="s">
        <v>19</v>
      </c>
      <c r="G3" s="4" t="s">
        <v>23</v>
      </c>
      <c r="H3" s="4" t="s">
        <v>33</v>
      </c>
      <c r="I3" s="5" t="s">
        <v>118</v>
      </c>
      <c r="J3" s="6" t="s">
        <v>117</v>
      </c>
      <c r="K3" s="7"/>
      <c r="L3" s="36" t="s">
        <v>103</v>
      </c>
      <c r="M3" s="7" t="s">
        <v>193</v>
      </c>
      <c r="N3" s="7" t="s">
        <v>194</v>
      </c>
      <c r="O3" s="7" t="s">
        <v>121</v>
      </c>
      <c r="P3" s="7" t="s">
        <v>141</v>
      </c>
      <c r="Q3" s="134" t="s">
        <v>197</v>
      </c>
      <c r="R3" s="134" t="s">
        <v>155</v>
      </c>
      <c r="S3" s="84" t="s">
        <v>168</v>
      </c>
      <c r="T3" s="7" t="s">
        <v>198</v>
      </c>
      <c r="U3" s="37" t="s">
        <v>199</v>
      </c>
      <c r="V3" s="7"/>
      <c r="W3" s="7"/>
      <c r="X3" s="7"/>
      <c r="Y3" s="7"/>
      <c r="Z3" s="7"/>
      <c r="AA3" s="7"/>
    </row>
    <row r="4" spans="1:27" ht="17.25">
      <c r="A4" s="322" t="s">
        <v>192</v>
      </c>
      <c r="B4" s="155">
        <v>1</v>
      </c>
      <c r="C4" s="9">
        <v>20.399999999999999</v>
      </c>
      <c r="D4" s="9">
        <v>16</v>
      </c>
      <c r="E4" s="9">
        <v>4.2</v>
      </c>
      <c r="F4" s="9">
        <v>51.9</v>
      </c>
      <c r="G4" s="9">
        <v>3.8</v>
      </c>
      <c r="H4" s="9">
        <v>1.6264000000000003</v>
      </c>
      <c r="I4" s="10">
        <v>50.05</v>
      </c>
      <c r="J4" s="11">
        <v>2.5889181714056533</v>
      </c>
      <c r="K4" s="23"/>
      <c r="L4" s="36">
        <v>34.85</v>
      </c>
      <c r="M4" s="7"/>
      <c r="N4" s="7"/>
      <c r="O4" s="7">
        <v>3.23</v>
      </c>
      <c r="P4" s="7">
        <v>9.32</v>
      </c>
      <c r="Q4" s="23"/>
      <c r="R4" s="23"/>
      <c r="S4" s="23"/>
      <c r="T4" s="23"/>
      <c r="U4" s="39"/>
      <c r="V4" s="23"/>
      <c r="W4" s="23"/>
      <c r="X4" s="23"/>
      <c r="Y4" s="23"/>
      <c r="Z4" s="23"/>
    </row>
    <row r="5" spans="1:27" ht="17.25">
      <c r="A5" s="323"/>
      <c r="B5" s="156">
        <v>2</v>
      </c>
      <c r="C5" s="14">
        <v>21</v>
      </c>
      <c r="D5" s="14">
        <v>14.3</v>
      </c>
      <c r="E5" s="14">
        <v>5.0999999999999996</v>
      </c>
      <c r="F5" s="14">
        <v>56.5</v>
      </c>
      <c r="G5" s="14">
        <v>3.7</v>
      </c>
      <c r="H5" s="14">
        <v>1.8896000000000002</v>
      </c>
      <c r="I5" s="15">
        <v>48.28</v>
      </c>
      <c r="J5" s="16">
        <v>2.7533990861366315</v>
      </c>
      <c r="K5" s="23"/>
      <c r="L5" s="36">
        <v>34.9</v>
      </c>
      <c r="M5" s="7"/>
      <c r="N5" s="7"/>
      <c r="O5" s="7">
        <v>6.07</v>
      </c>
      <c r="P5" s="7">
        <v>7.34</v>
      </c>
      <c r="Q5" s="23"/>
      <c r="R5" s="23"/>
      <c r="S5" s="23"/>
      <c r="T5" s="23"/>
      <c r="U5" s="39"/>
      <c r="V5" s="23"/>
      <c r="W5" s="23"/>
      <c r="X5" s="23"/>
      <c r="Y5" s="23"/>
      <c r="Z5" s="23"/>
    </row>
    <row r="6" spans="1:27" ht="17.25">
      <c r="A6" s="323"/>
      <c r="B6" s="156">
        <v>3</v>
      </c>
      <c r="C6" s="14">
        <v>25.2</v>
      </c>
      <c r="D6" s="14">
        <v>8.3000000000000007</v>
      </c>
      <c r="E6" s="14">
        <v>5</v>
      </c>
      <c r="F6" s="14">
        <v>64.8</v>
      </c>
      <c r="G6" s="14">
        <v>2</v>
      </c>
      <c r="H6" s="14">
        <v>1.1554</v>
      </c>
      <c r="I6" s="15">
        <v>61.46</v>
      </c>
      <c r="J6" s="16">
        <v>3.1232765698123699</v>
      </c>
      <c r="K6" s="23"/>
      <c r="L6" s="36">
        <v>25.9</v>
      </c>
      <c r="M6" s="7">
        <v>0.24</v>
      </c>
      <c r="N6" s="7"/>
      <c r="O6" s="7">
        <v>12.41</v>
      </c>
      <c r="P6" s="7"/>
      <c r="Q6" s="23"/>
      <c r="R6" s="23"/>
      <c r="S6" s="23"/>
      <c r="T6" s="23"/>
      <c r="U6" s="39"/>
      <c r="V6" s="23"/>
      <c r="W6" s="23"/>
      <c r="X6" s="23"/>
      <c r="Y6" s="23"/>
      <c r="Z6" s="23"/>
      <c r="AA6" s="23"/>
    </row>
    <row r="7" spans="1:27" ht="17.25">
      <c r="A7" s="323"/>
      <c r="B7" s="156">
        <v>6</v>
      </c>
      <c r="C7" s="14">
        <v>22.1</v>
      </c>
      <c r="D7" s="14">
        <v>23.1</v>
      </c>
      <c r="E7" s="14">
        <v>5.0999999999999996</v>
      </c>
      <c r="F7" s="14">
        <v>36.4</v>
      </c>
      <c r="G7" s="14">
        <v>4.0999999999999996</v>
      </c>
      <c r="H7" s="14">
        <v>2.0289999999999999</v>
      </c>
      <c r="I7" s="15">
        <v>56</v>
      </c>
      <c r="J7" s="16">
        <v>2.567983963910923</v>
      </c>
      <c r="K7" s="23"/>
      <c r="L7" s="65">
        <v>13.82</v>
      </c>
      <c r="M7" s="134">
        <v>0.14000000000000001</v>
      </c>
      <c r="N7" s="134">
        <v>2.73</v>
      </c>
      <c r="O7" s="7">
        <v>2.73</v>
      </c>
      <c r="P7" s="7">
        <v>7.04</v>
      </c>
      <c r="Q7" s="23">
        <v>4.4000000000000004</v>
      </c>
      <c r="R7" s="23"/>
      <c r="S7" s="23"/>
      <c r="T7" s="23">
        <v>0.98</v>
      </c>
      <c r="U7" s="145"/>
      <c r="V7" s="23"/>
      <c r="W7" s="23"/>
      <c r="X7" s="23"/>
      <c r="Y7" s="23"/>
      <c r="Z7" s="23"/>
      <c r="AA7" s="23"/>
    </row>
    <row r="8" spans="1:27" ht="17.25">
      <c r="A8" s="324"/>
      <c r="B8" s="157">
        <v>7</v>
      </c>
      <c r="C8" s="18">
        <v>18.8</v>
      </c>
      <c r="D8" s="18">
        <v>27.7</v>
      </c>
      <c r="E8" s="18">
        <v>5.4</v>
      </c>
      <c r="F8" s="18">
        <v>36</v>
      </c>
      <c r="G8" s="18">
        <v>6.3</v>
      </c>
      <c r="H8" s="18">
        <v>2.3974000000000002</v>
      </c>
      <c r="I8" s="19">
        <v>35</v>
      </c>
      <c r="J8" s="20">
        <v>2.5373261899113166</v>
      </c>
      <c r="K8" s="23"/>
      <c r="L8" s="42">
        <v>12.26</v>
      </c>
      <c r="M8" s="22">
        <v>1.86</v>
      </c>
      <c r="N8" s="22">
        <v>7.4</v>
      </c>
      <c r="O8" s="22">
        <v>1.66</v>
      </c>
      <c r="P8" s="22">
        <v>9.17</v>
      </c>
      <c r="Q8" s="206">
        <v>5.72</v>
      </c>
      <c r="R8" s="206"/>
      <c r="S8" s="206"/>
      <c r="T8" s="206">
        <v>1.63</v>
      </c>
      <c r="U8" s="207"/>
      <c r="V8" s="23"/>
      <c r="W8" s="23"/>
      <c r="X8" s="23"/>
      <c r="Y8" s="23"/>
      <c r="Z8" s="23"/>
      <c r="AA8" s="23"/>
    </row>
    <row r="9" spans="1:27" ht="17.25" customHeight="1">
      <c r="L9" s="303" t="s">
        <v>232</v>
      </c>
      <c r="M9" s="303"/>
      <c r="N9" s="303"/>
      <c r="O9" s="327" t="s">
        <v>235</v>
      </c>
      <c r="P9" s="328"/>
      <c r="Q9" s="328"/>
      <c r="R9" s="308" t="s">
        <v>233</v>
      </c>
      <c r="S9" s="308"/>
      <c r="T9" s="308" t="s">
        <v>234</v>
      </c>
      <c r="U9" s="308"/>
      <c r="V9" s="100"/>
    </row>
    <row r="10" spans="1:27" ht="17.25" customHeight="1">
      <c r="A10" s="7"/>
      <c r="B10" s="7"/>
      <c r="C10" s="7"/>
      <c r="D10" s="55"/>
      <c r="L10" s="319"/>
      <c r="M10" s="319"/>
      <c r="N10" s="319"/>
      <c r="O10" s="329"/>
      <c r="P10" s="329"/>
      <c r="Q10" s="329"/>
      <c r="R10" s="294"/>
      <c r="S10" s="294"/>
      <c r="T10" s="294"/>
      <c r="U10" s="294"/>
      <c r="V10" s="100"/>
    </row>
    <row r="11" spans="1:27" ht="16.5" customHeight="1">
      <c r="A11" s="134"/>
      <c r="B11" s="134"/>
      <c r="C11" s="134"/>
      <c r="D11" s="55"/>
      <c r="L11" s="319"/>
      <c r="M11" s="319"/>
      <c r="N11" s="319"/>
      <c r="O11" s="329"/>
      <c r="P11" s="329"/>
      <c r="Q11" s="329"/>
      <c r="R11" s="294"/>
      <c r="S11" s="294"/>
      <c r="T11" s="294"/>
      <c r="U11" s="294"/>
    </row>
    <row r="12" spans="1:27" ht="17.25">
      <c r="A12" s="55"/>
      <c r="B12" s="55"/>
      <c r="C12" s="55"/>
      <c r="D12" s="55"/>
      <c r="L12" s="23"/>
      <c r="M12" s="23"/>
      <c r="N12" s="23"/>
    </row>
    <row r="13" spans="1:27" ht="17.25">
      <c r="A13" s="55"/>
      <c r="B13" s="55"/>
      <c r="C13" s="55"/>
      <c r="D13" s="55"/>
      <c r="L13" s="23"/>
      <c r="M13" s="23"/>
      <c r="N13" s="23"/>
    </row>
    <row r="14" spans="1:27">
      <c r="O14" s="55"/>
    </row>
    <row r="16" spans="1:27" ht="17.25">
      <c r="L16" s="7"/>
      <c r="M16" s="7"/>
      <c r="N16" s="7"/>
    </row>
    <row r="17" spans="1:25" ht="17.25" customHeight="1">
      <c r="L17" s="23"/>
      <c r="M17" s="23"/>
      <c r="N17" s="23"/>
      <c r="R17" s="83"/>
      <c r="U17" s="55"/>
    </row>
    <row r="18" spans="1:25" ht="23.25" customHeight="1">
      <c r="K18" s="64"/>
      <c r="L18" s="89" t="s">
        <v>138</v>
      </c>
      <c r="M18" s="90" t="s">
        <v>139</v>
      </c>
      <c r="N18" s="89" t="s">
        <v>150</v>
      </c>
      <c r="O18" s="89" t="s">
        <v>200</v>
      </c>
      <c r="P18" s="89" t="s">
        <v>157</v>
      </c>
      <c r="Q18" s="89" t="s">
        <v>174</v>
      </c>
      <c r="R18" s="89" t="s">
        <v>195</v>
      </c>
      <c r="S18" s="91" t="s">
        <v>196</v>
      </c>
      <c r="T18" s="80"/>
    </row>
    <row r="19" spans="1:25" ht="25.5" customHeight="1">
      <c r="A19" s="44" t="s">
        <v>106</v>
      </c>
      <c r="B19" s="45" t="s">
        <v>105</v>
      </c>
      <c r="C19" s="46" t="s">
        <v>107</v>
      </c>
      <c r="K19" s="92" t="s">
        <v>125</v>
      </c>
      <c r="L19" s="93">
        <v>0.71799999999999997</v>
      </c>
      <c r="M19" s="93">
        <v>0.77200000000000002</v>
      </c>
      <c r="N19" s="93"/>
      <c r="O19" s="93">
        <v>0.01</v>
      </c>
      <c r="P19" s="93">
        <v>8.1000000000000003E-2</v>
      </c>
      <c r="Q19" s="184">
        <v>0.19</v>
      </c>
      <c r="R19" s="184"/>
      <c r="S19" s="185">
        <v>0.1832</v>
      </c>
      <c r="T19" s="86"/>
    </row>
    <row r="20" spans="1:25" ht="20.25" customHeight="1">
      <c r="A20" s="146">
        <v>102</v>
      </c>
      <c r="B20" s="147">
        <v>56.1</v>
      </c>
      <c r="C20" s="148">
        <v>60.1</v>
      </c>
      <c r="K20" s="92" t="s">
        <v>133</v>
      </c>
      <c r="L20" s="93"/>
      <c r="M20" s="93"/>
      <c r="N20" s="93">
        <v>0.51200000000000001</v>
      </c>
      <c r="O20" s="93">
        <v>0.71599999999999997</v>
      </c>
      <c r="P20" s="93">
        <v>0.13400000000000001</v>
      </c>
      <c r="Q20" s="184"/>
      <c r="R20" s="184">
        <v>0.41139999999999999</v>
      </c>
      <c r="S20" s="185"/>
      <c r="T20" s="86"/>
    </row>
    <row r="21" spans="1:25" ht="17.25">
      <c r="A21" s="35"/>
      <c r="I21" s="134"/>
      <c r="J21" s="134"/>
      <c r="K21" s="75" t="s">
        <v>126</v>
      </c>
      <c r="L21" s="95">
        <v>0.28199999999999997</v>
      </c>
      <c r="M21" s="95">
        <v>0.22800000000000001</v>
      </c>
      <c r="N21" s="96">
        <v>0.36599999999999999</v>
      </c>
      <c r="O21" s="96">
        <v>0.252</v>
      </c>
      <c r="P21" s="96"/>
      <c r="Q21" s="186">
        <v>0.69</v>
      </c>
      <c r="R21" s="186">
        <v>0.44080000000000003</v>
      </c>
      <c r="S21" s="187">
        <v>0.64759999999999995</v>
      </c>
      <c r="T21" s="86"/>
    </row>
    <row r="22" spans="1:25" ht="17.25">
      <c r="A22" s="35"/>
      <c r="I22" s="134"/>
      <c r="J22" s="134"/>
      <c r="K22" s="134"/>
      <c r="L22" s="208"/>
      <c r="M22" s="208"/>
      <c r="N22" s="208"/>
      <c r="O22" s="208"/>
      <c r="P22" s="208"/>
      <c r="Q22" s="208"/>
      <c r="R22" s="208"/>
      <c r="S22" s="209"/>
      <c r="U22" s="55"/>
    </row>
    <row r="23" spans="1:25" ht="34.5" customHeight="1">
      <c r="A23" s="299"/>
      <c r="B23" s="53"/>
      <c r="C23" s="3" t="s">
        <v>104</v>
      </c>
      <c r="D23" s="3" t="s">
        <v>119</v>
      </c>
      <c r="E23" s="3"/>
      <c r="F23" s="54" t="s">
        <v>120</v>
      </c>
      <c r="G23" s="54"/>
      <c r="H23" s="3"/>
      <c r="I23" s="3" t="s">
        <v>109</v>
      </c>
      <c r="J23" s="3" t="s">
        <v>108</v>
      </c>
      <c r="K23" s="3" t="s">
        <v>110</v>
      </c>
      <c r="L23" s="3" t="s">
        <v>111</v>
      </c>
      <c r="M23" s="3"/>
      <c r="N23" s="3" t="s">
        <v>113</v>
      </c>
      <c r="O23" s="3" t="s">
        <v>112</v>
      </c>
      <c r="P23" s="3" t="s">
        <v>114</v>
      </c>
      <c r="Q23" s="3"/>
      <c r="R23" s="3" t="s">
        <v>115</v>
      </c>
      <c r="S23" s="6" t="s">
        <v>117</v>
      </c>
      <c r="T23" s="59" t="s">
        <v>130</v>
      </c>
    </row>
    <row r="24" spans="1:25" ht="17.25">
      <c r="A24" s="300"/>
      <c r="B24" s="156">
        <v>1</v>
      </c>
      <c r="C24" s="32">
        <f>C4*(100-N4)*0.01-O4*$L$19-Q4*$O$19-R4*$P$19-S4*$Q$19-U4*$S$19</f>
        <v>18.080859999999998</v>
      </c>
      <c r="D24" s="32">
        <f>D4*(100-M4)*0.01-P4*$N$20-Q4*$O$20-R4*$P$20-T4*$R$20</f>
        <v>11.228159999999999</v>
      </c>
      <c r="E24" s="32"/>
      <c r="F24" s="32">
        <f>F4*(100-L4)*0.01-O4*$L$21-P4*$N$21-Q4*$O$21-S4*$Q$21-T4*$R$21-U4*$S$21</f>
        <v>29.490870000000005</v>
      </c>
      <c r="G24" s="32"/>
      <c r="H24" s="32"/>
      <c r="I24" s="23">
        <f>100*C24/$A$20</f>
        <v>17.726333333333333</v>
      </c>
      <c r="J24" s="23">
        <f>100*D24/$B$20</f>
        <v>20.014545454545452</v>
      </c>
      <c r="K24" s="23">
        <f>100*F24/$C$20</f>
        <v>49.069667221297841</v>
      </c>
      <c r="L24" s="23">
        <f>SUM(I24:K24)</f>
        <v>86.810546009176619</v>
      </c>
      <c r="M24" s="23"/>
      <c r="N24" s="23">
        <f>I24/L24</f>
        <v>0.20419562078851006</v>
      </c>
      <c r="O24" s="23">
        <f>J24/L24</f>
        <v>0.23055430906320695</v>
      </c>
      <c r="P24" s="23">
        <f>K24/L24</f>
        <v>0.5652500701482831</v>
      </c>
      <c r="Q24" s="23"/>
      <c r="R24" s="23">
        <f t="shared" ref="R24" si="0">(11-12*O24+N24)/(3-2*O24+2*N24)</f>
        <v>2.8628214494582664</v>
      </c>
      <c r="S24" s="195">
        <v>2.5889181714056533</v>
      </c>
      <c r="T24" s="129">
        <f>ABS(R24-S24)</f>
        <v>0.27390327805261316</v>
      </c>
    </row>
    <row r="25" spans="1:25" ht="19.5" customHeight="1">
      <c r="A25" s="300"/>
      <c r="B25" s="156">
        <v>2</v>
      </c>
      <c r="C25" s="32">
        <f>C5*(100-N5)*0.01-O5*$L$19-Q5*$O$19-R5*$P$19-S5*$Q$19-U5*$S$19</f>
        <v>16.641739999999999</v>
      </c>
      <c r="D25" s="32">
        <f>D5*(100-M5)*0.01-P5*$N$20-Q5*$O$20-R5*$P$20-T5*$R$20</f>
        <v>10.541920000000001</v>
      </c>
      <c r="E25" s="32"/>
      <c r="F25" s="32">
        <f>F5*(100-L5)*0.01-O5*$L$21-P5*$N$21-Q5*$O$21-S5*$Q$21-T5*$R$21-U5*$S$21</f>
        <v>32.383319999999998</v>
      </c>
      <c r="G25" s="32"/>
      <c r="H25" s="32"/>
      <c r="I25" s="23">
        <f t="shared" ref="I25:I28" si="1">100*C25/$A$20</f>
        <v>16.315431372549018</v>
      </c>
      <c r="J25" s="23">
        <f t="shared" ref="J25:J28" si="2">100*D25/$B$20</f>
        <v>18.791301247771834</v>
      </c>
      <c r="K25" s="23">
        <f t="shared" ref="K25:K28" si="3">100*F25/$C$20</f>
        <v>53.882396006655568</v>
      </c>
      <c r="L25" s="23">
        <f t="shared" ref="L25:L28" si="4">SUM(I25:K25)</f>
        <v>88.989128626976424</v>
      </c>
      <c r="M25" s="23"/>
      <c r="N25" s="23">
        <f t="shared" ref="N25:N28" si="5">I25/L25</f>
        <v>0.18334184887841581</v>
      </c>
      <c r="O25" s="23">
        <f t="shared" ref="O25:O28" si="6">J25/L25</f>
        <v>0.21116401000554785</v>
      </c>
      <c r="P25" s="23">
        <f t="shared" ref="P25:P28" si="7">K25/L25</f>
        <v>0.60549414111603628</v>
      </c>
      <c r="Q25" s="23"/>
      <c r="R25" s="23">
        <f t="shared" ref="R25:R28" si="8">(11-12*O25+N25)/(3-2*O25+2*N25)</f>
        <v>2.9376117138925255</v>
      </c>
      <c r="S25" s="195">
        <v>2.7533990861366315</v>
      </c>
      <c r="T25" s="129">
        <f t="shared" ref="T25:T28" si="9">ABS(R25-S25)</f>
        <v>0.18421262775589398</v>
      </c>
    </row>
    <row r="26" spans="1:25" ht="17.25">
      <c r="A26" s="300"/>
      <c r="B26" s="156">
        <v>3</v>
      </c>
      <c r="C26" s="32">
        <f>C6*(100-N6)*0.01-O6*$L$19-Q6*$O$19-R6*$P$19-S6*$Q$19-U6*$S$19</f>
        <v>16.289619999999999</v>
      </c>
      <c r="D26" s="32">
        <f>D6*(100-M6)*0.01-P6*$N$20-Q6*$O$20-R6*$P$20-T6*$R$20</f>
        <v>8.2800800000000017</v>
      </c>
      <c r="E26" s="32"/>
      <c r="F26" s="32">
        <f>F6*(100-L6)*0.01-O6*$L$21-P6*$N$21-Q6*$O$21-S6*$Q$21-T6*$R$21-U6*$S$21</f>
        <v>44.517179999999996</v>
      </c>
      <c r="G26" s="32"/>
      <c r="H26" s="32"/>
      <c r="I26" s="23">
        <f t="shared" si="1"/>
        <v>15.970215686274509</v>
      </c>
      <c r="J26" s="23">
        <f t="shared" si="2"/>
        <v>14.759500891265599</v>
      </c>
      <c r="K26" s="23">
        <f t="shared" si="3"/>
        <v>74.071846921797004</v>
      </c>
      <c r="L26" s="23">
        <f t="shared" si="4"/>
        <v>104.80156349933711</v>
      </c>
      <c r="M26" s="23"/>
      <c r="N26" s="23">
        <f t="shared" si="5"/>
        <v>0.15238528083958905</v>
      </c>
      <c r="O26" s="23">
        <f t="shared" si="6"/>
        <v>0.14083283109949934</v>
      </c>
      <c r="P26" s="23">
        <f t="shared" si="7"/>
        <v>0.70678188806091169</v>
      </c>
      <c r="Q26" s="23"/>
      <c r="R26" s="23">
        <f t="shared" si="8"/>
        <v>3.1300241381874132</v>
      </c>
      <c r="S26" s="195">
        <v>3.1232765698123699</v>
      </c>
      <c r="T26" s="129">
        <f t="shared" si="9"/>
        <v>6.7475683750433113E-3</v>
      </c>
    </row>
    <row r="27" spans="1:25" ht="17.25">
      <c r="A27" s="300"/>
      <c r="B27" s="156">
        <v>6</v>
      </c>
      <c r="C27" s="32">
        <f>C7*(100-N7)*0.01-O7*$L$19-Q7*$O$19-R7*$P$19-S7*$Q$19-U7*$S$19</f>
        <v>19.492529999999999</v>
      </c>
      <c r="D27" s="32">
        <f>D7*(100-M7)*0.01-P7*$N$20-Q7*$O$20-R7*$P$20-T7*$R$20</f>
        <v>15.909608</v>
      </c>
      <c r="E27" s="100"/>
      <c r="F27" s="32">
        <f>F7*(100-L7)*0.01-O7*$L$21-P7*$N$21-Q7*$O$21-S7*$Q$21-T7*$R$21-U7*$S$21</f>
        <v>26.482236</v>
      </c>
      <c r="G27" s="112"/>
      <c r="H27" s="32"/>
      <c r="I27" s="23">
        <f t="shared" si="1"/>
        <v>19.110323529411765</v>
      </c>
      <c r="J27" s="23">
        <f t="shared" si="2"/>
        <v>28.359372549019607</v>
      </c>
      <c r="K27" s="23">
        <f t="shared" si="3"/>
        <v>44.063620632279537</v>
      </c>
      <c r="L27" s="23">
        <f t="shared" si="4"/>
        <v>91.533316710710906</v>
      </c>
      <c r="M27" s="23"/>
      <c r="N27" s="23">
        <f t="shared" si="5"/>
        <v>0.2087799745070916</v>
      </c>
      <c r="O27" s="23">
        <f t="shared" si="6"/>
        <v>0.3098256849869081</v>
      </c>
      <c r="P27" s="23">
        <f t="shared" si="7"/>
        <v>0.48139434050600033</v>
      </c>
      <c r="Q27" s="23"/>
      <c r="R27" s="23">
        <f t="shared" si="8"/>
        <v>2.6773111211637342</v>
      </c>
      <c r="S27" s="195">
        <v>2.567983963910923</v>
      </c>
      <c r="T27" s="129">
        <f t="shared" si="9"/>
        <v>0.10932715725281117</v>
      </c>
    </row>
    <row r="28" spans="1:25" ht="17.25">
      <c r="A28" s="301"/>
      <c r="B28" s="210">
        <v>7</v>
      </c>
      <c r="C28" s="33">
        <f>C8*(100-N8)*0.01-O8*$L$19-Q8*$O$19-R8*$P$19-S8*$Q$19-U8*$S$19</f>
        <v>16.159719999999997</v>
      </c>
      <c r="D28" s="33">
        <f>D8*(100-M8)*0.01-P8*$N$20-Q8*$O$20-R8*$P$20-T8*$R$20</f>
        <v>17.723638000000001</v>
      </c>
      <c r="E28" s="56"/>
      <c r="F28" s="33">
        <f>F8*(100-L8)*0.01-O8*$L$21-P8*$N$21-Q8*$O$21-S8*$Q$21-T8*$R$21-U8*$S$21</f>
        <v>25.602116000000002</v>
      </c>
      <c r="G28" s="56"/>
      <c r="H28" s="56"/>
      <c r="I28" s="50">
        <f t="shared" si="1"/>
        <v>15.842862745098037</v>
      </c>
      <c r="J28" s="50">
        <f t="shared" si="2"/>
        <v>31.5929376114082</v>
      </c>
      <c r="K28" s="50">
        <f t="shared" si="3"/>
        <v>42.599194675540765</v>
      </c>
      <c r="L28" s="50">
        <f t="shared" si="4"/>
        <v>90.034995032046993</v>
      </c>
      <c r="M28" s="50"/>
      <c r="N28" s="50">
        <f t="shared" si="5"/>
        <v>0.17596338778559314</v>
      </c>
      <c r="O28" s="50">
        <f t="shared" si="6"/>
        <v>0.35089619986276482</v>
      </c>
      <c r="P28" s="50">
        <f t="shared" si="7"/>
        <v>0.47314041235164211</v>
      </c>
      <c r="Q28" s="50"/>
      <c r="R28" s="50">
        <f t="shared" si="8"/>
        <v>2.6282474779075389</v>
      </c>
      <c r="S28" s="196">
        <v>2.5373261899113166</v>
      </c>
      <c r="T28" s="144">
        <f t="shared" si="9"/>
        <v>9.0921287996222233E-2</v>
      </c>
    </row>
    <row r="29" spans="1:25" ht="17.25">
      <c r="T29" s="211">
        <f>AVERAGE(T24:T28)</f>
        <v>0.13302238388651677</v>
      </c>
    </row>
    <row r="32" spans="1:25" ht="17.25">
      <c r="Y32" s="131"/>
    </row>
  </sheetData>
  <mergeCells count="9">
    <mergeCell ref="A23:A28"/>
    <mergeCell ref="L9:N11"/>
    <mergeCell ref="O9:Q11"/>
    <mergeCell ref="L2:U2"/>
    <mergeCell ref="A1:J1"/>
    <mergeCell ref="A2:J2"/>
    <mergeCell ref="A4:A8"/>
    <mergeCell ref="R9:S11"/>
    <mergeCell ref="T9:U11"/>
  </mergeCells>
  <phoneticPr fontId="6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B59A-4E5E-4C70-B4F3-2F9B62F1719E}">
  <dimension ref="A1:AA24"/>
  <sheetViews>
    <sheetView zoomScale="75" zoomScaleNormal="75" workbookViewId="0">
      <selection activeCell="F17" sqref="F17"/>
    </sheetView>
  </sheetViews>
  <sheetFormatPr defaultRowHeight="16.5"/>
  <cols>
    <col min="1" max="1" width="11.875" customWidth="1"/>
    <col min="3" max="3" width="13.25" customWidth="1"/>
    <col min="4" max="4" width="11.5" customWidth="1"/>
    <col min="6" max="6" width="11.625" customWidth="1"/>
    <col min="9" max="9" width="13.25" customWidth="1"/>
    <col min="10" max="10" width="12.25" customWidth="1"/>
    <col min="11" max="11" width="11.5" customWidth="1"/>
    <col min="12" max="12" width="13.125" customWidth="1"/>
    <col min="13" max="13" width="12.5" customWidth="1"/>
    <col min="14" max="14" width="21.875" customWidth="1"/>
    <col min="15" max="15" width="20" customWidth="1"/>
    <col min="16" max="16" width="19.75" customWidth="1"/>
    <col min="17" max="17" width="19.125" customWidth="1"/>
    <col min="18" max="18" width="18.875" customWidth="1"/>
    <col min="19" max="19" width="17.375" customWidth="1"/>
    <col min="20" max="20" width="14.25" customWidth="1"/>
    <col min="22" max="22" width="10.25" customWidth="1"/>
  </cols>
  <sheetData>
    <row r="1" spans="1:27" ht="26.25">
      <c r="A1" s="289" t="s">
        <v>101</v>
      </c>
      <c r="B1" s="289"/>
      <c r="C1" s="289"/>
      <c r="D1" s="289"/>
      <c r="E1" s="289"/>
      <c r="F1" s="289"/>
      <c r="G1" s="289"/>
      <c r="H1" s="289"/>
      <c r="I1" s="289"/>
      <c r="J1" s="289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</row>
    <row r="2" spans="1:27" ht="20.25">
      <c r="A2" s="284" t="s">
        <v>102</v>
      </c>
      <c r="B2" s="285"/>
      <c r="C2" s="285"/>
      <c r="D2" s="285"/>
      <c r="E2" s="285"/>
      <c r="F2" s="285"/>
      <c r="G2" s="285"/>
      <c r="H2" s="285"/>
      <c r="I2" s="285"/>
      <c r="J2" s="285"/>
      <c r="K2" s="134"/>
      <c r="L2" s="295" t="s">
        <v>122</v>
      </c>
      <c r="M2" s="297"/>
      <c r="N2" s="134"/>
      <c r="O2" s="44" t="s">
        <v>106</v>
      </c>
      <c r="P2" s="45" t="s">
        <v>105</v>
      </c>
      <c r="Q2" s="46" t="s">
        <v>107</v>
      </c>
      <c r="R2" s="134"/>
      <c r="S2" s="134"/>
      <c r="T2" s="134"/>
      <c r="U2" s="134"/>
      <c r="V2" s="134"/>
      <c r="W2" s="134"/>
      <c r="X2" s="134"/>
      <c r="Y2" s="134"/>
      <c r="Z2" s="134"/>
      <c r="AA2" s="134"/>
    </row>
    <row r="3" spans="1:27" ht="34.5">
      <c r="A3" s="2" t="s">
        <v>116</v>
      </c>
      <c r="B3" s="3" t="s">
        <v>18</v>
      </c>
      <c r="C3" s="4" t="s">
        <v>20</v>
      </c>
      <c r="D3" s="4" t="s">
        <v>22</v>
      </c>
      <c r="E3" s="4" t="s">
        <v>21</v>
      </c>
      <c r="F3" s="4" t="s">
        <v>19</v>
      </c>
      <c r="G3" s="4" t="s">
        <v>23</v>
      </c>
      <c r="H3" s="4" t="s">
        <v>33</v>
      </c>
      <c r="I3" s="5" t="s">
        <v>118</v>
      </c>
      <c r="J3" s="6" t="s">
        <v>117</v>
      </c>
      <c r="K3" s="7"/>
      <c r="L3" s="36" t="s">
        <v>103</v>
      </c>
      <c r="M3" s="37" t="s">
        <v>121</v>
      </c>
      <c r="N3" s="7"/>
      <c r="O3" s="42">
        <v>102</v>
      </c>
      <c r="P3" s="22">
        <v>56.1</v>
      </c>
      <c r="Q3" s="43">
        <v>60.1</v>
      </c>
      <c r="R3" s="7"/>
      <c r="S3" s="7"/>
      <c r="T3" s="7"/>
      <c r="U3" s="7"/>
      <c r="V3" s="7"/>
      <c r="W3" s="7"/>
      <c r="X3" s="7"/>
      <c r="Y3" s="7"/>
    </row>
    <row r="4" spans="1:27" ht="17.25">
      <c r="A4" s="281" t="s">
        <v>201</v>
      </c>
      <c r="B4" s="31" t="s">
        <v>63</v>
      </c>
      <c r="C4" s="9">
        <v>27.13</v>
      </c>
      <c r="D4" s="9">
        <v>2.74</v>
      </c>
      <c r="E4" s="9">
        <v>7.28</v>
      </c>
      <c r="F4" s="9">
        <v>55.45</v>
      </c>
      <c r="G4" s="9">
        <v>1.2</v>
      </c>
      <c r="H4" s="9">
        <v>3.4279000000000002</v>
      </c>
      <c r="I4" s="10">
        <v>54.940000000000005</v>
      </c>
      <c r="J4" s="11">
        <v>3.1331070994909043</v>
      </c>
      <c r="K4" s="23"/>
      <c r="L4" s="38">
        <v>24.73</v>
      </c>
      <c r="M4" s="189">
        <v>18.27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7" ht="17.25">
      <c r="A5" s="283"/>
      <c r="B5" s="32" t="s">
        <v>57</v>
      </c>
      <c r="C5" s="14">
        <v>29.71</v>
      </c>
      <c r="D5" s="14">
        <v>1.36</v>
      </c>
      <c r="E5" s="14">
        <v>6.33</v>
      </c>
      <c r="F5" s="14">
        <v>55.17</v>
      </c>
      <c r="G5" s="14">
        <v>0.7</v>
      </c>
      <c r="H5" s="14">
        <v>2.2322799999999998</v>
      </c>
      <c r="I5" s="15">
        <v>44.52</v>
      </c>
      <c r="J5" s="16">
        <v>3.2295993146077753</v>
      </c>
      <c r="K5" s="23"/>
      <c r="L5" s="38">
        <v>22.42</v>
      </c>
      <c r="M5" s="189">
        <v>31.09</v>
      </c>
      <c r="N5" s="23"/>
      <c r="O5" s="47"/>
      <c r="P5" s="48" t="s">
        <v>125</v>
      </c>
      <c r="Q5" s="49" t="s">
        <v>126</v>
      </c>
      <c r="R5" s="23"/>
      <c r="S5" s="23"/>
      <c r="T5" s="23"/>
      <c r="U5" s="23"/>
      <c r="V5" s="23"/>
      <c r="W5" s="23"/>
      <c r="X5" s="23"/>
    </row>
    <row r="6" spans="1:27" ht="17.25">
      <c r="A6" s="283"/>
      <c r="B6" s="32" t="s">
        <v>62</v>
      </c>
      <c r="C6" s="14">
        <v>31.4</v>
      </c>
      <c r="D6" s="14">
        <v>3.8</v>
      </c>
      <c r="E6" s="14">
        <v>7.85</v>
      </c>
      <c r="F6" s="14">
        <v>48.81</v>
      </c>
      <c r="G6" s="14">
        <v>0.7</v>
      </c>
      <c r="H6" s="14">
        <v>2.0401600000000002</v>
      </c>
      <c r="I6" s="15">
        <v>35.17</v>
      </c>
      <c r="J6" s="16">
        <v>3.0196951905214564</v>
      </c>
      <c r="K6" s="23"/>
      <c r="L6" s="38">
        <v>19.690000000000001</v>
      </c>
      <c r="M6" s="189">
        <v>39.19</v>
      </c>
      <c r="N6" s="23"/>
      <c r="O6" s="38" t="s">
        <v>123</v>
      </c>
      <c r="P6" s="23">
        <v>0.71799999999999997</v>
      </c>
      <c r="Q6" s="39">
        <v>0.28199999999999997</v>
      </c>
      <c r="R6" s="23"/>
      <c r="S6" s="23"/>
      <c r="T6" s="23"/>
      <c r="U6" s="23"/>
      <c r="V6" s="23"/>
      <c r="W6" s="23"/>
      <c r="X6" s="23"/>
      <c r="Y6" s="23"/>
    </row>
    <row r="7" spans="1:27" ht="17.25">
      <c r="A7" s="283"/>
      <c r="B7" s="32" t="s">
        <v>61</v>
      </c>
      <c r="C7" s="14">
        <v>26.46</v>
      </c>
      <c r="D7" s="14">
        <v>3.97</v>
      </c>
      <c r="E7" s="14">
        <v>7.17</v>
      </c>
      <c r="F7" s="14">
        <v>54.55</v>
      </c>
      <c r="G7" s="14">
        <v>1.17</v>
      </c>
      <c r="H7" s="14">
        <v>3.3152600000000003</v>
      </c>
      <c r="I7" s="15">
        <v>53.62</v>
      </c>
      <c r="J7" s="16">
        <v>3.0783421379478577</v>
      </c>
      <c r="K7" s="23"/>
      <c r="L7" s="38">
        <v>25.15</v>
      </c>
      <c r="M7" s="189">
        <v>19.38</v>
      </c>
      <c r="N7" s="23"/>
      <c r="O7" s="40" t="s">
        <v>124</v>
      </c>
      <c r="P7" s="50">
        <v>0.77200000000000002</v>
      </c>
      <c r="Q7" s="41">
        <v>0.22800000000000001</v>
      </c>
      <c r="R7" s="23"/>
      <c r="S7" s="23"/>
      <c r="T7" s="23"/>
      <c r="U7" s="23"/>
      <c r="V7" s="23"/>
      <c r="W7" s="23"/>
      <c r="X7" s="23"/>
      <c r="Y7" s="23"/>
    </row>
    <row r="8" spans="1:27" ht="17.25">
      <c r="A8" s="283"/>
      <c r="B8" s="32" t="s">
        <v>65</v>
      </c>
      <c r="C8" s="14">
        <v>29.42</v>
      </c>
      <c r="D8" s="14">
        <v>1.63</v>
      </c>
      <c r="E8" s="14">
        <v>5.86</v>
      </c>
      <c r="F8" s="14">
        <v>56.23</v>
      </c>
      <c r="G8" s="14">
        <v>0.8</v>
      </c>
      <c r="H8" s="14">
        <v>2.5104600000000001</v>
      </c>
      <c r="I8" s="15">
        <v>45.569999999999993</v>
      </c>
      <c r="J8" s="16">
        <v>3.1835475524984158</v>
      </c>
      <c r="L8" s="38">
        <v>24.86</v>
      </c>
      <c r="M8" s="189">
        <v>27.41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7" ht="17.25">
      <c r="A9" s="283"/>
      <c r="B9" s="32" t="s">
        <v>66</v>
      </c>
      <c r="C9" s="14">
        <v>29.72</v>
      </c>
      <c r="D9" s="14">
        <v>1.3</v>
      </c>
      <c r="E9" s="14">
        <v>6.32</v>
      </c>
      <c r="F9" s="14">
        <v>55.16</v>
      </c>
      <c r="G9" s="14">
        <v>0.77</v>
      </c>
      <c r="H9" s="14">
        <v>2.6231</v>
      </c>
      <c r="I9" s="15">
        <v>46.140000000000008</v>
      </c>
      <c r="J9" s="16">
        <v>3.2132501243764371</v>
      </c>
      <c r="L9" s="38">
        <v>22.88</v>
      </c>
      <c r="M9" s="189">
        <v>28.89</v>
      </c>
    </row>
    <row r="10" spans="1:27" ht="17.25">
      <c r="A10" s="282"/>
      <c r="B10" s="33" t="s">
        <v>67</v>
      </c>
      <c r="C10" s="18">
        <v>29.9</v>
      </c>
      <c r="D10" s="18">
        <v>1.1100000000000001</v>
      </c>
      <c r="E10" s="18">
        <v>5.76</v>
      </c>
      <c r="F10" s="18">
        <v>56.06</v>
      </c>
      <c r="G10" s="18">
        <v>0.67</v>
      </c>
      <c r="H10" s="18">
        <v>2.3514999999999997</v>
      </c>
      <c r="I10" s="19">
        <v>39.22</v>
      </c>
      <c r="J10" s="20">
        <v>3.199763931557368</v>
      </c>
      <c r="L10" s="40">
        <v>26.29</v>
      </c>
      <c r="M10" s="43">
        <v>32.200000000000003</v>
      </c>
      <c r="N10" s="7"/>
    </row>
    <row r="11" spans="1:27" ht="17.25">
      <c r="L11" s="308" t="s">
        <v>127</v>
      </c>
      <c r="M11" s="308"/>
      <c r="N11" s="134"/>
    </row>
    <row r="12" spans="1:27">
      <c r="L12" s="298"/>
      <c r="M12" s="298"/>
    </row>
    <row r="13" spans="1:27">
      <c r="A13" s="35"/>
    </row>
    <row r="14" spans="1:27" ht="17.25">
      <c r="A14" s="35"/>
      <c r="I14" s="134"/>
      <c r="J14" s="134"/>
      <c r="K14" s="134"/>
      <c r="L14" s="134"/>
      <c r="M14" s="134"/>
      <c r="N14" s="134"/>
      <c r="O14" s="134"/>
      <c r="P14" s="134"/>
      <c r="Q14" s="134"/>
      <c r="R14" s="134"/>
    </row>
    <row r="15" spans="1:27" ht="17.25">
      <c r="A15" s="35"/>
      <c r="I15" s="134"/>
      <c r="J15" s="134"/>
      <c r="K15" s="134"/>
      <c r="L15" s="134"/>
      <c r="M15" s="134"/>
      <c r="N15" s="134"/>
      <c r="O15" s="134"/>
      <c r="P15" s="134"/>
      <c r="Q15" s="134"/>
      <c r="R15" s="134"/>
    </row>
    <row r="16" spans="1:27" ht="29.25" customHeight="1">
      <c r="A16" s="299"/>
      <c r="B16" s="53"/>
      <c r="C16" s="3" t="s">
        <v>104</v>
      </c>
      <c r="D16" s="3" t="s">
        <v>119</v>
      </c>
      <c r="E16" s="3"/>
      <c r="F16" s="54" t="s">
        <v>120</v>
      </c>
      <c r="G16" s="54"/>
      <c r="H16" s="3"/>
      <c r="I16" s="3" t="s">
        <v>109</v>
      </c>
      <c r="J16" s="3" t="s">
        <v>108</v>
      </c>
      <c r="K16" s="3" t="s">
        <v>110</v>
      </c>
      <c r="L16" s="3" t="s">
        <v>111</v>
      </c>
      <c r="M16" s="3"/>
      <c r="N16" s="3" t="s">
        <v>113</v>
      </c>
      <c r="O16" s="3" t="s">
        <v>112</v>
      </c>
      <c r="P16" s="3" t="s">
        <v>114</v>
      </c>
      <c r="Q16" s="3"/>
      <c r="R16" s="3" t="s">
        <v>115</v>
      </c>
      <c r="S16" s="6" t="s">
        <v>117</v>
      </c>
      <c r="T16" s="59" t="s">
        <v>130</v>
      </c>
    </row>
    <row r="17" spans="1:21" ht="16.5" customHeight="1">
      <c r="A17" s="300"/>
      <c r="B17" s="32" t="s">
        <v>63</v>
      </c>
      <c r="C17" s="55">
        <f t="shared" ref="C17:C23" si="0">C4-M4*$P$6</f>
        <v>14.01214</v>
      </c>
      <c r="D17" s="55">
        <f t="shared" ref="D17:D23" si="1">D4*I4*0.01</f>
        <v>1.5053560000000001</v>
      </c>
      <c r="E17" s="55"/>
      <c r="F17" s="55">
        <f t="shared" ref="F17:F23" si="2">F4*(100-L4)*0.01-(M4*$Q$6)</f>
        <v>36.585075000000003</v>
      </c>
      <c r="G17" s="55"/>
      <c r="H17" s="55"/>
      <c r="I17" s="23">
        <f>100*C17/$O$3</f>
        <v>13.737392156862745</v>
      </c>
      <c r="J17" s="23">
        <f>100*D17/$P$3</f>
        <v>2.6833440285204992</v>
      </c>
      <c r="K17" s="23">
        <f t="shared" ref="K17:K23" si="3">100*F17/$Q$3</f>
        <v>60.87366888519135</v>
      </c>
      <c r="L17" s="23">
        <f>SUM(I17:K17)</f>
        <v>77.294405070574598</v>
      </c>
      <c r="M17" s="23"/>
      <c r="N17" s="23">
        <f t="shared" ref="N17:N23" si="4">I17/L17</f>
        <v>0.1777281569645261</v>
      </c>
      <c r="O17" s="23">
        <f t="shared" ref="O17:O23" si="5">J17/L17</f>
        <v>3.4715889540393501E-2</v>
      </c>
      <c r="P17" s="23">
        <f t="shared" ref="P17:P23" si="6">K17/L17</f>
        <v>0.78755595349508034</v>
      </c>
      <c r="Q17" s="23"/>
      <c r="R17" s="23">
        <f>(11-12*O17+N17)/(3-2*O17+2*N17)</f>
        <v>3.2748195785996188</v>
      </c>
      <c r="S17" s="16">
        <v>3.1331070994909043</v>
      </c>
      <c r="T17" s="199">
        <f>ABS(R17-S17)</f>
        <v>0.14171247910871454</v>
      </c>
      <c r="U17" s="55"/>
    </row>
    <row r="18" spans="1:21" ht="17.25">
      <c r="A18" s="300"/>
      <c r="B18" s="32" t="s">
        <v>57</v>
      </c>
      <c r="C18" s="55">
        <f t="shared" si="0"/>
        <v>7.3873800000000003</v>
      </c>
      <c r="D18" s="55">
        <f t="shared" si="1"/>
        <v>0.60547200000000012</v>
      </c>
      <c r="E18" s="55"/>
      <c r="F18" s="55">
        <f t="shared" si="2"/>
        <v>34.033506000000003</v>
      </c>
      <c r="G18" s="55"/>
      <c r="H18" s="55"/>
      <c r="I18" s="23">
        <f t="shared" ref="I18:I19" si="7">100*C18/$O$3</f>
        <v>7.2425294117647061</v>
      </c>
      <c r="J18" s="23">
        <f t="shared" ref="J18:J20" si="8">100*D18/$P$3</f>
        <v>1.0792727272727274</v>
      </c>
      <c r="K18" s="23">
        <f t="shared" si="3"/>
        <v>56.628129783693844</v>
      </c>
      <c r="L18" s="23">
        <f>SUM(I18:K18)</f>
        <v>64.949931922731281</v>
      </c>
      <c r="M18" s="23"/>
      <c r="N18" s="23">
        <f t="shared" si="4"/>
        <v>0.11150942267931699</v>
      </c>
      <c r="O18" s="23">
        <f t="shared" si="5"/>
        <v>1.6616995512123114E-2</v>
      </c>
      <c r="P18" s="23">
        <f t="shared" si="6"/>
        <v>0.87187358180855978</v>
      </c>
      <c r="Q18" s="23"/>
      <c r="R18" s="23">
        <f>(11-12*O18+N18)/(3-2*O18+2*N18)</f>
        <v>3.4209534419558429</v>
      </c>
      <c r="S18" s="16">
        <v>3.2295993146077753</v>
      </c>
      <c r="T18" s="199">
        <f t="shared" ref="T18:T22" si="9">ABS(R18-S18)</f>
        <v>0.19135412734806767</v>
      </c>
      <c r="U18" s="55"/>
    </row>
    <row r="19" spans="1:21" ht="17.25">
      <c r="A19" s="300"/>
      <c r="B19" s="32" t="s">
        <v>62</v>
      </c>
      <c r="C19" s="55">
        <f t="shared" si="0"/>
        <v>3.2615800000000021</v>
      </c>
      <c r="D19" s="55">
        <f t="shared" si="1"/>
        <v>1.33646</v>
      </c>
      <c r="E19" s="55"/>
      <c r="F19" s="55">
        <f t="shared" si="2"/>
        <v>28.147731000000004</v>
      </c>
      <c r="G19" s="55"/>
      <c r="H19" s="55"/>
      <c r="I19" s="23">
        <f t="shared" si="7"/>
        <v>3.1976274509803946</v>
      </c>
      <c r="J19" s="23">
        <f t="shared" si="8"/>
        <v>2.3822816399286983</v>
      </c>
      <c r="K19" s="23">
        <f t="shared" si="3"/>
        <v>46.834826955074881</v>
      </c>
      <c r="L19" s="23">
        <f>SUM(I19:K19)</f>
        <v>52.414736045983972</v>
      </c>
      <c r="M19" s="23"/>
      <c r="N19" s="23">
        <f t="shared" si="4"/>
        <v>6.1006268316892487E-2</v>
      </c>
      <c r="O19" s="23">
        <f t="shared" si="5"/>
        <v>4.5450608352557549E-2</v>
      </c>
      <c r="P19" s="23">
        <f t="shared" si="6"/>
        <v>0.89354312333054997</v>
      </c>
      <c r="Q19" s="23"/>
      <c r="R19" s="23">
        <f>(11-12*O19+N19)/(3-2*O19+2*N19)</f>
        <v>3.469222294459863</v>
      </c>
      <c r="S19" s="16">
        <v>3.0196951905214564</v>
      </c>
      <c r="T19" s="199">
        <f t="shared" si="9"/>
        <v>0.44952710393840656</v>
      </c>
      <c r="U19" s="55"/>
    </row>
    <row r="20" spans="1:21" ht="17.25">
      <c r="A20" s="300"/>
      <c r="B20" s="32" t="s">
        <v>61</v>
      </c>
      <c r="C20" s="55">
        <f t="shared" si="0"/>
        <v>12.545160000000003</v>
      </c>
      <c r="D20" s="55">
        <f t="shared" si="1"/>
        <v>2.128714</v>
      </c>
      <c r="E20" s="55"/>
      <c r="F20" s="55">
        <f t="shared" si="2"/>
        <v>35.365515000000002</v>
      </c>
      <c r="G20" s="55"/>
      <c r="H20" s="55"/>
      <c r="I20" s="23">
        <f>100*C20/$O$3</f>
        <v>12.299176470588238</v>
      </c>
      <c r="J20" s="23">
        <f t="shared" si="8"/>
        <v>3.7944991087344024</v>
      </c>
      <c r="K20" s="23">
        <f t="shared" si="3"/>
        <v>58.844450915141429</v>
      </c>
      <c r="L20" s="23">
        <f>SUM(I20:K20)</f>
        <v>74.938126494464072</v>
      </c>
      <c r="M20" s="23"/>
      <c r="N20" s="23">
        <f t="shared" si="4"/>
        <v>0.16412441898313029</v>
      </c>
      <c r="O20" s="23">
        <f t="shared" si="5"/>
        <v>5.0635094393702444E-2</v>
      </c>
      <c r="P20" s="23">
        <f t="shared" si="6"/>
        <v>0.78524048662316726</v>
      </c>
      <c r="Q20" s="23"/>
      <c r="R20" s="23">
        <f>(11-12*O20+N20)/(3-2*O20+2*N20)</f>
        <v>3.2713272797590194</v>
      </c>
      <c r="S20" s="16">
        <v>3.0783421379478577</v>
      </c>
      <c r="T20" s="199">
        <f t="shared" si="9"/>
        <v>0.19298514181116166</v>
      </c>
      <c r="U20" s="55"/>
    </row>
    <row r="21" spans="1:21" ht="17.25">
      <c r="A21" s="300"/>
      <c r="B21" s="32" t="s">
        <v>65</v>
      </c>
      <c r="C21" s="55">
        <f t="shared" si="0"/>
        <v>9.7396200000000022</v>
      </c>
      <c r="D21" s="55">
        <f t="shared" si="1"/>
        <v>0.74279099999999987</v>
      </c>
      <c r="E21" s="55"/>
      <c r="F21" s="55">
        <f t="shared" si="2"/>
        <v>34.521602000000001</v>
      </c>
      <c r="G21" s="55"/>
      <c r="H21" s="55"/>
      <c r="I21" s="23">
        <f t="shared" ref="I21:I23" si="10">100*C21/$O$3</f>
        <v>9.5486470588235317</v>
      </c>
      <c r="J21" s="23">
        <f t="shared" ref="J21:J23" si="11">100*D21/$P$3</f>
        <v>1.3240481283422456</v>
      </c>
      <c r="K21" s="23">
        <f t="shared" si="3"/>
        <v>57.440269550748752</v>
      </c>
      <c r="L21" s="23">
        <f t="shared" ref="L21:L23" si="12">SUM(I21:K21)</f>
        <v>68.312964737914527</v>
      </c>
      <c r="M21" s="23"/>
      <c r="N21" s="23">
        <f t="shared" si="4"/>
        <v>0.13977796301854714</v>
      </c>
      <c r="O21" s="23">
        <f t="shared" si="5"/>
        <v>1.9382091429086853E-2</v>
      </c>
      <c r="P21" s="23">
        <f t="shared" si="6"/>
        <v>0.84083994555236607</v>
      </c>
      <c r="Q21" s="23"/>
      <c r="R21" s="23">
        <f t="shared" ref="R21:R23" si="13">(11-12*O21+N21)/(3-2*O21+2*N21)</f>
        <v>3.3655951169421776</v>
      </c>
      <c r="S21" s="16">
        <v>3.1835475524984158</v>
      </c>
      <c r="T21" s="199">
        <f t="shared" si="9"/>
        <v>0.1820475644437618</v>
      </c>
      <c r="U21" s="55"/>
    </row>
    <row r="22" spans="1:21" ht="17.25">
      <c r="A22" s="300"/>
      <c r="B22" s="32" t="s">
        <v>66</v>
      </c>
      <c r="C22" s="55">
        <f t="shared" si="0"/>
        <v>8.9769799999999975</v>
      </c>
      <c r="D22" s="55">
        <f t="shared" si="1"/>
        <v>0.59982000000000013</v>
      </c>
      <c r="E22" s="55"/>
      <c r="F22" s="55">
        <f t="shared" si="2"/>
        <v>34.392412</v>
      </c>
      <c r="G22" s="55"/>
      <c r="H22" s="55"/>
      <c r="I22" s="23">
        <f t="shared" si="10"/>
        <v>8.8009607843137232</v>
      </c>
      <c r="J22" s="23">
        <f t="shared" si="11"/>
        <v>1.069197860962567</v>
      </c>
      <c r="K22" s="23">
        <f t="shared" si="3"/>
        <v>57.225311148086519</v>
      </c>
      <c r="L22" s="23">
        <f t="shared" si="12"/>
        <v>67.09546979336281</v>
      </c>
      <c r="M22" s="23"/>
      <c r="N22" s="23">
        <f t="shared" si="4"/>
        <v>0.1311707155701938</v>
      </c>
      <c r="O22" s="23">
        <f t="shared" si="5"/>
        <v>1.5935470222586231E-2</v>
      </c>
      <c r="P22" s="23">
        <f t="shared" si="6"/>
        <v>0.85289381420721999</v>
      </c>
      <c r="Q22" s="23"/>
      <c r="R22" s="23">
        <f t="shared" si="13"/>
        <v>3.3864866137640601</v>
      </c>
      <c r="S22" s="16">
        <v>3.2132501243764371</v>
      </c>
      <c r="T22" s="199">
        <f t="shared" si="9"/>
        <v>0.17323648938762304</v>
      </c>
      <c r="U22" s="55"/>
    </row>
    <row r="23" spans="1:21" ht="17.25">
      <c r="A23" s="301"/>
      <c r="B23" s="33" t="s">
        <v>67</v>
      </c>
      <c r="C23" s="56">
        <f t="shared" si="0"/>
        <v>6.7803999999999967</v>
      </c>
      <c r="D23" s="56">
        <f t="shared" si="1"/>
        <v>0.43534200000000006</v>
      </c>
      <c r="E23" s="56"/>
      <c r="F23" s="56">
        <f t="shared" si="2"/>
        <v>32.241426000000011</v>
      </c>
      <c r="G23" s="56"/>
      <c r="H23" s="56"/>
      <c r="I23" s="50">
        <f t="shared" si="10"/>
        <v>6.6474509803921533</v>
      </c>
      <c r="J23" s="50">
        <f t="shared" si="11"/>
        <v>0.77601069518716581</v>
      </c>
      <c r="K23" s="50">
        <f t="shared" si="3"/>
        <v>53.646299500831965</v>
      </c>
      <c r="L23" s="50">
        <f t="shared" si="12"/>
        <v>61.069761176411284</v>
      </c>
      <c r="M23" s="50"/>
      <c r="N23" s="50">
        <f t="shared" si="4"/>
        <v>0.10885012242294126</v>
      </c>
      <c r="O23" s="50">
        <f t="shared" si="5"/>
        <v>1.270695480444922E-2</v>
      </c>
      <c r="P23" s="50">
        <f t="shared" si="6"/>
        <v>0.87844292277260949</v>
      </c>
      <c r="Q23" s="50"/>
      <c r="R23" s="50">
        <f t="shared" si="13"/>
        <v>3.4321378204177253</v>
      </c>
      <c r="S23" s="20">
        <v>3.199763931557368</v>
      </c>
      <c r="T23" s="106">
        <f>ABS(R23-S23)</f>
        <v>0.23237388886035726</v>
      </c>
    </row>
    <row r="24" spans="1:21">
      <c r="T24" s="77">
        <f>AVERAGE(T17:T23)</f>
        <v>0.22331954212829894</v>
      </c>
    </row>
  </sheetData>
  <mergeCells count="6">
    <mergeCell ref="A1:J1"/>
    <mergeCell ref="A2:J2"/>
    <mergeCell ref="A4:A10"/>
    <mergeCell ref="A16:A23"/>
    <mergeCell ref="L2:M2"/>
    <mergeCell ref="L11:M12"/>
  </mergeCells>
  <phoneticPr fontId="6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857E-3D77-4EAA-9B30-CAA344545BD8}">
  <dimension ref="A1:AA56"/>
  <sheetViews>
    <sheetView topLeftCell="A16" zoomScale="75" zoomScaleNormal="75" workbookViewId="0">
      <selection activeCell="R34" sqref="R34"/>
    </sheetView>
  </sheetViews>
  <sheetFormatPr defaultRowHeight="16.5"/>
  <cols>
    <col min="1" max="1" width="11.25" customWidth="1"/>
    <col min="2" max="3" width="12.375" customWidth="1"/>
    <col min="4" max="4" width="11.5" customWidth="1"/>
    <col min="6" max="6" width="11.625" customWidth="1"/>
    <col min="9" max="9" width="13.25" customWidth="1"/>
    <col min="10" max="10" width="12.25" customWidth="1"/>
    <col min="11" max="11" width="11.5" customWidth="1"/>
    <col min="12" max="12" width="19.875" customWidth="1"/>
    <col min="13" max="13" width="19.125" customWidth="1"/>
    <col min="14" max="14" width="20.25" customWidth="1"/>
    <col min="15" max="15" width="19.875" customWidth="1"/>
    <col min="16" max="16" width="19.75" customWidth="1"/>
    <col min="17" max="17" width="19.125" customWidth="1"/>
    <col min="18" max="18" width="18.875" customWidth="1"/>
    <col min="19" max="19" width="17.375" customWidth="1"/>
    <col min="20" max="20" width="19" customWidth="1"/>
    <col min="22" max="22" width="10.25" customWidth="1"/>
  </cols>
  <sheetData>
    <row r="1" spans="1:27" ht="26.25">
      <c r="A1" s="289" t="s">
        <v>101</v>
      </c>
      <c r="B1" s="289"/>
      <c r="C1" s="289"/>
      <c r="D1" s="289"/>
      <c r="E1" s="289"/>
      <c r="F1" s="289"/>
      <c r="G1" s="289"/>
      <c r="H1" s="289"/>
      <c r="I1" s="289"/>
      <c r="J1" s="289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</row>
    <row r="2" spans="1:27" ht="20.25">
      <c r="A2" s="284" t="s">
        <v>102</v>
      </c>
      <c r="B2" s="285"/>
      <c r="C2" s="285"/>
      <c r="D2" s="285"/>
      <c r="E2" s="285"/>
      <c r="F2" s="285"/>
      <c r="G2" s="285"/>
      <c r="H2" s="285"/>
      <c r="I2" s="285"/>
      <c r="J2" s="285"/>
      <c r="K2" s="220"/>
      <c r="L2" s="295" t="s">
        <v>122</v>
      </c>
      <c r="M2" s="296"/>
      <c r="N2" s="296"/>
      <c r="O2" s="296"/>
      <c r="P2" s="297"/>
      <c r="Q2" s="102"/>
      <c r="R2" s="102"/>
      <c r="S2" s="102"/>
      <c r="T2" s="102"/>
      <c r="U2" s="220"/>
      <c r="V2" s="220"/>
      <c r="W2" s="220"/>
      <c r="X2" s="220"/>
      <c r="Y2" s="220"/>
      <c r="Z2" s="220"/>
      <c r="AA2" s="220"/>
    </row>
    <row r="3" spans="1:27" ht="34.5">
      <c r="A3" s="2" t="s">
        <v>116</v>
      </c>
      <c r="B3" s="3" t="s">
        <v>18</v>
      </c>
      <c r="C3" s="4" t="s">
        <v>20</v>
      </c>
      <c r="D3" s="4" t="s">
        <v>22</v>
      </c>
      <c r="E3" s="4" t="s">
        <v>21</v>
      </c>
      <c r="F3" s="4" t="s">
        <v>19</v>
      </c>
      <c r="G3" s="4" t="s">
        <v>23</v>
      </c>
      <c r="H3" s="4" t="s">
        <v>33</v>
      </c>
      <c r="I3" s="5" t="s">
        <v>118</v>
      </c>
      <c r="J3" s="6" t="s">
        <v>117</v>
      </c>
      <c r="K3" s="7"/>
      <c r="L3" s="36" t="s">
        <v>103</v>
      </c>
      <c r="M3" s="7" t="s">
        <v>203</v>
      </c>
      <c r="N3" s="7" t="s">
        <v>140</v>
      </c>
      <c r="O3" s="7" t="s">
        <v>121</v>
      </c>
      <c r="P3" s="37" t="s">
        <v>155</v>
      </c>
      <c r="Q3" s="220"/>
      <c r="R3" s="220"/>
      <c r="S3" s="84"/>
      <c r="T3" s="7"/>
      <c r="U3" s="7"/>
      <c r="V3" s="7"/>
      <c r="W3" s="7"/>
      <c r="X3" s="7"/>
      <c r="Y3" s="7"/>
      <c r="Z3" s="7"/>
      <c r="AA3" s="7"/>
    </row>
    <row r="4" spans="1:27" ht="17.25">
      <c r="A4" s="281" t="s">
        <v>202</v>
      </c>
      <c r="B4" s="31" t="s">
        <v>68</v>
      </c>
      <c r="C4" s="9">
        <v>23.3</v>
      </c>
      <c r="D4" s="9">
        <v>4</v>
      </c>
      <c r="E4" s="9">
        <v>6.9</v>
      </c>
      <c r="F4" s="9">
        <v>55.2</v>
      </c>
      <c r="G4" s="9">
        <v>2.5</v>
      </c>
      <c r="H4" s="9">
        <v>3.2004000000000001</v>
      </c>
      <c r="I4" s="10">
        <v>86</v>
      </c>
      <c r="J4" s="11">
        <v>3.2779075680029921</v>
      </c>
      <c r="K4" s="23"/>
      <c r="L4" s="158">
        <v>6.6</v>
      </c>
      <c r="M4" s="173"/>
      <c r="N4" s="173">
        <v>0.7</v>
      </c>
      <c r="O4" s="173">
        <v>3.8</v>
      </c>
      <c r="P4" s="37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7" ht="17.25">
      <c r="A5" s="283"/>
      <c r="B5" s="32" t="s">
        <v>69</v>
      </c>
      <c r="C5" s="14">
        <v>35.6</v>
      </c>
      <c r="D5" s="14">
        <v>8.4</v>
      </c>
      <c r="E5" s="14">
        <v>2.6</v>
      </c>
      <c r="F5" s="14">
        <v>42.6</v>
      </c>
      <c r="G5" s="14">
        <v>2.1</v>
      </c>
      <c r="H5" s="14">
        <v>0.69479999999999997</v>
      </c>
      <c r="I5" s="15">
        <v>48</v>
      </c>
      <c r="J5" s="16">
        <v>3.1610537024147352</v>
      </c>
      <c r="K5" s="23"/>
      <c r="L5" s="158">
        <v>3.4</v>
      </c>
      <c r="M5" s="173"/>
      <c r="N5" s="173">
        <v>1.1000000000000001</v>
      </c>
      <c r="O5" s="173">
        <v>40.4</v>
      </c>
      <c r="P5" s="37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7" ht="17.25">
      <c r="A6" s="283"/>
      <c r="B6" s="32" t="s">
        <v>70</v>
      </c>
      <c r="C6" s="14">
        <v>26.7</v>
      </c>
      <c r="D6" s="14">
        <v>2.2999999999999998</v>
      </c>
      <c r="E6" s="14">
        <v>12.3</v>
      </c>
      <c r="F6" s="14">
        <v>49.5</v>
      </c>
      <c r="G6" s="14">
        <v>0.9</v>
      </c>
      <c r="H6" s="14">
        <v>1.5502</v>
      </c>
      <c r="I6" s="15">
        <v>56</v>
      </c>
      <c r="J6" s="16">
        <v>3.3665328490409738</v>
      </c>
      <c r="K6" s="23"/>
      <c r="L6" s="158">
        <v>9.6</v>
      </c>
      <c r="M6" s="173"/>
      <c r="N6" s="173"/>
      <c r="O6" s="173">
        <v>24.4</v>
      </c>
      <c r="P6" s="37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 ht="17.25">
      <c r="A7" s="283"/>
      <c r="B7" s="32" t="s">
        <v>71</v>
      </c>
      <c r="C7" s="14">
        <v>17.600000000000001</v>
      </c>
      <c r="D7" s="14">
        <v>11.8</v>
      </c>
      <c r="E7" s="14">
        <v>10.4</v>
      </c>
      <c r="F7" s="14">
        <v>49.2</v>
      </c>
      <c r="G7" s="14">
        <v>2</v>
      </c>
      <c r="H7" s="14">
        <v>0.66320000000000001</v>
      </c>
      <c r="I7" s="15">
        <v>63</v>
      </c>
      <c r="J7" s="16">
        <v>3.1162112490619789</v>
      </c>
      <c r="K7" s="23"/>
      <c r="L7" s="158">
        <v>6.9</v>
      </c>
      <c r="M7" s="173">
        <v>4.5</v>
      </c>
      <c r="N7" s="173"/>
      <c r="O7" s="173">
        <v>19.600000000000001</v>
      </c>
      <c r="P7" s="37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 ht="17.25">
      <c r="A8" s="283"/>
      <c r="B8" s="32" t="s">
        <v>72</v>
      </c>
      <c r="C8" s="14">
        <v>23.9</v>
      </c>
      <c r="D8" s="14">
        <v>5.4</v>
      </c>
      <c r="E8" s="14">
        <v>16</v>
      </c>
      <c r="F8" s="14">
        <v>48.3</v>
      </c>
      <c r="G8" s="14">
        <v>1</v>
      </c>
      <c r="H8" s="14">
        <v>1.1212</v>
      </c>
      <c r="I8" s="15">
        <v>63</v>
      </c>
      <c r="J8" s="16">
        <v>3.2648408142564027</v>
      </c>
      <c r="K8" s="23"/>
      <c r="L8" s="158">
        <v>8.6</v>
      </c>
      <c r="M8" s="173"/>
      <c r="N8" s="173"/>
      <c r="O8" s="173">
        <v>19.399999999999999</v>
      </c>
      <c r="P8" s="37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1:27" ht="17.25">
      <c r="A9" s="283"/>
      <c r="B9" s="32" t="s">
        <v>73</v>
      </c>
      <c r="C9" s="14">
        <v>28.5</v>
      </c>
      <c r="D9" s="14">
        <v>2</v>
      </c>
      <c r="E9" s="14">
        <v>5.9</v>
      </c>
      <c r="F9" s="14">
        <v>52.3</v>
      </c>
      <c r="G9" s="14">
        <v>1.5</v>
      </c>
      <c r="H9" s="14">
        <v>3.1320000000000001</v>
      </c>
      <c r="I9" s="15">
        <v>86</v>
      </c>
      <c r="J9" s="16">
        <v>3.2780547468284835</v>
      </c>
      <c r="L9" s="158">
        <v>2.7</v>
      </c>
      <c r="M9" s="173"/>
      <c r="N9" s="173"/>
      <c r="O9" s="173">
        <v>7.4</v>
      </c>
      <c r="P9" s="37"/>
      <c r="Q9" s="55"/>
      <c r="R9" s="55"/>
      <c r="S9" s="55"/>
      <c r="T9" s="100"/>
      <c r="U9" s="100"/>
      <c r="V9" s="100"/>
    </row>
    <row r="10" spans="1:27" ht="17.25">
      <c r="A10" s="283"/>
      <c r="B10" s="32" t="s">
        <v>74</v>
      </c>
      <c r="C10" s="14">
        <v>25.5</v>
      </c>
      <c r="D10" s="14">
        <v>2.8</v>
      </c>
      <c r="E10" s="14">
        <v>7.5</v>
      </c>
      <c r="F10" s="14">
        <v>51.2</v>
      </c>
      <c r="G10" s="14">
        <v>2</v>
      </c>
      <c r="H10" s="14">
        <v>3.3662000000000001</v>
      </c>
      <c r="I10" s="15">
        <v>89</v>
      </c>
      <c r="J10" s="16">
        <v>3.2622808217496373</v>
      </c>
      <c r="L10" s="158">
        <v>3.1</v>
      </c>
      <c r="M10" s="173"/>
      <c r="N10" s="173"/>
      <c r="O10" s="173">
        <v>3.2</v>
      </c>
      <c r="P10" s="37"/>
      <c r="Q10" s="55"/>
      <c r="R10" s="55"/>
      <c r="S10" s="55"/>
      <c r="T10" s="100"/>
      <c r="U10" s="100"/>
      <c r="V10" s="100"/>
    </row>
    <row r="11" spans="1:27" ht="17.25">
      <c r="A11" s="283"/>
      <c r="B11" s="32" t="s">
        <v>75</v>
      </c>
      <c r="C11" s="14">
        <v>23.2</v>
      </c>
      <c r="D11" s="14">
        <v>8.9</v>
      </c>
      <c r="E11" s="14">
        <v>14.3</v>
      </c>
      <c r="F11" s="14">
        <v>44.1</v>
      </c>
      <c r="G11" s="14">
        <v>1.8</v>
      </c>
      <c r="H11" s="14">
        <v>2.0108000000000001</v>
      </c>
      <c r="I11" s="15">
        <v>85</v>
      </c>
      <c r="J11" s="16">
        <v>3.1616157772674778</v>
      </c>
      <c r="L11" s="158">
        <v>1.7</v>
      </c>
      <c r="M11" s="173"/>
      <c r="N11" s="173">
        <v>1.9</v>
      </c>
      <c r="O11" s="173">
        <v>4.2</v>
      </c>
      <c r="P11" s="37"/>
      <c r="Q11" s="68"/>
      <c r="R11" s="68"/>
      <c r="S11" s="68"/>
      <c r="T11" s="68"/>
      <c r="U11" s="68"/>
      <c r="V11" s="68"/>
    </row>
    <row r="12" spans="1:27" ht="17.25">
      <c r="A12" s="283"/>
      <c r="B12" s="32" t="s">
        <v>76</v>
      </c>
      <c r="C12" s="14">
        <v>30.6</v>
      </c>
      <c r="D12" s="14">
        <v>3</v>
      </c>
      <c r="E12" s="14">
        <v>7.2</v>
      </c>
      <c r="F12" s="14">
        <v>48.9</v>
      </c>
      <c r="G12" s="14">
        <v>1.6</v>
      </c>
      <c r="H12" s="14">
        <v>3.1662000000000003</v>
      </c>
      <c r="I12" s="15">
        <v>74</v>
      </c>
      <c r="J12" s="16">
        <v>3.258949530516432</v>
      </c>
      <c r="L12" s="158">
        <v>5</v>
      </c>
      <c r="M12" s="173"/>
      <c r="N12" s="173"/>
      <c r="O12" s="173">
        <v>18.399999999999999</v>
      </c>
      <c r="P12" s="37"/>
      <c r="Q12" s="68"/>
      <c r="R12" s="68"/>
      <c r="S12" s="68"/>
      <c r="T12" s="68"/>
      <c r="U12" s="68"/>
      <c r="V12" s="68"/>
    </row>
    <row r="13" spans="1:27" ht="17.25">
      <c r="A13" s="283"/>
      <c r="B13" s="32" t="s">
        <v>77</v>
      </c>
      <c r="C13" s="14">
        <v>27.4</v>
      </c>
      <c r="D13" s="14">
        <v>0.8</v>
      </c>
      <c r="E13" s="14">
        <v>7.3</v>
      </c>
      <c r="F13" s="14">
        <v>58.6</v>
      </c>
      <c r="G13" s="14">
        <v>1</v>
      </c>
      <c r="H13" s="14">
        <v>1.8792</v>
      </c>
      <c r="I13" s="15">
        <v>65</v>
      </c>
      <c r="J13" s="16">
        <v>3.4042998697508779</v>
      </c>
      <c r="L13" s="158">
        <v>10.4</v>
      </c>
      <c r="M13" s="173"/>
      <c r="N13" s="173"/>
      <c r="O13" s="173">
        <v>20.7</v>
      </c>
      <c r="P13" s="37"/>
      <c r="Q13" s="68"/>
      <c r="R13" s="68"/>
      <c r="S13" s="68"/>
      <c r="T13" s="68"/>
      <c r="U13" s="68"/>
      <c r="V13" s="68"/>
    </row>
    <row r="14" spans="1:27" ht="17.25">
      <c r="A14" s="283"/>
      <c r="B14" s="32" t="s">
        <v>78</v>
      </c>
      <c r="C14" s="14">
        <v>24.8</v>
      </c>
      <c r="D14" s="14">
        <v>6.8</v>
      </c>
      <c r="E14" s="14">
        <v>9</v>
      </c>
      <c r="F14" s="14">
        <v>46.8</v>
      </c>
      <c r="G14" s="14">
        <v>3.7</v>
      </c>
      <c r="H14" s="14">
        <v>2.516</v>
      </c>
      <c r="I14" s="15">
        <v>63</v>
      </c>
      <c r="J14" s="16">
        <v>3.204865675862171</v>
      </c>
      <c r="L14" s="158">
        <v>11.2</v>
      </c>
      <c r="M14" s="173"/>
      <c r="N14" s="173">
        <v>1.1000000000000001</v>
      </c>
      <c r="O14" s="173">
        <v>20.100000000000001</v>
      </c>
      <c r="P14" s="37"/>
      <c r="Q14" s="68"/>
      <c r="R14" s="68"/>
      <c r="S14" s="68"/>
      <c r="T14" s="68"/>
      <c r="U14" s="68"/>
      <c r="V14" s="68"/>
    </row>
    <row r="15" spans="1:27" ht="17.25">
      <c r="A15" s="283"/>
      <c r="B15" s="32" t="s">
        <v>79</v>
      </c>
      <c r="C15" s="14">
        <v>25</v>
      </c>
      <c r="D15" s="14">
        <v>6.4</v>
      </c>
      <c r="E15" s="14">
        <v>8.8000000000000007</v>
      </c>
      <c r="F15" s="14">
        <v>45.3</v>
      </c>
      <c r="G15" s="14">
        <v>1.4</v>
      </c>
      <c r="H15" s="14">
        <v>1.5238</v>
      </c>
      <c r="I15" s="15">
        <v>82</v>
      </c>
      <c r="J15" s="16">
        <v>3.1487963331249884</v>
      </c>
      <c r="L15" s="158">
        <v>6.1</v>
      </c>
      <c r="M15" s="173"/>
      <c r="N15" s="173">
        <v>1</v>
      </c>
      <c r="O15" s="173">
        <v>4.9000000000000004</v>
      </c>
      <c r="P15" s="37"/>
      <c r="Q15" s="68"/>
      <c r="R15" s="68"/>
      <c r="S15" s="68"/>
      <c r="T15" s="68"/>
      <c r="U15" s="68"/>
      <c r="V15" s="68"/>
    </row>
    <row r="16" spans="1:27" ht="17.25">
      <c r="A16" s="283"/>
      <c r="B16" s="32" t="s">
        <v>80</v>
      </c>
      <c r="C16" s="14">
        <v>26.1</v>
      </c>
      <c r="D16" s="14">
        <v>3.1</v>
      </c>
      <c r="E16" s="14">
        <v>7.4</v>
      </c>
      <c r="F16" s="14">
        <v>53.3</v>
      </c>
      <c r="G16" s="14">
        <v>0.6</v>
      </c>
      <c r="H16" s="14">
        <v>0.49480000000000002</v>
      </c>
      <c r="I16" s="15">
        <v>80</v>
      </c>
      <c r="J16" s="16">
        <v>3.2748683004106969</v>
      </c>
      <c r="L16" s="158">
        <v>7.1</v>
      </c>
      <c r="M16" s="173"/>
      <c r="N16" s="173"/>
      <c r="O16" s="173">
        <v>10.9</v>
      </c>
      <c r="P16" s="37"/>
      <c r="Q16" s="68"/>
      <c r="R16" s="68"/>
      <c r="S16" s="68"/>
      <c r="T16" s="68"/>
      <c r="U16" s="68"/>
      <c r="V16" s="68"/>
    </row>
    <row r="17" spans="1:23" ht="17.25">
      <c r="A17" s="283"/>
      <c r="B17" s="32" t="s">
        <v>81</v>
      </c>
      <c r="C17" s="14">
        <v>27</v>
      </c>
      <c r="D17" s="14">
        <v>0.5</v>
      </c>
      <c r="E17" s="14">
        <v>3.3</v>
      </c>
      <c r="F17" s="14">
        <v>59.6</v>
      </c>
      <c r="G17" s="14">
        <v>0.9</v>
      </c>
      <c r="H17" s="14">
        <v>2.2082000000000002</v>
      </c>
      <c r="I17" s="15">
        <v>80</v>
      </c>
      <c r="J17" s="16">
        <v>3.3437180079089472</v>
      </c>
      <c r="L17" s="158">
        <v>9.4</v>
      </c>
      <c r="M17" s="173"/>
      <c r="N17" s="173"/>
      <c r="O17" s="173">
        <v>9.8000000000000007</v>
      </c>
      <c r="P17" s="37"/>
      <c r="Q17" s="68"/>
      <c r="R17" s="68"/>
      <c r="S17" s="68"/>
      <c r="T17" s="68"/>
      <c r="U17" s="68"/>
      <c r="V17" s="68"/>
    </row>
    <row r="18" spans="1:23" ht="17.25">
      <c r="A18" s="283"/>
      <c r="B18" s="32" t="s">
        <v>82</v>
      </c>
      <c r="C18" s="14">
        <v>28.9</v>
      </c>
      <c r="D18" s="14">
        <v>1.8</v>
      </c>
      <c r="E18" s="14">
        <v>8.4</v>
      </c>
      <c r="F18" s="14">
        <v>51.3</v>
      </c>
      <c r="G18" s="14">
        <v>1</v>
      </c>
      <c r="H18" s="14">
        <v>2.145</v>
      </c>
      <c r="I18" s="15">
        <v>83</v>
      </c>
      <c r="J18" s="16">
        <v>3.2606620615412218</v>
      </c>
      <c r="L18" s="158">
        <v>6</v>
      </c>
      <c r="M18" s="173"/>
      <c r="N18" s="173"/>
      <c r="O18" s="173">
        <v>9.1</v>
      </c>
      <c r="P18" s="37"/>
      <c r="Q18" s="68"/>
      <c r="R18" s="68"/>
      <c r="S18" s="68"/>
      <c r="T18" s="68"/>
      <c r="U18" s="68"/>
      <c r="V18" s="68"/>
    </row>
    <row r="19" spans="1:23" ht="17.25">
      <c r="A19" s="283"/>
      <c r="B19" s="32" t="s">
        <v>83</v>
      </c>
      <c r="C19" s="14">
        <v>26.5</v>
      </c>
      <c r="D19" s="14">
        <v>6.1</v>
      </c>
      <c r="E19" s="14">
        <v>7.1</v>
      </c>
      <c r="F19" s="14">
        <v>45.2</v>
      </c>
      <c r="G19" s="14">
        <v>1.6</v>
      </c>
      <c r="H19" s="14">
        <v>1.5895999999999999</v>
      </c>
      <c r="I19" s="15">
        <v>78</v>
      </c>
      <c r="J19" s="16">
        <v>3.157942355404157</v>
      </c>
      <c r="L19" s="158">
        <v>6.9</v>
      </c>
      <c r="M19" s="173"/>
      <c r="N19" s="173">
        <v>1</v>
      </c>
      <c r="O19" s="173">
        <v>8.1999999999999993</v>
      </c>
      <c r="P19" s="37"/>
      <c r="Q19" s="68"/>
      <c r="R19" s="68"/>
      <c r="S19" s="68"/>
      <c r="T19" s="68"/>
      <c r="U19" s="68"/>
      <c r="V19" s="68"/>
      <c r="W19" s="55"/>
    </row>
    <row r="20" spans="1:23" ht="17.25">
      <c r="A20" s="283"/>
      <c r="B20" s="32" t="s">
        <v>84</v>
      </c>
      <c r="C20" s="14">
        <v>25.8</v>
      </c>
      <c r="D20" s="14">
        <v>5.6</v>
      </c>
      <c r="E20" s="14">
        <v>7</v>
      </c>
      <c r="F20" s="14">
        <v>52.4</v>
      </c>
      <c r="G20" s="14">
        <v>1.6</v>
      </c>
      <c r="H20" s="14">
        <v>1.6212</v>
      </c>
      <c r="I20" s="15">
        <v>77</v>
      </c>
      <c r="J20" s="16">
        <v>3.1746897072575608</v>
      </c>
      <c r="L20" s="158">
        <v>12.5</v>
      </c>
      <c r="M20" s="173"/>
      <c r="N20" s="173">
        <v>0.6</v>
      </c>
      <c r="O20" s="173">
        <v>9.1</v>
      </c>
      <c r="P20" s="37"/>
      <c r="Q20" s="68"/>
      <c r="R20" s="68"/>
      <c r="S20" s="68"/>
      <c r="T20" s="68"/>
      <c r="U20" s="68"/>
      <c r="V20" s="68"/>
    </row>
    <row r="21" spans="1:23" ht="17.25">
      <c r="A21" s="283"/>
      <c r="B21" s="32" t="s">
        <v>85</v>
      </c>
      <c r="C21" s="14">
        <v>26</v>
      </c>
      <c r="D21" s="14">
        <v>2.4</v>
      </c>
      <c r="E21" s="14">
        <v>8.6</v>
      </c>
      <c r="F21" s="14">
        <v>53.2</v>
      </c>
      <c r="G21" s="14">
        <v>1.6</v>
      </c>
      <c r="H21" s="14">
        <v>2.2766000000000002</v>
      </c>
      <c r="I21" s="15">
        <v>84</v>
      </c>
      <c r="J21" s="16">
        <v>3.2759447980329917</v>
      </c>
      <c r="L21" s="158">
        <v>7.8</v>
      </c>
      <c r="M21" s="173"/>
      <c r="N21" s="173">
        <v>0.5</v>
      </c>
      <c r="O21" s="173">
        <v>6.6</v>
      </c>
      <c r="P21" s="37"/>
      <c r="Q21" s="68"/>
      <c r="R21" s="68"/>
      <c r="S21" s="68"/>
      <c r="T21" s="68"/>
      <c r="U21" s="68"/>
      <c r="V21" s="68"/>
    </row>
    <row r="22" spans="1:23" ht="17.25">
      <c r="A22" s="283"/>
      <c r="B22" s="32" t="s">
        <v>86</v>
      </c>
      <c r="C22" s="14">
        <v>17.899999999999999</v>
      </c>
      <c r="D22" s="14">
        <v>27.3</v>
      </c>
      <c r="E22" s="14">
        <v>8.4</v>
      </c>
      <c r="F22" s="14">
        <v>28.5</v>
      </c>
      <c r="G22" s="14">
        <v>3.8</v>
      </c>
      <c r="H22" s="14">
        <v>0.8580000000000001</v>
      </c>
      <c r="I22" s="15">
        <v>62</v>
      </c>
      <c r="J22" s="16">
        <v>2.6309118657623904</v>
      </c>
      <c r="L22" s="158">
        <v>9.1999999999999993</v>
      </c>
      <c r="M22" s="173"/>
      <c r="N22" s="173">
        <v>5.8</v>
      </c>
      <c r="O22" s="173"/>
      <c r="P22" s="37"/>
      <c r="Q22" s="68"/>
      <c r="R22" s="68"/>
      <c r="S22" s="68"/>
      <c r="T22" s="68"/>
      <c r="U22" s="68"/>
      <c r="V22" s="68"/>
    </row>
    <row r="23" spans="1:23" ht="17.25">
      <c r="A23" s="283"/>
      <c r="B23" s="32" t="s">
        <v>87</v>
      </c>
      <c r="C23" s="14">
        <v>25.9</v>
      </c>
      <c r="D23" s="14">
        <v>2.2999999999999998</v>
      </c>
      <c r="E23" s="14">
        <v>8.8000000000000007</v>
      </c>
      <c r="F23" s="14">
        <v>48.2</v>
      </c>
      <c r="G23" s="14">
        <v>1.5</v>
      </c>
      <c r="H23" s="14">
        <v>2.2107999999999999</v>
      </c>
      <c r="I23" s="15">
        <v>72</v>
      </c>
      <c r="J23" s="16">
        <v>3.3488254182862933</v>
      </c>
      <c r="L23" s="158">
        <v>6.4</v>
      </c>
      <c r="M23" s="173"/>
      <c r="N23" s="173">
        <v>1.1000000000000001</v>
      </c>
      <c r="O23" s="173">
        <v>17.399999999999999</v>
      </c>
      <c r="P23" s="37"/>
      <c r="Q23" s="68"/>
      <c r="R23" s="68"/>
      <c r="S23" s="68"/>
      <c r="T23" s="68"/>
      <c r="U23" s="68"/>
      <c r="V23" s="68"/>
    </row>
    <row r="24" spans="1:23" ht="17.25">
      <c r="A24" s="283"/>
      <c r="B24" s="32" t="s">
        <v>88</v>
      </c>
      <c r="C24" s="14">
        <v>33.4</v>
      </c>
      <c r="D24" s="14">
        <v>2.4</v>
      </c>
      <c r="E24" s="14">
        <v>6.4</v>
      </c>
      <c r="F24" s="14">
        <v>50.8</v>
      </c>
      <c r="G24" s="14">
        <v>0.8</v>
      </c>
      <c r="H24" s="14">
        <v>0.86060000000000003</v>
      </c>
      <c r="I24" s="15">
        <v>73</v>
      </c>
      <c r="J24" s="16">
        <v>3.3125520706732394</v>
      </c>
      <c r="L24" s="158">
        <v>3.2</v>
      </c>
      <c r="M24" s="173">
        <v>0.5</v>
      </c>
      <c r="N24" s="173"/>
      <c r="O24" s="173">
        <v>25.9</v>
      </c>
      <c r="P24" s="37"/>
      <c r="Q24" s="68"/>
      <c r="R24" s="68"/>
      <c r="S24" s="68"/>
      <c r="T24" s="68"/>
      <c r="U24" s="68"/>
      <c r="V24" s="68"/>
      <c r="W24" s="55"/>
    </row>
    <row r="25" spans="1:23" ht="19.5" customHeight="1">
      <c r="A25" s="282"/>
      <c r="B25" s="33" t="s">
        <v>89</v>
      </c>
      <c r="C25" s="18">
        <v>29</v>
      </c>
      <c r="D25" s="18">
        <v>10</v>
      </c>
      <c r="E25" s="18">
        <v>3.8</v>
      </c>
      <c r="F25" s="18">
        <v>41.7</v>
      </c>
      <c r="G25" s="18">
        <v>2.4</v>
      </c>
      <c r="H25" s="18">
        <v>1.0264000000000002</v>
      </c>
      <c r="I25" s="19">
        <v>74</v>
      </c>
      <c r="J25" s="20">
        <v>3.086827558311986</v>
      </c>
      <c r="L25" s="87">
        <v>4</v>
      </c>
      <c r="M25" s="81"/>
      <c r="N25" s="81">
        <v>2.5</v>
      </c>
      <c r="O25" s="81">
        <v>14.5</v>
      </c>
      <c r="P25" s="41"/>
      <c r="U25" s="68"/>
      <c r="V25" s="68"/>
    </row>
    <row r="26" spans="1:23" ht="17.25">
      <c r="A26" s="55"/>
      <c r="B26" s="55"/>
      <c r="C26" s="55"/>
      <c r="D26" s="55"/>
      <c r="L26" s="220"/>
      <c r="M26" s="220"/>
      <c r="N26" s="220"/>
      <c r="O26" s="220"/>
      <c r="P26" s="220"/>
    </row>
    <row r="27" spans="1:23" ht="16.5" customHeight="1">
      <c r="L27" s="23"/>
      <c r="M27" s="23"/>
      <c r="N27" s="23"/>
      <c r="Q27" s="83"/>
      <c r="R27" s="83"/>
    </row>
    <row r="28" spans="1:23" ht="16.5" customHeight="1">
      <c r="K28" s="64"/>
      <c r="L28" s="89" t="s">
        <v>138</v>
      </c>
      <c r="M28" s="90" t="s">
        <v>139</v>
      </c>
      <c r="N28" s="91" t="s">
        <v>157</v>
      </c>
      <c r="O28" s="80"/>
      <c r="P28" s="80"/>
      <c r="Q28" s="80"/>
      <c r="R28" s="80"/>
      <c r="S28" s="83"/>
      <c r="T28" s="80"/>
    </row>
    <row r="29" spans="1:23" ht="34.5">
      <c r="A29" s="44" t="s">
        <v>106</v>
      </c>
      <c r="B29" s="45" t="s">
        <v>105</v>
      </c>
      <c r="C29" s="46" t="s">
        <v>107</v>
      </c>
      <c r="K29" s="92" t="s">
        <v>125</v>
      </c>
      <c r="L29" s="93">
        <v>0.71799999999999997</v>
      </c>
      <c r="M29" s="93">
        <v>0.77200000000000002</v>
      </c>
      <c r="N29" s="94">
        <v>8.1000000000000003E-2</v>
      </c>
      <c r="O29" s="93"/>
      <c r="P29" s="93"/>
      <c r="Q29" s="93"/>
      <c r="R29" s="93"/>
      <c r="S29" s="88"/>
      <c r="T29" s="86"/>
    </row>
    <row r="30" spans="1:23" ht="17.25">
      <c r="A30" s="87">
        <v>102</v>
      </c>
      <c r="B30" s="81">
        <v>56.1</v>
      </c>
      <c r="C30" s="79">
        <v>60.1</v>
      </c>
      <c r="K30" s="92" t="s">
        <v>133</v>
      </c>
      <c r="L30" s="93"/>
      <c r="M30" s="93"/>
      <c r="N30" s="94">
        <v>0.13400000000000001</v>
      </c>
      <c r="O30" s="93"/>
      <c r="P30" s="93"/>
      <c r="Q30" s="93"/>
      <c r="R30" s="93"/>
      <c r="S30" s="85"/>
      <c r="T30" s="86"/>
    </row>
    <row r="31" spans="1:23" ht="17.25">
      <c r="A31" s="35"/>
      <c r="I31" s="220"/>
      <c r="J31" s="220"/>
      <c r="K31" s="75" t="s">
        <v>126</v>
      </c>
      <c r="L31" s="95">
        <v>0.28199999999999997</v>
      </c>
      <c r="M31" s="95">
        <v>0.22800000000000001</v>
      </c>
      <c r="N31" s="104"/>
      <c r="O31" s="103"/>
      <c r="P31" s="103"/>
      <c r="Q31" s="103"/>
      <c r="R31" s="93"/>
      <c r="S31" s="85"/>
      <c r="T31" s="86"/>
    </row>
    <row r="32" spans="1:23" ht="17.25">
      <c r="A32" s="35"/>
      <c r="I32" s="220"/>
      <c r="J32" s="220"/>
      <c r="K32" s="220"/>
      <c r="L32" s="220"/>
      <c r="M32" s="220"/>
      <c r="N32" s="220"/>
      <c r="O32" s="220"/>
      <c r="P32" s="220"/>
      <c r="Q32" s="220"/>
      <c r="R32" s="220"/>
    </row>
    <row r="33" spans="1:20" ht="34.5" customHeight="1">
      <c r="A33" s="299"/>
      <c r="B33" s="53"/>
      <c r="C33" s="3" t="s">
        <v>104</v>
      </c>
      <c r="D33" s="3" t="s">
        <v>119</v>
      </c>
      <c r="E33" s="3"/>
      <c r="F33" s="54" t="s">
        <v>120</v>
      </c>
      <c r="G33" s="54"/>
      <c r="H33" s="3"/>
      <c r="I33" s="3" t="s">
        <v>109</v>
      </c>
      <c r="J33" s="3" t="s">
        <v>108</v>
      </c>
      <c r="K33" s="3" t="s">
        <v>110</v>
      </c>
      <c r="L33" s="3" t="s">
        <v>111</v>
      </c>
      <c r="M33" s="3"/>
      <c r="N33" s="3" t="s">
        <v>113</v>
      </c>
      <c r="O33" s="3" t="s">
        <v>112</v>
      </c>
      <c r="P33" s="3" t="s">
        <v>114</v>
      </c>
      <c r="Q33" s="3"/>
      <c r="R33" s="3" t="s">
        <v>115</v>
      </c>
      <c r="S33" s="6" t="s">
        <v>117</v>
      </c>
      <c r="T33" s="61" t="s">
        <v>130</v>
      </c>
    </row>
    <row r="34" spans="1:20" ht="20.25" customHeight="1">
      <c r="A34" s="300"/>
      <c r="B34" s="32" t="s">
        <v>68</v>
      </c>
      <c r="C34" s="55">
        <f t="shared" ref="C34:C51" si="0">C4-O4*$L$29-P4*$N$29</f>
        <v>20.5716</v>
      </c>
      <c r="D34" s="55">
        <f>D4*(100-N4)*0.01-P4*N30</f>
        <v>3.972</v>
      </c>
      <c r="E34" s="55"/>
      <c r="F34" s="55">
        <f t="shared" ref="F34:F55" si="1">F4*(100-L4)*0.01-M4*0.01-O4*$L$31</f>
        <v>50.485200000000006</v>
      </c>
      <c r="G34" s="55"/>
      <c r="H34" s="55"/>
      <c r="I34" s="23">
        <f t="shared" ref="I34:I55" si="2">100*C34/$A$30</f>
        <v>20.168235294117647</v>
      </c>
      <c r="J34" s="23">
        <f t="shared" ref="J34:J55" si="3">100*D34/$B$30</f>
        <v>7.0802139037433154</v>
      </c>
      <c r="K34" s="23">
        <f t="shared" ref="K34:K55" si="4">100*F34/$C$30</f>
        <v>84.001996672212982</v>
      </c>
      <c r="L34" s="23">
        <f t="shared" ref="L34:L55" si="5">SUM(I34:K34)</f>
        <v>111.25044587007395</v>
      </c>
      <c r="M34" s="23"/>
      <c r="N34" s="23">
        <f t="shared" ref="N34:N55" si="6">I34/L34</f>
        <v>0.181286781696781</v>
      </c>
      <c r="O34" s="23">
        <f t="shared" ref="O34:O55" si="7">J34/L34</f>
        <v>6.3642117102272869E-2</v>
      </c>
      <c r="P34" s="23">
        <f t="shared" ref="P34:P55" si="8">K34/L34</f>
        <v>0.75507110120094612</v>
      </c>
      <c r="Q34" s="23"/>
      <c r="R34" s="23">
        <f>(11-12*O34+N34)/(3-2*O34+2*N34)</f>
        <v>3.2199844639801851</v>
      </c>
      <c r="S34" s="16">
        <v>3.2779075680029921</v>
      </c>
      <c r="T34" s="62">
        <f t="shared" ref="T34:T55" si="9">ABS(R34-S34)</f>
        <v>5.7923104022806982E-2</v>
      </c>
    </row>
    <row r="35" spans="1:20" ht="17.25">
      <c r="A35" s="300"/>
      <c r="B35" s="32" t="s">
        <v>69</v>
      </c>
      <c r="C35" s="55">
        <f t="shared" si="0"/>
        <v>6.592800000000004</v>
      </c>
      <c r="D35" s="55">
        <f>D5*(100-N5)*0.01-P5*N31</f>
        <v>8.3076000000000008</v>
      </c>
      <c r="E35" s="55"/>
      <c r="F35" s="55">
        <f t="shared" si="1"/>
        <v>29.758800000000001</v>
      </c>
      <c r="G35" s="55"/>
      <c r="H35" s="55"/>
      <c r="I35" s="23">
        <f t="shared" si="2"/>
        <v>6.4635294117647097</v>
      </c>
      <c r="J35" s="23">
        <f t="shared" si="3"/>
        <v>14.808556149732622</v>
      </c>
      <c r="K35" s="23">
        <f t="shared" si="4"/>
        <v>49.515474209650584</v>
      </c>
      <c r="L35" s="23">
        <f t="shared" si="5"/>
        <v>70.787559771147912</v>
      </c>
      <c r="M35" s="23"/>
      <c r="N35" s="23">
        <f t="shared" si="6"/>
        <v>9.1308832126166334E-2</v>
      </c>
      <c r="O35" s="23">
        <f t="shared" si="7"/>
        <v>0.20919715551161572</v>
      </c>
      <c r="P35" s="23">
        <f t="shared" si="8"/>
        <v>0.69949401236221798</v>
      </c>
      <c r="Q35" s="23"/>
      <c r="R35" s="23">
        <f t="shared" ref="R35:R55" si="10">(11-12*O35+N35)/(3-2*O35+2*N35)</f>
        <v>3.104287124975889</v>
      </c>
      <c r="S35" s="16">
        <v>3.1610537024147352</v>
      </c>
      <c r="T35" s="62">
        <f t="shared" si="9"/>
        <v>5.6766577438846166E-2</v>
      </c>
    </row>
    <row r="36" spans="1:20" ht="17.25">
      <c r="A36" s="300"/>
      <c r="B36" s="32" t="s">
        <v>70</v>
      </c>
      <c r="C36" s="55">
        <f t="shared" si="0"/>
        <v>9.1808000000000014</v>
      </c>
      <c r="D36" s="55">
        <f>D6*I6*0.01</f>
        <v>1.2879999999999998</v>
      </c>
      <c r="E36" s="55"/>
      <c r="F36" s="55">
        <f t="shared" si="1"/>
        <v>37.867200000000004</v>
      </c>
      <c r="G36" s="55"/>
      <c r="H36" s="55"/>
      <c r="I36" s="23">
        <f t="shared" si="2"/>
        <v>9.0007843137254913</v>
      </c>
      <c r="J36" s="23">
        <f t="shared" si="3"/>
        <v>2.295900178253119</v>
      </c>
      <c r="K36" s="23">
        <f t="shared" si="4"/>
        <v>63.006988352745424</v>
      </c>
      <c r="L36" s="23">
        <f t="shared" si="5"/>
        <v>74.303672844724034</v>
      </c>
      <c r="M36" s="23"/>
      <c r="N36" s="23">
        <f t="shared" si="6"/>
        <v>0.12113511982826022</v>
      </c>
      <c r="O36" s="23">
        <f t="shared" si="7"/>
        <v>3.0898878754634002E-2</v>
      </c>
      <c r="P36" s="23">
        <f t="shared" si="8"/>
        <v>0.84796600141710576</v>
      </c>
      <c r="Q36" s="23"/>
      <c r="R36" s="23">
        <f t="shared" si="10"/>
        <v>3.3801105449322111</v>
      </c>
      <c r="S36" s="16">
        <v>3.3665328490409738</v>
      </c>
      <c r="T36" s="62">
        <f t="shared" si="9"/>
        <v>1.3577695891237251E-2</v>
      </c>
    </row>
    <row r="37" spans="1:20" ht="17.25">
      <c r="A37" s="300"/>
      <c r="B37" s="32" t="s">
        <v>71</v>
      </c>
      <c r="C37" s="55">
        <f t="shared" si="0"/>
        <v>3.5272000000000006</v>
      </c>
      <c r="D37" s="55">
        <f>D7*I7*0.01</f>
        <v>7.4340000000000011</v>
      </c>
      <c r="E37" s="55"/>
      <c r="F37" s="55">
        <f t="shared" si="1"/>
        <v>40.233000000000004</v>
      </c>
      <c r="G37" s="55"/>
      <c r="H37" s="55"/>
      <c r="I37" s="23">
        <f t="shared" si="2"/>
        <v>3.4580392156862749</v>
      </c>
      <c r="J37" s="23">
        <f t="shared" si="3"/>
        <v>13.251336898395722</v>
      </c>
      <c r="K37" s="23">
        <f t="shared" si="4"/>
        <v>66.943427620632278</v>
      </c>
      <c r="L37" s="23">
        <f t="shared" si="5"/>
        <v>83.652803734714269</v>
      </c>
      <c r="M37" s="23"/>
      <c r="N37" s="23">
        <f t="shared" si="6"/>
        <v>4.1337995396456231E-2</v>
      </c>
      <c r="O37" s="23">
        <f t="shared" si="7"/>
        <v>0.15840875985961339</v>
      </c>
      <c r="P37" s="23">
        <f t="shared" si="8"/>
        <v>0.80025324474393045</v>
      </c>
      <c r="Q37" s="23"/>
      <c r="R37" s="23">
        <f t="shared" si="10"/>
        <v>3.3047362953220256</v>
      </c>
      <c r="S37" s="16">
        <v>3.1162112490619789</v>
      </c>
      <c r="T37" s="62">
        <f t="shared" si="9"/>
        <v>0.18852504626004674</v>
      </c>
    </row>
    <row r="38" spans="1:20" ht="17.25">
      <c r="A38" s="300"/>
      <c r="B38" s="32" t="s">
        <v>72</v>
      </c>
      <c r="C38" s="55">
        <f t="shared" si="0"/>
        <v>9.9708000000000006</v>
      </c>
      <c r="D38" s="55">
        <f>D8*I8*0.01</f>
        <v>3.4020000000000006</v>
      </c>
      <c r="E38" s="55"/>
      <c r="F38" s="55">
        <f t="shared" si="1"/>
        <v>38.675400000000003</v>
      </c>
      <c r="G38" s="55"/>
      <c r="H38" s="55"/>
      <c r="I38" s="23">
        <f t="shared" si="2"/>
        <v>9.7752941176470589</v>
      </c>
      <c r="J38" s="23">
        <f t="shared" si="3"/>
        <v>6.0641711229946527</v>
      </c>
      <c r="K38" s="23">
        <f t="shared" si="4"/>
        <v>64.351747088186357</v>
      </c>
      <c r="L38" s="23">
        <f t="shared" si="5"/>
        <v>80.191212328828072</v>
      </c>
      <c r="M38" s="23"/>
      <c r="N38" s="23">
        <f t="shared" si="6"/>
        <v>0.12189981712164391</v>
      </c>
      <c r="O38" s="23">
        <f t="shared" si="7"/>
        <v>7.5621392255902253E-2</v>
      </c>
      <c r="P38" s="23">
        <f t="shared" si="8"/>
        <v>0.80247879062245375</v>
      </c>
      <c r="Q38" s="23"/>
      <c r="R38" s="23">
        <f t="shared" si="10"/>
        <v>3.3029119936591322</v>
      </c>
      <c r="S38" s="16">
        <v>3.2648408142564027</v>
      </c>
      <c r="T38" s="62">
        <f t="shared" si="9"/>
        <v>3.8071179402729527E-2</v>
      </c>
    </row>
    <row r="39" spans="1:20" ht="17.25">
      <c r="A39" s="300"/>
      <c r="B39" s="32" t="s">
        <v>73</v>
      </c>
      <c r="C39" s="55">
        <f t="shared" si="0"/>
        <v>23.186799999999998</v>
      </c>
      <c r="D39" s="55">
        <f>D9*I9*0.01</f>
        <v>1.72</v>
      </c>
      <c r="E39" s="55"/>
      <c r="F39" s="55">
        <f t="shared" si="1"/>
        <v>48.801100000000005</v>
      </c>
      <c r="G39" s="55"/>
      <c r="H39" s="55"/>
      <c r="I39" s="23">
        <f t="shared" si="2"/>
        <v>22.732156862745097</v>
      </c>
      <c r="J39" s="23">
        <f t="shared" si="3"/>
        <v>3.0659536541889483</v>
      </c>
      <c r="K39" s="23">
        <f t="shared" si="4"/>
        <v>81.199833610648923</v>
      </c>
      <c r="L39" s="23">
        <f t="shared" si="5"/>
        <v>106.99794412758297</v>
      </c>
      <c r="M39" s="23"/>
      <c r="N39" s="23">
        <f t="shared" si="6"/>
        <v>0.21245414618097302</v>
      </c>
      <c r="O39" s="23">
        <f t="shared" si="7"/>
        <v>2.8654323026367168E-2</v>
      </c>
      <c r="P39" s="23">
        <f t="shared" si="8"/>
        <v>0.75889153079265981</v>
      </c>
      <c r="Q39" s="23"/>
      <c r="R39" s="23">
        <f t="shared" si="10"/>
        <v>3.2274033173082874</v>
      </c>
      <c r="S39" s="16">
        <v>3.2780547468284835</v>
      </c>
      <c r="T39" s="62">
        <f t="shared" si="9"/>
        <v>5.0651429520196078E-2</v>
      </c>
    </row>
    <row r="40" spans="1:20" ht="17.25">
      <c r="A40" s="300"/>
      <c r="B40" s="32" t="s">
        <v>74</v>
      </c>
      <c r="C40" s="55">
        <f t="shared" si="0"/>
        <v>23.202400000000001</v>
      </c>
      <c r="D40" s="55">
        <f>D10*I10*0.01</f>
        <v>2.492</v>
      </c>
      <c r="E40" s="55"/>
      <c r="F40" s="55">
        <f t="shared" si="1"/>
        <v>48.710400000000007</v>
      </c>
      <c r="G40" s="55"/>
      <c r="H40" s="55"/>
      <c r="I40" s="23">
        <f t="shared" si="2"/>
        <v>22.747450980392159</v>
      </c>
      <c r="J40" s="23">
        <f t="shared" si="3"/>
        <v>4.4420677361853826</v>
      </c>
      <c r="K40" s="23">
        <f t="shared" si="4"/>
        <v>81.04891846921798</v>
      </c>
      <c r="L40" s="23">
        <f t="shared" si="5"/>
        <v>108.23843718579552</v>
      </c>
      <c r="M40" s="23"/>
      <c r="N40" s="23">
        <f t="shared" si="6"/>
        <v>0.21016056376853695</v>
      </c>
      <c r="O40" s="23">
        <f t="shared" si="7"/>
        <v>4.1039651455428899E-2</v>
      </c>
      <c r="P40" s="23">
        <f t="shared" si="8"/>
        <v>0.74879978477603415</v>
      </c>
      <c r="Q40" s="23"/>
      <c r="R40" s="23">
        <f t="shared" si="10"/>
        <v>3.2105776960911014</v>
      </c>
      <c r="S40" s="16">
        <v>3.2622808217496373</v>
      </c>
      <c r="T40" s="62">
        <f t="shared" si="9"/>
        <v>5.1703125658535853E-2</v>
      </c>
    </row>
    <row r="41" spans="1:20" ht="17.25">
      <c r="A41" s="300"/>
      <c r="B41" s="32" t="s">
        <v>75</v>
      </c>
      <c r="C41" s="55">
        <f t="shared" si="0"/>
        <v>20.1844</v>
      </c>
      <c r="D41" s="55">
        <f>D11*(100-N11)*0.01</f>
        <v>8.7309000000000001</v>
      </c>
      <c r="E41" s="55"/>
      <c r="F41" s="55">
        <f t="shared" si="1"/>
        <v>42.165900000000001</v>
      </c>
      <c r="G41" s="55"/>
      <c r="H41" s="55"/>
      <c r="I41" s="23">
        <f t="shared" si="2"/>
        <v>19.788627450980393</v>
      </c>
      <c r="J41" s="23">
        <f t="shared" si="3"/>
        <v>15.563101604278074</v>
      </c>
      <c r="K41" s="23">
        <f t="shared" si="4"/>
        <v>70.15956738768719</v>
      </c>
      <c r="L41" s="23">
        <f t="shared" si="5"/>
        <v>105.51129644294565</v>
      </c>
      <c r="M41" s="23"/>
      <c r="N41" s="23">
        <f t="shared" si="6"/>
        <v>0.18754984649137477</v>
      </c>
      <c r="O41" s="23">
        <f t="shared" si="7"/>
        <v>0.14750175695825793</v>
      </c>
      <c r="P41" s="23">
        <f t="shared" si="8"/>
        <v>0.66494839655036742</v>
      </c>
      <c r="Q41" s="23"/>
      <c r="R41" s="23">
        <f t="shared" si="10"/>
        <v>3.0575437309387241</v>
      </c>
      <c r="S41" s="16">
        <v>3.1616157772674778</v>
      </c>
      <c r="T41" s="62">
        <f t="shared" si="9"/>
        <v>0.10407204632875366</v>
      </c>
    </row>
    <row r="42" spans="1:20" ht="17.25">
      <c r="A42" s="300"/>
      <c r="B42" s="32" t="s">
        <v>76</v>
      </c>
      <c r="C42" s="55">
        <f t="shared" si="0"/>
        <v>17.388800000000003</v>
      </c>
      <c r="D42" s="55">
        <f>D12*I12*0.01</f>
        <v>2.2200000000000002</v>
      </c>
      <c r="E42" s="55"/>
      <c r="F42" s="55">
        <f t="shared" si="1"/>
        <v>41.266199999999998</v>
      </c>
      <c r="G42" s="55"/>
      <c r="H42" s="55"/>
      <c r="I42" s="23">
        <f t="shared" si="2"/>
        <v>17.047843137254905</v>
      </c>
      <c r="J42" s="23">
        <f t="shared" si="3"/>
        <v>3.9572192513368987</v>
      </c>
      <c r="K42" s="23">
        <f t="shared" si="4"/>
        <v>68.662562396006649</v>
      </c>
      <c r="L42" s="23">
        <f t="shared" si="5"/>
        <v>89.667624784598445</v>
      </c>
      <c r="M42" s="23"/>
      <c r="N42" s="23">
        <f t="shared" si="6"/>
        <v>0.19012261313052076</v>
      </c>
      <c r="O42" s="23">
        <f t="shared" si="7"/>
        <v>4.4132085140461998E-2</v>
      </c>
      <c r="P42" s="23">
        <f t="shared" si="8"/>
        <v>0.76574530172901734</v>
      </c>
      <c r="Q42" s="23"/>
      <c r="R42" s="23">
        <f t="shared" si="10"/>
        <v>3.2383350360049468</v>
      </c>
      <c r="S42" s="16">
        <v>3.258949530516432</v>
      </c>
      <c r="T42" s="62">
        <f t="shared" si="9"/>
        <v>2.0614494511485226E-2</v>
      </c>
    </row>
    <row r="43" spans="1:20" ht="17.25">
      <c r="A43" s="300"/>
      <c r="B43" s="32" t="s">
        <v>77</v>
      </c>
      <c r="C43" s="55">
        <f t="shared" si="0"/>
        <v>12.5374</v>
      </c>
      <c r="D43" s="55">
        <f>D13*I13*0.01</f>
        <v>0.52</v>
      </c>
      <c r="E43" s="55"/>
      <c r="F43" s="55">
        <f t="shared" si="1"/>
        <v>46.668199999999999</v>
      </c>
      <c r="G43" s="55"/>
      <c r="H43" s="55"/>
      <c r="I43" s="23">
        <f t="shared" si="2"/>
        <v>12.29156862745098</v>
      </c>
      <c r="J43" s="23">
        <f t="shared" si="3"/>
        <v>0.92691622103386806</v>
      </c>
      <c r="K43" s="23">
        <f t="shared" si="4"/>
        <v>77.650915141430943</v>
      </c>
      <c r="L43" s="23">
        <f t="shared" si="5"/>
        <v>90.869399989915792</v>
      </c>
      <c r="M43" s="23"/>
      <c r="N43" s="23">
        <f t="shared" si="6"/>
        <v>0.13526631218886703</v>
      </c>
      <c r="O43" s="23">
        <f t="shared" si="7"/>
        <v>1.0200531984768606E-2</v>
      </c>
      <c r="P43" s="23">
        <f t="shared" si="8"/>
        <v>0.85453315582636435</v>
      </c>
      <c r="Q43" s="23"/>
      <c r="R43" s="23">
        <f t="shared" si="10"/>
        <v>3.388435121373516</v>
      </c>
      <c r="S43" s="16">
        <v>3.4042998697508779</v>
      </c>
      <c r="T43" s="62">
        <f t="shared" si="9"/>
        <v>1.5864748377361959E-2</v>
      </c>
    </row>
    <row r="44" spans="1:20" ht="17.25">
      <c r="A44" s="300"/>
      <c r="B44" s="32" t="s">
        <v>78</v>
      </c>
      <c r="C44" s="55">
        <f t="shared" si="0"/>
        <v>10.3682</v>
      </c>
      <c r="D44" s="55">
        <f>D14*(100-N14)*0.01</f>
        <v>6.7252000000000001</v>
      </c>
      <c r="E44" s="55"/>
      <c r="F44" s="55">
        <f t="shared" si="1"/>
        <v>35.890199999999993</v>
      </c>
      <c r="G44" s="55"/>
      <c r="H44" s="55"/>
      <c r="I44" s="23">
        <f t="shared" si="2"/>
        <v>10.164901960784313</v>
      </c>
      <c r="J44" s="23">
        <f t="shared" si="3"/>
        <v>11.987878787878786</v>
      </c>
      <c r="K44" s="23">
        <f t="shared" si="4"/>
        <v>59.717470881863548</v>
      </c>
      <c r="L44" s="23">
        <f t="shared" si="5"/>
        <v>81.870251630526639</v>
      </c>
      <c r="M44" s="23"/>
      <c r="N44" s="23">
        <f t="shared" si="6"/>
        <v>0.12415867495629103</v>
      </c>
      <c r="O44" s="23">
        <f t="shared" si="7"/>
        <v>0.1464253321460284</v>
      </c>
      <c r="P44" s="23">
        <f t="shared" si="8"/>
        <v>0.72941599289768067</v>
      </c>
      <c r="Q44" s="23"/>
      <c r="R44" s="23">
        <f t="shared" si="10"/>
        <v>3.1693995181127406</v>
      </c>
      <c r="S44" s="16">
        <v>3.204865675862171</v>
      </c>
      <c r="T44" s="62">
        <f t="shared" si="9"/>
        <v>3.5466157749430405E-2</v>
      </c>
    </row>
    <row r="45" spans="1:20" ht="17.25">
      <c r="A45" s="300"/>
      <c r="B45" s="32" t="s">
        <v>79</v>
      </c>
      <c r="C45" s="55">
        <f t="shared" si="0"/>
        <v>21.4818</v>
      </c>
      <c r="D45" s="55">
        <f>D15*(100-N15)*0.01</f>
        <v>6.3360000000000003</v>
      </c>
      <c r="E45" s="55"/>
      <c r="F45" s="55">
        <f t="shared" si="1"/>
        <v>41.154900000000005</v>
      </c>
      <c r="G45" s="55"/>
      <c r="H45" s="55"/>
      <c r="I45" s="23">
        <f t="shared" si="2"/>
        <v>21.060588235294116</v>
      </c>
      <c r="J45" s="23">
        <f t="shared" si="3"/>
        <v>11.294117647058824</v>
      </c>
      <c r="K45" s="23">
        <f t="shared" si="4"/>
        <v>68.47737104825292</v>
      </c>
      <c r="L45" s="23">
        <f t="shared" si="5"/>
        <v>100.83207693060587</v>
      </c>
      <c r="M45" s="23"/>
      <c r="N45" s="23">
        <f t="shared" si="6"/>
        <v>0.20886794040539625</v>
      </c>
      <c r="O45" s="23">
        <f t="shared" si="7"/>
        <v>0.11200917397379015</v>
      </c>
      <c r="P45" s="23">
        <f t="shared" si="8"/>
        <v>0.67912288562081358</v>
      </c>
      <c r="Q45" s="23"/>
      <c r="R45" s="23">
        <f t="shared" si="10"/>
        <v>3.0888009823072924</v>
      </c>
      <c r="S45" s="16">
        <v>3.1487963331249884</v>
      </c>
      <c r="T45" s="62">
        <f t="shared" si="9"/>
        <v>5.9995350817696025E-2</v>
      </c>
    </row>
    <row r="46" spans="1:20" ht="17.25">
      <c r="A46" s="300"/>
      <c r="B46" s="32" t="s">
        <v>80</v>
      </c>
      <c r="C46" s="55">
        <f t="shared" si="0"/>
        <v>18.273800000000001</v>
      </c>
      <c r="D46" s="55">
        <f>D16*I16*0.01</f>
        <v>2.48</v>
      </c>
      <c r="E46" s="55"/>
      <c r="F46" s="55">
        <f t="shared" si="1"/>
        <v>46.441899999999997</v>
      </c>
      <c r="G46" s="55"/>
      <c r="H46" s="55"/>
      <c r="I46" s="23">
        <f t="shared" si="2"/>
        <v>17.915490196078434</v>
      </c>
      <c r="J46" s="23">
        <f t="shared" si="3"/>
        <v>4.4206773618538326</v>
      </c>
      <c r="K46" s="23">
        <f t="shared" si="4"/>
        <v>77.274376039933429</v>
      </c>
      <c r="L46" s="23">
        <f t="shared" si="5"/>
        <v>99.6105435978657</v>
      </c>
      <c r="M46" s="23"/>
      <c r="N46" s="23">
        <f t="shared" si="6"/>
        <v>0.1798553601755698</v>
      </c>
      <c r="O46" s="23">
        <f t="shared" si="7"/>
        <v>4.4379612862072086E-2</v>
      </c>
      <c r="P46" s="23">
        <f t="shared" si="8"/>
        <v>0.77576502696235805</v>
      </c>
      <c r="Q46" s="23"/>
      <c r="R46" s="23">
        <f t="shared" si="10"/>
        <v>3.2551078862894829</v>
      </c>
      <c r="S46" s="16">
        <v>3.2748683004106969</v>
      </c>
      <c r="T46" s="62">
        <f t="shared" si="9"/>
        <v>1.9760414121213987E-2</v>
      </c>
    </row>
    <row r="47" spans="1:20" ht="17.25">
      <c r="A47" s="300"/>
      <c r="B47" s="32" t="s">
        <v>81</v>
      </c>
      <c r="C47" s="55">
        <f t="shared" si="0"/>
        <v>19.9636</v>
      </c>
      <c r="D47" s="55">
        <f>D17*I17*0.01</f>
        <v>0.4</v>
      </c>
      <c r="E47" s="55"/>
      <c r="F47" s="55">
        <f t="shared" si="1"/>
        <v>51.234000000000009</v>
      </c>
      <c r="G47" s="55"/>
      <c r="H47" s="55"/>
      <c r="I47" s="23">
        <f t="shared" si="2"/>
        <v>19.572156862745096</v>
      </c>
      <c r="J47" s="23">
        <f t="shared" si="3"/>
        <v>0.71301247771836007</v>
      </c>
      <c r="K47" s="23">
        <f t="shared" si="4"/>
        <v>85.247920133111492</v>
      </c>
      <c r="L47" s="23">
        <f t="shared" si="5"/>
        <v>105.53308947357495</v>
      </c>
      <c r="M47" s="23"/>
      <c r="N47" s="23">
        <f t="shared" si="6"/>
        <v>0.18545990608609902</v>
      </c>
      <c r="O47" s="23">
        <f t="shared" si="7"/>
        <v>6.756293038278724E-3</v>
      </c>
      <c r="P47" s="23">
        <f t="shared" si="8"/>
        <v>0.80778380087562229</v>
      </c>
      <c r="Q47" s="23"/>
      <c r="R47" s="23">
        <f t="shared" si="10"/>
        <v>3.3074285130851235</v>
      </c>
      <c r="S47" s="16">
        <v>3.3437180079089472</v>
      </c>
      <c r="T47" s="62">
        <f t="shared" si="9"/>
        <v>3.6289494823823709E-2</v>
      </c>
    </row>
    <row r="48" spans="1:20" ht="17.25">
      <c r="A48" s="300"/>
      <c r="B48" s="32" t="s">
        <v>82</v>
      </c>
      <c r="C48" s="55">
        <f t="shared" si="0"/>
        <v>22.366199999999999</v>
      </c>
      <c r="D48" s="55">
        <f>D18*I18*0.01</f>
        <v>1.494</v>
      </c>
      <c r="E48" s="55"/>
      <c r="F48" s="55">
        <f t="shared" si="1"/>
        <v>45.655799999999999</v>
      </c>
      <c r="G48" s="55"/>
      <c r="H48" s="55"/>
      <c r="I48" s="23">
        <f t="shared" si="2"/>
        <v>21.927647058823528</v>
      </c>
      <c r="J48" s="23">
        <f t="shared" si="3"/>
        <v>2.6631016042780749</v>
      </c>
      <c r="K48" s="23">
        <f t="shared" si="4"/>
        <v>75.966389351081531</v>
      </c>
      <c r="L48" s="23">
        <f t="shared" si="5"/>
        <v>100.55713801418314</v>
      </c>
      <c r="M48" s="23"/>
      <c r="N48" s="23">
        <f t="shared" si="6"/>
        <v>0.21806156670579396</v>
      </c>
      <c r="O48" s="23">
        <f t="shared" si="7"/>
        <v>2.6483466582973514E-2</v>
      </c>
      <c r="P48" s="23">
        <f t="shared" si="8"/>
        <v>0.75545496671123247</v>
      </c>
      <c r="Q48" s="23"/>
      <c r="R48" s="23">
        <f t="shared" si="10"/>
        <v>3.2219203969709338</v>
      </c>
      <c r="S48" s="16">
        <v>3.2606620615412218</v>
      </c>
      <c r="T48" s="62">
        <f t="shared" si="9"/>
        <v>3.8741664570288048E-2</v>
      </c>
    </row>
    <row r="49" spans="1:20" ht="17.25">
      <c r="A49" s="300"/>
      <c r="B49" s="32" t="s">
        <v>83</v>
      </c>
      <c r="C49" s="55">
        <f t="shared" si="0"/>
        <v>20.612400000000001</v>
      </c>
      <c r="D49" s="55">
        <f>D19*(100-N19)*0.01</f>
        <v>6.0389999999999997</v>
      </c>
      <c r="E49" s="55"/>
      <c r="F49" s="55">
        <f t="shared" si="1"/>
        <v>39.768800000000006</v>
      </c>
      <c r="G49" s="55"/>
      <c r="H49" s="55"/>
      <c r="I49" s="23">
        <f t="shared" si="2"/>
        <v>20.20823529411765</v>
      </c>
      <c r="J49" s="23">
        <f t="shared" si="3"/>
        <v>10.76470588235294</v>
      </c>
      <c r="K49" s="23">
        <f t="shared" si="4"/>
        <v>66.171048252911817</v>
      </c>
      <c r="L49" s="23">
        <f t="shared" si="5"/>
        <v>97.143989429382401</v>
      </c>
      <c r="M49" s="23"/>
      <c r="N49" s="23">
        <f t="shared" si="6"/>
        <v>0.20802352685760112</v>
      </c>
      <c r="O49" s="23">
        <f t="shared" si="7"/>
        <v>0.11081185717803166</v>
      </c>
      <c r="P49" s="23">
        <f t="shared" si="8"/>
        <v>0.68116461596436728</v>
      </c>
      <c r="Q49" s="23"/>
      <c r="R49" s="23">
        <f t="shared" si="10"/>
        <v>3.0923519494141281</v>
      </c>
      <c r="S49" s="16">
        <v>3.157942355404157</v>
      </c>
      <c r="T49" s="62">
        <f t="shared" si="9"/>
        <v>6.5590405990028966E-2</v>
      </c>
    </row>
    <row r="50" spans="1:20" ht="17.25">
      <c r="A50" s="300"/>
      <c r="B50" s="32" t="s">
        <v>84</v>
      </c>
      <c r="C50" s="55">
        <f t="shared" si="0"/>
        <v>19.266200000000001</v>
      </c>
      <c r="D50" s="55">
        <f>D20*(100-N20)*0.01</f>
        <v>5.5663999999999998</v>
      </c>
      <c r="E50" s="55"/>
      <c r="F50" s="55">
        <f t="shared" si="1"/>
        <v>43.283799999999999</v>
      </c>
      <c r="G50" s="55"/>
      <c r="H50" s="55"/>
      <c r="I50" s="23">
        <f t="shared" si="2"/>
        <v>18.888431372549022</v>
      </c>
      <c r="J50" s="23">
        <f t="shared" si="3"/>
        <v>9.9222816399286984</v>
      </c>
      <c r="K50" s="23">
        <f t="shared" si="4"/>
        <v>72.019633943427621</v>
      </c>
      <c r="L50" s="23">
        <f t="shared" si="5"/>
        <v>100.83034695590534</v>
      </c>
      <c r="M50" s="23"/>
      <c r="N50" s="23">
        <f t="shared" si="6"/>
        <v>0.18732883445109261</v>
      </c>
      <c r="O50" s="23">
        <f t="shared" si="7"/>
        <v>9.8405707601778511E-2</v>
      </c>
      <c r="P50" s="23">
        <f t="shared" si="8"/>
        <v>0.71426545794712892</v>
      </c>
      <c r="Q50" s="23"/>
      <c r="R50" s="23">
        <f t="shared" si="10"/>
        <v>3.1488182701046163</v>
      </c>
      <c r="S50" s="16">
        <v>3.1746897072575608</v>
      </c>
      <c r="T50" s="62">
        <f t="shared" si="9"/>
        <v>2.5871437152944488E-2</v>
      </c>
    </row>
    <row r="51" spans="1:20" ht="17.25">
      <c r="A51" s="300"/>
      <c r="B51" s="32" t="s">
        <v>85</v>
      </c>
      <c r="C51" s="55">
        <f t="shared" si="0"/>
        <v>21.261200000000002</v>
      </c>
      <c r="D51" s="55">
        <f>D21*(100-N21)*0.01</f>
        <v>2.3879999999999999</v>
      </c>
      <c r="E51" s="55"/>
      <c r="F51" s="55">
        <f t="shared" si="1"/>
        <v>47.189200000000007</v>
      </c>
      <c r="G51" s="55"/>
      <c r="H51" s="55"/>
      <c r="I51" s="23">
        <f t="shared" si="2"/>
        <v>20.844313725490199</v>
      </c>
      <c r="J51" s="23">
        <f t="shared" si="3"/>
        <v>4.2566844919786089</v>
      </c>
      <c r="K51" s="23">
        <f t="shared" si="4"/>
        <v>78.517803660565733</v>
      </c>
      <c r="L51" s="23">
        <f t="shared" si="5"/>
        <v>103.61880187803453</v>
      </c>
      <c r="M51" s="23"/>
      <c r="N51" s="23">
        <f t="shared" si="6"/>
        <v>0.20116343122771474</v>
      </c>
      <c r="O51" s="23">
        <f t="shared" si="7"/>
        <v>4.1080232687779758E-2</v>
      </c>
      <c r="P51" s="23">
        <f t="shared" si="8"/>
        <v>0.75775633608450554</v>
      </c>
      <c r="Q51" s="23"/>
      <c r="R51" s="23">
        <f t="shared" si="10"/>
        <v>3.2251999925040988</v>
      </c>
      <c r="S51" s="16">
        <v>3.2759447980329917</v>
      </c>
      <c r="T51" s="62">
        <f t="shared" si="9"/>
        <v>5.0744805528892822E-2</v>
      </c>
    </row>
    <row r="52" spans="1:20" ht="17.25">
      <c r="A52" s="300"/>
      <c r="B52" s="32" t="s">
        <v>86</v>
      </c>
      <c r="C52" s="55">
        <f>C22*I22*0.01</f>
        <v>11.097999999999999</v>
      </c>
      <c r="D52" s="55">
        <f>D22*(100-N22)*0.01</f>
        <v>25.716600000000003</v>
      </c>
      <c r="E52" s="55"/>
      <c r="F52" s="55">
        <f t="shared" si="1"/>
        <v>25.877999999999997</v>
      </c>
      <c r="G52" s="55"/>
      <c r="H52" s="55"/>
      <c r="I52" s="23">
        <f t="shared" si="2"/>
        <v>10.880392156862746</v>
      </c>
      <c r="J52" s="23">
        <f t="shared" si="3"/>
        <v>45.840641711229949</v>
      </c>
      <c r="K52" s="23">
        <f t="shared" si="4"/>
        <v>43.058236272878531</v>
      </c>
      <c r="L52" s="23">
        <f t="shared" si="5"/>
        <v>99.779270140971221</v>
      </c>
      <c r="M52" s="23"/>
      <c r="N52" s="23">
        <f t="shared" si="6"/>
        <v>0.10904461559490856</v>
      </c>
      <c r="O52" s="23">
        <f t="shared" si="7"/>
        <v>0.45942049532397744</v>
      </c>
      <c r="P52" s="23">
        <f t="shared" si="8"/>
        <v>0.43153488908111404</v>
      </c>
      <c r="Q52" s="23"/>
      <c r="R52" s="23">
        <f t="shared" si="10"/>
        <v>2.4338384055426632</v>
      </c>
      <c r="S52" s="16">
        <v>2.6309118657623904</v>
      </c>
      <c r="T52" s="62">
        <f t="shared" si="9"/>
        <v>0.19707346021972727</v>
      </c>
    </row>
    <row r="53" spans="1:20" ht="17.25">
      <c r="A53" s="300"/>
      <c r="B53" s="32" t="s">
        <v>87</v>
      </c>
      <c r="C53" s="55">
        <f>C23-O23*$L$29-P23*$N$29</f>
        <v>13.4068</v>
      </c>
      <c r="D53" s="55">
        <f>D23*(100-N23)*0.01</f>
        <v>2.2747000000000002</v>
      </c>
      <c r="E53" s="55"/>
      <c r="F53" s="55">
        <f t="shared" si="1"/>
        <v>40.208400000000012</v>
      </c>
      <c r="G53" s="55"/>
      <c r="H53" s="55"/>
      <c r="I53" s="23">
        <f t="shared" si="2"/>
        <v>13.143921568627452</v>
      </c>
      <c r="J53" s="23">
        <f t="shared" si="3"/>
        <v>4.0547237076648841</v>
      </c>
      <c r="K53" s="23">
        <f t="shared" si="4"/>
        <v>66.902495840266241</v>
      </c>
      <c r="L53" s="23">
        <f t="shared" si="5"/>
        <v>84.10114111655858</v>
      </c>
      <c r="M53" s="23"/>
      <c r="N53" s="23">
        <f t="shared" si="6"/>
        <v>0.15628707760826754</v>
      </c>
      <c r="O53" s="23">
        <f t="shared" si="7"/>
        <v>4.8212469579280826E-2</v>
      </c>
      <c r="P53" s="23">
        <f t="shared" si="8"/>
        <v>0.79550045281245163</v>
      </c>
      <c r="Q53" s="23"/>
      <c r="R53" s="23">
        <f t="shared" si="10"/>
        <v>3.2889448629569507</v>
      </c>
      <c r="S53" s="16">
        <v>3.3488254182862933</v>
      </c>
      <c r="T53" s="62">
        <f t="shared" si="9"/>
        <v>5.9880555329342666E-2</v>
      </c>
    </row>
    <row r="54" spans="1:20" ht="17.25">
      <c r="A54" s="300"/>
      <c r="B54" s="32" t="s">
        <v>88</v>
      </c>
      <c r="C54" s="55">
        <f>C24-O24*$L$29-P24*$N$29</f>
        <v>14.803799999999999</v>
      </c>
      <c r="D54" s="100">
        <f>D24*I24*0.01</f>
        <v>1.752</v>
      </c>
      <c r="E54" s="55"/>
      <c r="F54" s="55">
        <f t="shared" si="1"/>
        <v>41.865600000000001</v>
      </c>
      <c r="G54" s="55"/>
      <c r="H54" s="55"/>
      <c r="I54" s="23">
        <f t="shared" si="2"/>
        <v>14.513529411764704</v>
      </c>
      <c r="J54" s="23">
        <f t="shared" si="3"/>
        <v>3.1229946524064167</v>
      </c>
      <c r="K54" s="23">
        <f t="shared" si="4"/>
        <v>69.659900166389363</v>
      </c>
      <c r="L54" s="23">
        <f t="shared" si="5"/>
        <v>87.29642423056049</v>
      </c>
      <c r="M54" s="23"/>
      <c r="N54" s="23">
        <f t="shared" si="6"/>
        <v>0.16625571482094967</v>
      </c>
      <c r="O54" s="23">
        <f t="shared" si="7"/>
        <v>3.5774599932732722E-2</v>
      </c>
      <c r="P54" s="23">
        <f t="shared" si="8"/>
        <v>0.79796968524631751</v>
      </c>
      <c r="Q54" s="23"/>
      <c r="R54" s="23">
        <f t="shared" si="10"/>
        <v>3.2925743259419065</v>
      </c>
      <c r="S54" s="16">
        <v>3.3125520706732394</v>
      </c>
      <c r="T54" s="62">
        <f t="shared" si="9"/>
        <v>1.9977744731332958E-2</v>
      </c>
    </row>
    <row r="55" spans="1:20" ht="17.25">
      <c r="A55" s="301"/>
      <c r="B55" s="33" t="s">
        <v>89</v>
      </c>
      <c r="C55" s="56">
        <f>C25-O25*$L$29-P25*$N$29</f>
        <v>18.588999999999999</v>
      </c>
      <c r="D55" s="56">
        <f>D25*(100-N25)*0.01</f>
        <v>9.75</v>
      </c>
      <c r="E55" s="56"/>
      <c r="F55" s="56">
        <f t="shared" si="1"/>
        <v>35.943000000000005</v>
      </c>
      <c r="G55" s="56"/>
      <c r="H55" s="56"/>
      <c r="I55" s="50">
        <f t="shared" si="2"/>
        <v>18.224509803921567</v>
      </c>
      <c r="J55" s="50">
        <f t="shared" si="3"/>
        <v>17.379679144385026</v>
      </c>
      <c r="K55" s="50">
        <f t="shared" si="4"/>
        <v>59.805324459234619</v>
      </c>
      <c r="L55" s="50">
        <f t="shared" si="5"/>
        <v>95.409513407541212</v>
      </c>
      <c r="M55" s="50"/>
      <c r="N55" s="50">
        <f t="shared" si="6"/>
        <v>0.19101354941488563</v>
      </c>
      <c r="O55" s="50">
        <f t="shared" si="7"/>
        <v>0.18215876513433019</v>
      </c>
      <c r="P55" s="50">
        <f t="shared" si="8"/>
        <v>0.62682768545078416</v>
      </c>
      <c r="Q55" s="50"/>
      <c r="R55" s="50">
        <f t="shared" si="10"/>
        <v>2.9840871572331902</v>
      </c>
      <c r="S55" s="20">
        <v>3.086827558311986</v>
      </c>
      <c r="T55" s="62">
        <f t="shared" si="9"/>
        <v>0.10274040107879578</v>
      </c>
    </row>
    <row r="56" spans="1:20">
      <c r="T56" s="66">
        <f>AVERAGE(T34:T55)</f>
        <v>5.954096997843257E-2</v>
      </c>
    </row>
  </sheetData>
  <mergeCells count="5">
    <mergeCell ref="L2:P2"/>
    <mergeCell ref="A1:J1"/>
    <mergeCell ref="A2:J2"/>
    <mergeCell ref="A4:A25"/>
    <mergeCell ref="A33:A55"/>
  </mergeCells>
  <phoneticPr fontId="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25DD-B040-4FD7-B07F-74CFA73670C2}">
  <dimension ref="A1:R40"/>
  <sheetViews>
    <sheetView topLeftCell="G13" workbookViewId="0">
      <selection activeCell="R25" sqref="R25"/>
    </sheetView>
  </sheetViews>
  <sheetFormatPr defaultRowHeight="16.5"/>
  <cols>
    <col min="3" max="3" width="11.25" customWidth="1"/>
    <col min="4" max="4" width="11.875" customWidth="1"/>
    <col min="6" max="6" width="10.25" customWidth="1"/>
    <col min="12" max="12" width="13.625" customWidth="1"/>
    <col min="13" max="13" width="11" customWidth="1"/>
    <col min="14" max="16" width="13.75" customWidth="1"/>
  </cols>
  <sheetData>
    <row r="1" spans="1:13">
      <c r="A1" s="146" t="s">
        <v>250</v>
      </c>
      <c r="B1" s="147" t="s">
        <v>18</v>
      </c>
      <c r="C1" s="147" t="s">
        <v>20</v>
      </c>
      <c r="D1" s="147" t="s">
        <v>22</v>
      </c>
      <c r="E1" s="147" t="s">
        <v>21</v>
      </c>
      <c r="F1" s="147" t="s">
        <v>19</v>
      </c>
      <c r="G1" s="147" t="s">
        <v>23</v>
      </c>
      <c r="H1" s="147" t="s">
        <v>33</v>
      </c>
      <c r="I1" s="148" t="s">
        <v>251</v>
      </c>
      <c r="L1" t="s">
        <v>252</v>
      </c>
      <c r="M1" t="s">
        <v>253</v>
      </c>
    </row>
    <row r="2" spans="1:13">
      <c r="A2" s="330">
        <v>16</v>
      </c>
      <c r="B2" s="260" t="s">
        <v>51</v>
      </c>
      <c r="C2" s="260">
        <v>20.9</v>
      </c>
      <c r="D2" s="260">
        <v>2.73</v>
      </c>
      <c r="E2" s="260">
        <v>5.15</v>
      </c>
      <c r="F2" s="260">
        <v>64.8</v>
      </c>
      <c r="G2" s="260">
        <v>1.39</v>
      </c>
      <c r="H2" s="260">
        <v>1.72302</v>
      </c>
      <c r="I2" s="265">
        <v>72.135000000000005</v>
      </c>
      <c r="L2">
        <v>11.21</v>
      </c>
      <c r="M2">
        <v>48.91</v>
      </c>
    </row>
    <row r="3" spans="1:13">
      <c r="A3" s="330"/>
      <c r="B3" s="260" t="s">
        <v>52</v>
      </c>
      <c r="C3" s="260">
        <v>20.8</v>
      </c>
      <c r="D3" s="260">
        <v>2.68</v>
      </c>
      <c r="E3" s="260">
        <v>5.03</v>
      </c>
      <c r="F3" s="260">
        <v>65</v>
      </c>
      <c r="G3" s="260">
        <v>1.38</v>
      </c>
      <c r="H3" s="260">
        <v>1.77644</v>
      </c>
      <c r="I3" s="265">
        <v>70.093999999999994</v>
      </c>
      <c r="L3">
        <v>10.560000000000002</v>
      </c>
      <c r="M3">
        <v>47.33</v>
      </c>
    </row>
    <row r="4" spans="1:13">
      <c r="A4" s="330"/>
      <c r="B4" s="260" t="s">
        <v>53</v>
      </c>
      <c r="C4" s="260">
        <v>20.9</v>
      </c>
      <c r="D4" s="260">
        <v>5.74</v>
      </c>
      <c r="E4" s="260">
        <v>8.2200000000000006</v>
      </c>
      <c r="F4" s="260">
        <v>55.9</v>
      </c>
      <c r="G4" s="260">
        <v>1.95</v>
      </c>
      <c r="H4" s="260">
        <v>2.3485999999999998</v>
      </c>
      <c r="I4" s="265">
        <v>79.983000000000004</v>
      </c>
      <c r="L4">
        <v>15</v>
      </c>
      <c r="M4">
        <v>45.11</v>
      </c>
    </row>
    <row r="5" spans="1:13">
      <c r="A5" s="330"/>
      <c r="B5" s="260" t="s">
        <v>54</v>
      </c>
      <c r="C5" s="260">
        <v>21.3</v>
      </c>
      <c r="D5" s="260">
        <v>3.99</v>
      </c>
      <c r="E5" s="260">
        <v>6.41</v>
      </c>
      <c r="F5" s="260">
        <v>59.5</v>
      </c>
      <c r="G5" s="260">
        <v>1.46</v>
      </c>
      <c r="H5" s="260">
        <v>1.2416799999999999</v>
      </c>
      <c r="I5" s="265">
        <v>58.704000000000001</v>
      </c>
      <c r="L5">
        <v>5.8400000000000034</v>
      </c>
      <c r="M5">
        <v>37.69</v>
      </c>
    </row>
    <row r="6" spans="1:13">
      <c r="A6" s="330"/>
      <c r="B6" s="260" t="s">
        <v>236</v>
      </c>
      <c r="C6" s="260">
        <v>20.100000000000001</v>
      </c>
      <c r="D6" s="260">
        <v>4.13</v>
      </c>
      <c r="E6" s="260">
        <v>8.7100000000000009</v>
      </c>
      <c r="F6" s="260">
        <v>58.8</v>
      </c>
      <c r="G6" s="260">
        <v>1.95</v>
      </c>
      <c r="H6" s="260">
        <v>1.82172</v>
      </c>
      <c r="I6" s="265">
        <v>70.073999999999998</v>
      </c>
      <c r="L6">
        <v>11.489999999999995</v>
      </c>
      <c r="M6">
        <v>41.02</v>
      </c>
    </row>
    <row r="7" spans="1:13">
      <c r="A7" s="330"/>
      <c r="B7" s="260" t="s">
        <v>237</v>
      </c>
      <c r="C7" s="260">
        <v>22.5</v>
      </c>
      <c r="D7" s="260">
        <v>3.09</v>
      </c>
      <c r="E7" s="260">
        <v>7.67</v>
      </c>
      <c r="F7" s="260">
        <v>60.4</v>
      </c>
      <c r="G7" s="260">
        <v>1.1000000000000001</v>
      </c>
      <c r="H7" s="260">
        <v>1.43146</v>
      </c>
      <c r="I7" s="265">
        <v>70.622</v>
      </c>
      <c r="L7">
        <v>11.020000000000003</v>
      </c>
      <c r="M7">
        <v>44.54</v>
      </c>
    </row>
    <row r="8" spans="1:13">
      <c r="A8" s="330"/>
      <c r="B8" s="260" t="s">
        <v>238</v>
      </c>
      <c r="C8" s="260">
        <v>20</v>
      </c>
      <c r="D8" s="260">
        <v>2.86</v>
      </c>
      <c r="E8" s="260">
        <v>5.05</v>
      </c>
      <c r="F8" s="260">
        <v>64.900000000000006</v>
      </c>
      <c r="G8" s="260">
        <v>1.07</v>
      </c>
      <c r="H8" s="260">
        <v>1.33432</v>
      </c>
      <c r="I8" s="265">
        <v>67.007999999999996</v>
      </c>
      <c r="L8">
        <v>9.6299999999999955</v>
      </c>
      <c r="M8">
        <v>45.28</v>
      </c>
    </row>
    <row r="9" spans="1:13">
      <c r="A9" s="330"/>
      <c r="B9" s="260" t="s">
        <v>239</v>
      </c>
      <c r="C9" s="260">
        <v>21.5</v>
      </c>
      <c r="D9" s="260">
        <v>3.82</v>
      </c>
      <c r="E9" s="260">
        <v>8.19</v>
      </c>
      <c r="F9" s="260">
        <v>58.6</v>
      </c>
      <c r="G9" s="260">
        <v>1.39</v>
      </c>
      <c r="H9" s="260">
        <v>1.2930200000000001</v>
      </c>
      <c r="I9" s="265">
        <v>69.129000000000005</v>
      </c>
      <c r="L9">
        <v>10.089999999999996</v>
      </c>
      <c r="M9">
        <v>42.59</v>
      </c>
    </row>
    <row r="10" spans="1:13">
      <c r="A10" s="330"/>
      <c r="B10" s="260" t="s">
        <v>240</v>
      </c>
      <c r="C10" s="260">
        <v>19.5</v>
      </c>
      <c r="D10" s="260">
        <v>5.34</v>
      </c>
      <c r="E10" s="260">
        <v>6.01</v>
      </c>
      <c r="F10" s="260">
        <v>58.3</v>
      </c>
      <c r="G10" s="260">
        <v>2.46</v>
      </c>
      <c r="H10" s="260">
        <v>2.0575199999999998</v>
      </c>
      <c r="I10" s="265">
        <v>72.358999999999995</v>
      </c>
      <c r="L10">
        <v>12.14</v>
      </c>
      <c r="M10">
        <v>42.21</v>
      </c>
    </row>
    <row r="11" spans="1:13">
      <c r="A11" s="330"/>
      <c r="B11" s="260" t="s">
        <v>241</v>
      </c>
      <c r="C11" s="260">
        <v>17.899999999999999</v>
      </c>
      <c r="D11" s="260">
        <v>3.63</v>
      </c>
      <c r="E11" s="260">
        <v>5.95</v>
      </c>
      <c r="F11" s="260">
        <v>64.8</v>
      </c>
      <c r="G11" s="260">
        <v>1.4</v>
      </c>
      <c r="H11" s="260">
        <v>1.9609000000000001</v>
      </c>
      <c r="I11" s="265">
        <v>67.912999999999997</v>
      </c>
      <c r="L11">
        <v>10.189999999999998</v>
      </c>
      <c r="M11">
        <v>42.95</v>
      </c>
    </row>
    <row r="12" spans="1:13">
      <c r="A12" s="330"/>
      <c r="B12" s="260" t="s">
        <v>242</v>
      </c>
      <c r="C12" s="260">
        <v>21.4</v>
      </c>
      <c r="D12" s="260">
        <v>3.5</v>
      </c>
      <c r="E12" s="260">
        <v>5.94</v>
      </c>
      <c r="F12" s="260">
        <v>58.8</v>
      </c>
      <c r="G12" s="260">
        <v>1.32</v>
      </c>
      <c r="H12" s="260">
        <v>1.85172</v>
      </c>
      <c r="I12" s="265">
        <v>69.108999999999995</v>
      </c>
      <c r="L12">
        <v>12.589999999999996</v>
      </c>
      <c r="M12">
        <v>41.84</v>
      </c>
    </row>
    <row r="13" spans="1:13">
      <c r="A13" s="330"/>
      <c r="B13" s="260" t="s">
        <v>243</v>
      </c>
      <c r="C13" s="260">
        <v>17.8</v>
      </c>
      <c r="D13" s="260">
        <v>11.4</v>
      </c>
      <c r="E13" s="260">
        <v>7.71</v>
      </c>
      <c r="F13" s="260">
        <v>54.7</v>
      </c>
      <c r="G13" s="260">
        <v>1.98</v>
      </c>
      <c r="H13" s="260">
        <v>1.7851399999999999</v>
      </c>
      <c r="I13" s="265">
        <v>66.582999999999998</v>
      </c>
      <c r="L13">
        <v>10.100000000000001</v>
      </c>
      <c r="M13">
        <v>40.44</v>
      </c>
    </row>
    <row r="14" spans="1:13">
      <c r="A14" s="330"/>
      <c r="B14" s="260" t="s">
        <v>244</v>
      </c>
      <c r="C14" s="260">
        <v>20.399999999999999</v>
      </c>
      <c r="D14" s="260">
        <v>2.63</v>
      </c>
      <c r="E14" s="260">
        <v>4.9800000000000004</v>
      </c>
      <c r="F14" s="260">
        <v>64.5</v>
      </c>
      <c r="G14" s="260">
        <v>1.24</v>
      </c>
      <c r="H14" s="260">
        <v>1.3172200000000001</v>
      </c>
      <c r="I14" s="265">
        <v>64.748000000000005</v>
      </c>
      <c r="L14">
        <v>8.1499999999999986</v>
      </c>
      <c r="M14">
        <v>44.89</v>
      </c>
    </row>
    <row r="15" spans="1:13">
      <c r="A15" s="330"/>
      <c r="B15" s="260" t="s">
        <v>245</v>
      </c>
      <c r="C15" s="260">
        <v>20.100000000000001</v>
      </c>
      <c r="D15" s="260">
        <v>1.55</v>
      </c>
      <c r="E15" s="260">
        <v>7.25</v>
      </c>
      <c r="F15" s="260">
        <v>64.900000000000006</v>
      </c>
      <c r="G15" s="260">
        <v>0.82</v>
      </c>
      <c r="H15" s="260">
        <v>1.3680399999999999</v>
      </c>
      <c r="I15" s="265">
        <v>73.62</v>
      </c>
      <c r="L15">
        <v>10.009999999999998</v>
      </c>
      <c r="M15">
        <v>50.99</v>
      </c>
    </row>
    <row r="16" spans="1:13">
      <c r="A16" s="330"/>
      <c r="B16" s="260" t="s">
        <v>246</v>
      </c>
      <c r="C16" s="260">
        <v>19.5</v>
      </c>
      <c r="D16" s="260">
        <v>3.72</v>
      </c>
      <c r="E16" s="260">
        <v>6.31</v>
      </c>
      <c r="F16" s="260">
        <v>60.8</v>
      </c>
      <c r="G16" s="260">
        <v>1.3</v>
      </c>
      <c r="H16" s="260">
        <v>1.5627599999999999</v>
      </c>
      <c r="I16" s="265">
        <v>69.451999999999998</v>
      </c>
      <c r="L16">
        <v>10.75</v>
      </c>
      <c r="M16">
        <v>43.3</v>
      </c>
    </row>
    <row r="17" spans="1:18">
      <c r="A17" s="330"/>
      <c r="B17" s="260" t="s">
        <v>247</v>
      </c>
      <c r="C17" s="260">
        <v>19.600000000000001</v>
      </c>
      <c r="D17" s="260">
        <v>7.7</v>
      </c>
      <c r="E17" s="260">
        <v>5.81</v>
      </c>
      <c r="F17" s="260">
        <v>54.8</v>
      </c>
      <c r="G17" s="260">
        <v>1.63</v>
      </c>
      <c r="H17" s="260">
        <v>1.9006400000000001</v>
      </c>
      <c r="I17" s="265">
        <v>66.207999999999998</v>
      </c>
      <c r="L17">
        <v>8.5200000000000031</v>
      </c>
      <c r="M17">
        <v>38.58</v>
      </c>
    </row>
    <row r="18" spans="1:18">
      <c r="A18" s="331"/>
      <c r="B18" s="266" t="s">
        <v>248</v>
      </c>
      <c r="C18" s="266">
        <v>18</v>
      </c>
      <c r="D18" s="266">
        <v>6.66</v>
      </c>
      <c r="E18" s="266">
        <v>7.55</v>
      </c>
      <c r="F18" s="266">
        <v>57.9</v>
      </c>
      <c r="G18" s="266">
        <v>2.02</v>
      </c>
      <c r="H18" s="266">
        <v>3.2016800000000001</v>
      </c>
      <c r="I18" s="267">
        <v>85.715999999999994</v>
      </c>
      <c r="L18">
        <v>13.61</v>
      </c>
      <c r="M18">
        <v>49.78</v>
      </c>
    </row>
    <row r="20" spans="1:18" ht="51.75">
      <c r="B20" s="44" t="s">
        <v>106</v>
      </c>
      <c r="C20" s="45" t="s">
        <v>105</v>
      </c>
      <c r="D20" s="46" t="s">
        <v>107</v>
      </c>
    </row>
    <row r="21" spans="1:18" ht="17.25">
      <c r="B21" s="87">
        <v>102</v>
      </c>
      <c r="C21" s="81">
        <v>56.1</v>
      </c>
      <c r="D21" s="79">
        <v>60.1</v>
      </c>
    </row>
    <row r="23" spans="1:18" ht="34.5">
      <c r="B23" s="264"/>
      <c r="C23" s="3" t="s">
        <v>104</v>
      </c>
      <c r="D23" s="3" t="s">
        <v>119</v>
      </c>
      <c r="E23" s="3"/>
      <c r="F23" s="54" t="s">
        <v>120</v>
      </c>
      <c r="G23" s="54"/>
      <c r="H23" s="3"/>
      <c r="I23" s="3" t="s">
        <v>109</v>
      </c>
      <c r="J23" s="3" t="s">
        <v>108</v>
      </c>
      <c r="K23" s="3" t="s">
        <v>110</v>
      </c>
      <c r="L23" s="3" t="s">
        <v>111</v>
      </c>
      <c r="M23" s="3"/>
      <c r="N23" s="3" t="s">
        <v>113</v>
      </c>
      <c r="O23" s="3" t="s">
        <v>112</v>
      </c>
      <c r="P23" s="59" t="s">
        <v>114</v>
      </c>
      <c r="R23" s="255" t="s">
        <v>273</v>
      </c>
    </row>
    <row r="24" spans="1:18" ht="17.25">
      <c r="B24" s="261" t="s">
        <v>51</v>
      </c>
      <c r="C24" s="64">
        <f>L2</f>
        <v>11.21</v>
      </c>
      <c r="D24" s="53">
        <f>D2*I2*0.01</f>
        <v>1.9692855</v>
      </c>
      <c r="E24" s="53"/>
      <c r="F24" s="53">
        <f>M2</f>
        <v>48.91</v>
      </c>
      <c r="G24" s="53"/>
      <c r="H24" s="53"/>
      <c r="I24" s="48">
        <f>100*C24/$B$21</f>
        <v>10.990196078431373</v>
      </c>
      <c r="J24" s="48">
        <f>100*D24/$C$21</f>
        <v>3.5103128342245991</v>
      </c>
      <c r="K24" s="48">
        <f>100*F24/$D$21</f>
        <v>81.381031613976702</v>
      </c>
      <c r="L24" s="48">
        <f>SUM(I24:K24)</f>
        <v>95.881540526632676</v>
      </c>
      <c r="M24" s="48"/>
      <c r="N24" s="48">
        <f>I24/L24</f>
        <v>0.1146226480933383</v>
      </c>
      <c r="O24" s="48">
        <f>J24/L24</f>
        <v>3.6610934857158994E-2</v>
      </c>
      <c r="P24" s="49">
        <f>K24/L24</f>
        <v>0.84876641704950262</v>
      </c>
      <c r="R24">
        <f>(11-12*O24+N24)/(3-2*O24+2*N24)</f>
        <v>3.3825133680137869</v>
      </c>
    </row>
    <row r="25" spans="1:18" ht="17.25">
      <c r="B25" s="261" t="s">
        <v>52</v>
      </c>
      <c r="C25" s="92">
        <f t="shared" ref="C25:C40" si="0">L3</f>
        <v>10.560000000000002</v>
      </c>
      <c r="D25" s="55">
        <f t="shared" ref="D25:D40" si="1">D3*I3*0.01</f>
        <v>1.8785192000000002</v>
      </c>
      <c r="E25" s="55"/>
      <c r="F25" s="55">
        <f t="shared" ref="F25:F40" si="2">M3</f>
        <v>47.33</v>
      </c>
      <c r="G25" s="55"/>
      <c r="H25" s="55"/>
      <c r="I25" s="23">
        <f t="shared" ref="I25:I40" si="3">100*C25/$B$21</f>
        <v>10.352941176470591</v>
      </c>
      <c r="J25" s="23">
        <f t="shared" ref="J25:J40" si="4">100*D25/$C$21</f>
        <v>3.3485190730837791</v>
      </c>
      <c r="K25" s="23">
        <f t="shared" ref="K25:K40" si="5">100*F25/$D$21</f>
        <v>78.752079866888522</v>
      </c>
      <c r="L25" s="23">
        <f t="shared" ref="L25:L40" si="6">SUM(I25:K25)</f>
        <v>92.453540116442895</v>
      </c>
      <c r="M25" s="23"/>
      <c r="N25" s="23">
        <f t="shared" ref="N25:N40" si="7">I25/L25</f>
        <v>0.11197993244424521</v>
      </c>
      <c r="O25" s="23">
        <f t="shared" ref="O25:O40" si="8">J25/L25</f>
        <v>3.6218397574245442E-2</v>
      </c>
      <c r="P25" s="39">
        <f t="shared" ref="P25:P40" si="9">K25/L25</f>
        <v>0.8518016699815093</v>
      </c>
      <c r="R25">
        <f t="shared" ref="R25:R40" si="10">(11-12*O25+N25)/(3-2*O25+2*N25)</f>
        <v>3.3879996830974117</v>
      </c>
    </row>
    <row r="26" spans="1:18" ht="17.25">
      <c r="B26" s="261" t="s">
        <v>53</v>
      </c>
      <c r="C26" s="92">
        <f t="shared" si="0"/>
        <v>15</v>
      </c>
      <c r="D26" s="55">
        <f t="shared" si="1"/>
        <v>4.5910242000000006</v>
      </c>
      <c r="E26" s="55"/>
      <c r="F26" s="55">
        <f t="shared" si="2"/>
        <v>45.11</v>
      </c>
      <c r="G26" s="55"/>
      <c r="H26" s="55"/>
      <c r="I26" s="23">
        <f t="shared" si="3"/>
        <v>14.705882352941176</v>
      </c>
      <c r="J26" s="23">
        <f t="shared" si="4"/>
        <v>8.1836438502673801</v>
      </c>
      <c r="K26" s="23">
        <f t="shared" si="5"/>
        <v>75.058236272878531</v>
      </c>
      <c r="L26" s="23">
        <f t="shared" si="6"/>
        <v>97.947762476087092</v>
      </c>
      <c r="M26" s="23"/>
      <c r="N26" s="23">
        <f t="shared" si="7"/>
        <v>0.15014005405719666</v>
      </c>
      <c r="O26" s="23">
        <f t="shared" si="8"/>
        <v>8.3551105644351295E-2</v>
      </c>
      <c r="P26" s="39">
        <f t="shared" si="9"/>
        <v>0.76630884029845203</v>
      </c>
      <c r="R26">
        <f t="shared" si="10"/>
        <v>3.238733043727176</v>
      </c>
    </row>
    <row r="27" spans="1:18" ht="17.25">
      <c r="B27" s="261" t="s">
        <v>54</v>
      </c>
      <c r="C27" s="92">
        <f t="shared" si="0"/>
        <v>5.8400000000000034</v>
      </c>
      <c r="D27" s="55">
        <f t="shared" si="1"/>
        <v>2.3422896000000004</v>
      </c>
      <c r="E27" s="55"/>
      <c r="F27" s="55">
        <f t="shared" si="2"/>
        <v>37.69</v>
      </c>
      <c r="G27" s="55"/>
      <c r="H27" s="55"/>
      <c r="I27" s="23">
        <f t="shared" si="3"/>
        <v>5.725490196078435</v>
      </c>
      <c r="J27" s="23">
        <f t="shared" si="4"/>
        <v>4.175204278074867</v>
      </c>
      <c r="K27" s="23">
        <f t="shared" si="5"/>
        <v>62.712146422628948</v>
      </c>
      <c r="L27" s="23">
        <f t="shared" si="6"/>
        <v>72.612840896782245</v>
      </c>
      <c r="M27" s="23"/>
      <c r="N27" s="23">
        <f t="shared" si="7"/>
        <v>7.8849555056207055E-2</v>
      </c>
      <c r="O27" s="23">
        <f t="shared" si="8"/>
        <v>5.7499530751177183E-2</v>
      </c>
      <c r="P27" s="39">
        <f t="shared" si="9"/>
        <v>0.86365091419261586</v>
      </c>
      <c r="R27">
        <f t="shared" si="10"/>
        <v>3.4143540342689476</v>
      </c>
    </row>
    <row r="28" spans="1:18" ht="17.25">
      <c r="B28" s="261" t="s">
        <v>236</v>
      </c>
      <c r="C28" s="92">
        <f t="shared" si="0"/>
        <v>11.489999999999995</v>
      </c>
      <c r="D28" s="55">
        <f t="shared" si="1"/>
        <v>2.8940562000000001</v>
      </c>
      <c r="E28" s="55"/>
      <c r="F28" s="55">
        <f t="shared" si="2"/>
        <v>41.02</v>
      </c>
      <c r="G28" s="55"/>
      <c r="H28" s="55"/>
      <c r="I28" s="23">
        <f t="shared" si="3"/>
        <v>11.264705882352937</v>
      </c>
      <c r="J28" s="23">
        <f t="shared" si="4"/>
        <v>5.1587454545454543</v>
      </c>
      <c r="K28" s="23">
        <f t="shared" si="5"/>
        <v>68.252911813643919</v>
      </c>
      <c r="L28" s="23">
        <f t="shared" si="6"/>
        <v>84.676363150542315</v>
      </c>
      <c r="M28" s="23"/>
      <c r="N28" s="23">
        <f t="shared" si="7"/>
        <v>0.13303247167483942</v>
      </c>
      <c r="O28" s="23">
        <f t="shared" si="8"/>
        <v>6.0923087182829898E-2</v>
      </c>
      <c r="P28" s="39">
        <f t="shared" si="9"/>
        <v>0.80604444114233065</v>
      </c>
      <c r="R28">
        <f t="shared" si="10"/>
        <v>3.3082797953152703</v>
      </c>
    </row>
    <row r="29" spans="1:18" ht="17.25">
      <c r="B29" s="261" t="s">
        <v>237</v>
      </c>
      <c r="C29" s="92">
        <f t="shared" si="0"/>
        <v>11.020000000000003</v>
      </c>
      <c r="D29" s="55">
        <f t="shared" si="1"/>
        <v>2.1822197999999999</v>
      </c>
      <c r="E29" s="55"/>
      <c r="F29" s="55">
        <f t="shared" si="2"/>
        <v>44.54</v>
      </c>
      <c r="G29" s="55"/>
      <c r="H29" s="55"/>
      <c r="I29" s="23">
        <f t="shared" si="3"/>
        <v>10.803921568627453</v>
      </c>
      <c r="J29" s="23">
        <f t="shared" si="4"/>
        <v>3.8898748663101603</v>
      </c>
      <c r="K29" s="23">
        <f t="shared" si="5"/>
        <v>74.109816971713812</v>
      </c>
      <c r="L29" s="23">
        <f t="shared" si="6"/>
        <v>88.803613406651422</v>
      </c>
      <c r="M29" s="23"/>
      <c r="N29" s="23">
        <f t="shared" si="7"/>
        <v>0.12166083286672022</v>
      </c>
      <c r="O29" s="23">
        <f t="shared" si="8"/>
        <v>4.3803114727973526E-2</v>
      </c>
      <c r="P29" s="39">
        <f t="shared" si="9"/>
        <v>0.83453605240530626</v>
      </c>
      <c r="R29">
        <f t="shared" si="10"/>
        <v>3.3577246333180759</v>
      </c>
    </row>
    <row r="30" spans="1:18" ht="17.25">
      <c r="B30" s="261" t="s">
        <v>238</v>
      </c>
      <c r="C30" s="92">
        <f t="shared" si="0"/>
        <v>9.6299999999999955</v>
      </c>
      <c r="D30" s="55">
        <f t="shared" si="1"/>
        <v>1.9164288</v>
      </c>
      <c r="E30" s="55"/>
      <c r="F30" s="55">
        <f t="shared" si="2"/>
        <v>45.28</v>
      </c>
      <c r="G30" s="55"/>
      <c r="H30" s="55"/>
      <c r="I30" s="23">
        <f t="shared" si="3"/>
        <v>9.4411764705882302</v>
      </c>
      <c r="J30" s="23">
        <f t="shared" si="4"/>
        <v>3.4160941176470585</v>
      </c>
      <c r="K30" s="23">
        <f t="shared" si="5"/>
        <v>75.341098169717142</v>
      </c>
      <c r="L30" s="23">
        <f t="shared" si="6"/>
        <v>88.198368757952437</v>
      </c>
      <c r="M30" s="23"/>
      <c r="N30" s="23">
        <f t="shared" si="7"/>
        <v>0.10704479689979485</v>
      </c>
      <c r="O30" s="23">
        <f t="shared" si="8"/>
        <v>3.8731942163488652E-2</v>
      </c>
      <c r="P30" s="39">
        <f t="shared" si="9"/>
        <v>0.85422326093671641</v>
      </c>
      <c r="R30">
        <f t="shared" si="10"/>
        <v>3.3929013139177844</v>
      </c>
    </row>
    <row r="31" spans="1:18" ht="17.25">
      <c r="B31" s="261" t="s">
        <v>239</v>
      </c>
      <c r="C31" s="92">
        <f t="shared" si="0"/>
        <v>10.089999999999996</v>
      </c>
      <c r="D31" s="55">
        <f t="shared" si="1"/>
        <v>2.6407278000000001</v>
      </c>
      <c r="E31" s="55"/>
      <c r="F31" s="55">
        <f t="shared" si="2"/>
        <v>42.59</v>
      </c>
      <c r="G31" s="55"/>
      <c r="H31" s="55"/>
      <c r="I31" s="23">
        <f t="shared" si="3"/>
        <v>9.8921568627450949</v>
      </c>
      <c r="J31" s="23">
        <f t="shared" si="4"/>
        <v>4.7071796791443852</v>
      </c>
      <c r="K31" s="23">
        <f t="shared" si="5"/>
        <v>70.865224625623952</v>
      </c>
      <c r="L31" s="23">
        <f t="shared" si="6"/>
        <v>85.464561167513438</v>
      </c>
      <c r="M31" s="23"/>
      <c r="N31" s="23">
        <f t="shared" si="7"/>
        <v>0.11574571644211841</v>
      </c>
      <c r="O31" s="23">
        <f t="shared" si="8"/>
        <v>5.5077562147872655E-2</v>
      </c>
      <c r="P31" s="39">
        <f t="shared" si="9"/>
        <v>0.82917672141000887</v>
      </c>
      <c r="R31">
        <f t="shared" si="10"/>
        <v>3.3494676436822179</v>
      </c>
    </row>
    <row r="32" spans="1:18" ht="17.25">
      <c r="B32" s="261" t="s">
        <v>240</v>
      </c>
      <c r="C32" s="92">
        <f t="shared" si="0"/>
        <v>12.14</v>
      </c>
      <c r="D32" s="55">
        <f t="shared" si="1"/>
        <v>3.8639705999999996</v>
      </c>
      <c r="E32" s="55"/>
      <c r="F32" s="55">
        <f t="shared" si="2"/>
        <v>42.21</v>
      </c>
      <c r="G32" s="55"/>
      <c r="H32" s="55"/>
      <c r="I32" s="23">
        <f t="shared" si="3"/>
        <v>11.901960784313726</v>
      </c>
      <c r="J32" s="23">
        <f t="shared" si="4"/>
        <v>6.8876481283422448</v>
      </c>
      <c r="K32" s="23">
        <f t="shared" si="5"/>
        <v>70.232945091514139</v>
      </c>
      <c r="L32" s="23">
        <f t="shared" si="6"/>
        <v>89.022554004170104</v>
      </c>
      <c r="M32" s="23"/>
      <c r="N32" s="23">
        <f t="shared" si="7"/>
        <v>0.13369601577321855</v>
      </c>
      <c r="O32" s="23">
        <f t="shared" si="8"/>
        <v>7.7369698110656374E-2</v>
      </c>
      <c r="P32" s="39">
        <f t="shared" si="9"/>
        <v>0.78893428611612515</v>
      </c>
      <c r="R32">
        <f t="shared" si="10"/>
        <v>3.2786374947936894</v>
      </c>
    </row>
    <row r="33" spans="2:18" ht="17.25">
      <c r="B33" s="261" t="s">
        <v>241</v>
      </c>
      <c r="C33" s="92">
        <f t="shared" si="0"/>
        <v>10.189999999999998</v>
      </c>
      <c r="D33" s="55">
        <f t="shared" si="1"/>
        <v>2.4652418999999997</v>
      </c>
      <c r="E33" s="55"/>
      <c r="F33" s="55">
        <f t="shared" si="2"/>
        <v>42.95</v>
      </c>
      <c r="G33" s="55"/>
      <c r="H33" s="55"/>
      <c r="I33" s="23">
        <f t="shared" si="3"/>
        <v>9.9901960784313708</v>
      </c>
      <c r="J33" s="23">
        <f t="shared" si="4"/>
        <v>4.3943705882352937</v>
      </c>
      <c r="K33" s="23">
        <f t="shared" si="5"/>
        <v>71.46422628951747</v>
      </c>
      <c r="L33" s="23">
        <f t="shared" si="6"/>
        <v>85.848792956184127</v>
      </c>
      <c r="M33" s="23"/>
      <c r="N33" s="23">
        <f t="shared" si="7"/>
        <v>0.11636967433578489</v>
      </c>
      <c r="O33" s="23">
        <f t="shared" si="8"/>
        <v>5.1187331084295053E-2</v>
      </c>
      <c r="P33" s="39">
        <f t="shared" si="9"/>
        <v>0.8324429945799201</v>
      </c>
      <c r="R33">
        <f t="shared" si="10"/>
        <v>3.3549195550939035</v>
      </c>
    </row>
    <row r="34" spans="2:18" ht="17.25">
      <c r="B34" s="261" t="s">
        <v>242</v>
      </c>
      <c r="C34" s="92">
        <f t="shared" si="0"/>
        <v>12.589999999999996</v>
      </c>
      <c r="D34" s="55">
        <f t="shared" si="1"/>
        <v>2.4188149999999999</v>
      </c>
      <c r="E34" s="55"/>
      <c r="F34" s="55">
        <f t="shared" si="2"/>
        <v>41.84</v>
      </c>
      <c r="G34" s="55"/>
      <c r="H34" s="55"/>
      <c r="I34" s="23">
        <f t="shared" si="3"/>
        <v>12.343137254901956</v>
      </c>
      <c r="J34" s="23">
        <f t="shared" si="4"/>
        <v>4.3116131907308377</v>
      </c>
      <c r="K34" s="23">
        <f t="shared" si="5"/>
        <v>69.617304492512474</v>
      </c>
      <c r="L34" s="23">
        <f t="shared" si="6"/>
        <v>86.27205493814526</v>
      </c>
      <c r="M34" s="23"/>
      <c r="N34" s="23">
        <f t="shared" si="7"/>
        <v>0.14307225281409666</v>
      </c>
      <c r="O34" s="23">
        <f t="shared" si="8"/>
        <v>4.9976938579035221E-2</v>
      </c>
      <c r="P34" s="39">
        <f t="shared" si="9"/>
        <v>0.80695080860686819</v>
      </c>
      <c r="R34">
        <f t="shared" si="10"/>
        <v>3.3090766433294529</v>
      </c>
    </row>
    <row r="35" spans="2:18" ht="17.25">
      <c r="B35" s="261" t="s">
        <v>243</v>
      </c>
      <c r="C35" s="92">
        <f t="shared" si="0"/>
        <v>10.100000000000001</v>
      </c>
      <c r="D35" s="55">
        <f t="shared" si="1"/>
        <v>7.5904620000000005</v>
      </c>
      <c r="E35" s="55"/>
      <c r="F35" s="55">
        <f t="shared" si="2"/>
        <v>40.44</v>
      </c>
      <c r="G35" s="55"/>
      <c r="H35" s="55"/>
      <c r="I35" s="23">
        <f t="shared" si="3"/>
        <v>9.9019607843137258</v>
      </c>
      <c r="J35" s="23">
        <f t="shared" si="4"/>
        <v>13.530235294117647</v>
      </c>
      <c r="K35" s="23">
        <f t="shared" si="5"/>
        <v>67.287853577371052</v>
      </c>
      <c r="L35" s="23">
        <f t="shared" si="6"/>
        <v>90.720049655802427</v>
      </c>
      <c r="M35" s="23"/>
      <c r="N35" s="23">
        <f t="shared" si="7"/>
        <v>0.10914853796798379</v>
      </c>
      <c r="O35" s="23">
        <f t="shared" si="8"/>
        <v>0.14914272363664052</v>
      </c>
      <c r="P35" s="39">
        <f t="shared" si="9"/>
        <v>0.74170873839537566</v>
      </c>
      <c r="R35">
        <f t="shared" si="10"/>
        <v>3.1915749111576086</v>
      </c>
    </row>
    <row r="36" spans="2:18" ht="17.25">
      <c r="B36" s="261" t="s">
        <v>244</v>
      </c>
      <c r="C36" s="92">
        <f t="shared" si="0"/>
        <v>8.1499999999999986</v>
      </c>
      <c r="D36" s="55">
        <f t="shared" si="1"/>
        <v>1.7028724</v>
      </c>
      <c r="E36" s="55"/>
      <c r="F36" s="55">
        <f t="shared" si="2"/>
        <v>44.89</v>
      </c>
      <c r="G36" s="55"/>
      <c r="H36" s="55"/>
      <c r="I36" s="23">
        <f t="shared" si="3"/>
        <v>7.9901960784313717</v>
      </c>
      <c r="J36" s="23">
        <f t="shared" si="4"/>
        <v>3.0354231729055257</v>
      </c>
      <c r="K36" s="23">
        <f t="shared" si="5"/>
        <v>74.692179700499167</v>
      </c>
      <c r="L36" s="23">
        <f t="shared" si="6"/>
        <v>85.717798951836059</v>
      </c>
      <c r="M36" s="23"/>
      <c r="N36" s="23">
        <f t="shared" si="7"/>
        <v>9.3215133567778372E-2</v>
      </c>
      <c r="O36" s="23">
        <f t="shared" si="8"/>
        <v>3.5411818899025845E-2</v>
      </c>
      <c r="P36" s="39">
        <f t="shared" si="9"/>
        <v>0.87137304753319589</v>
      </c>
      <c r="R36">
        <f t="shared" si="10"/>
        <v>3.4241400073821073</v>
      </c>
    </row>
    <row r="37" spans="2:18" ht="17.25">
      <c r="B37" s="261" t="s">
        <v>245</v>
      </c>
      <c r="C37" s="92">
        <f t="shared" si="0"/>
        <v>10.009999999999998</v>
      </c>
      <c r="D37" s="55">
        <f t="shared" si="1"/>
        <v>1.1411100000000001</v>
      </c>
      <c r="E37" s="55"/>
      <c r="F37" s="55">
        <f t="shared" si="2"/>
        <v>50.99</v>
      </c>
      <c r="G37" s="55"/>
      <c r="H37" s="55"/>
      <c r="I37" s="23">
        <f t="shared" si="3"/>
        <v>9.8137254901960755</v>
      </c>
      <c r="J37" s="23">
        <f t="shared" si="4"/>
        <v>2.0340641711229948</v>
      </c>
      <c r="K37" s="23">
        <f t="shared" si="5"/>
        <v>84.84193011647254</v>
      </c>
      <c r="L37" s="23">
        <f t="shared" si="6"/>
        <v>96.689719777791609</v>
      </c>
      <c r="M37" s="23"/>
      <c r="N37" s="23">
        <f t="shared" si="7"/>
        <v>0.10149709310099958</v>
      </c>
      <c r="O37" s="23">
        <f t="shared" si="8"/>
        <v>2.103702622985772E-2</v>
      </c>
      <c r="P37" s="39">
        <f t="shared" si="9"/>
        <v>0.87746588066914266</v>
      </c>
      <c r="R37">
        <f t="shared" si="10"/>
        <v>3.4322451435994594</v>
      </c>
    </row>
    <row r="38" spans="2:18" ht="17.25">
      <c r="B38" s="261" t="s">
        <v>246</v>
      </c>
      <c r="C38" s="92">
        <f t="shared" si="0"/>
        <v>10.75</v>
      </c>
      <c r="D38" s="55">
        <f t="shared" si="1"/>
        <v>2.5836144000000001</v>
      </c>
      <c r="E38" s="55"/>
      <c r="F38" s="55">
        <f t="shared" si="2"/>
        <v>43.3</v>
      </c>
      <c r="G38" s="55"/>
      <c r="H38" s="55"/>
      <c r="I38" s="23">
        <f t="shared" si="3"/>
        <v>10.53921568627451</v>
      </c>
      <c r="J38" s="23">
        <f t="shared" si="4"/>
        <v>4.605373262032086</v>
      </c>
      <c r="K38" s="23">
        <f t="shared" si="5"/>
        <v>72.046589018302825</v>
      </c>
      <c r="L38" s="23">
        <f t="shared" si="6"/>
        <v>87.191177966609416</v>
      </c>
      <c r="M38" s="23"/>
      <c r="N38" s="23">
        <f t="shared" si="7"/>
        <v>0.12087479412550878</v>
      </c>
      <c r="O38" s="23">
        <f t="shared" si="8"/>
        <v>5.2819257285361507E-2</v>
      </c>
      <c r="P38" s="39">
        <f t="shared" si="9"/>
        <v>0.82630594858912976</v>
      </c>
      <c r="R38">
        <f t="shared" si="10"/>
        <v>3.3439643750864971</v>
      </c>
    </row>
    <row r="39" spans="2:18" ht="17.25">
      <c r="B39" s="261" t="s">
        <v>247</v>
      </c>
      <c r="C39" s="92">
        <f t="shared" si="0"/>
        <v>8.5200000000000031</v>
      </c>
      <c r="D39" s="55">
        <f t="shared" si="1"/>
        <v>5.0980160000000003</v>
      </c>
      <c r="E39" s="55"/>
      <c r="F39" s="55">
        <f t="shared" si="2"/>
        <v>38.58</v>
      </c>
      <c r="G39" s="55"/>
      <c r="H39" s="55"/>
      <c r="I39" s="23">
        <f t="shared" si="3"/>
        <v>8.3529411764705923</v>
      </c>
      <c r="J39" s="23">
        <f t="shared" si="4"/>
        <v>9.0873725490196069</v>
      </c>
      <c r="K39" s="23">
        <f t="shared" si="5"/>
        <v>64.193011647254579</v>
      </c>
      <c r="L39" s="23">
        <f t="shared" si="6"/>
        <v>81.633325372744778</v>
      </c>
      <c r="M39" s="23"/>
      <c r="N39" s="23">
        <f t="shared" si="7"/>
        <v>0.10232268670093182</v>
      </c>
      <c r="O39" s="23">
        <f t="shared" si="8"/>
        <v>0.11131939691940618</v>
      </c>
      <c r="P39" s="39">
        <f t="shared" si="9"/>
        <v>0.78635791637966201</v>
      </c>
      <c r="R39">
        <f t="shared" si="10"/>
        <v>3.2751403000254697</v>
      </c>
    </row>
    <row r="40" spans="2:18" ht="17.25">
      <c r="B40" s="262" t="s">
        <v>248</v>
      </c>
      <c r="C40" s="75">
        <f t="shared" si="0"/>
        <v>13.61</v>
      </c>
      <c r="D40" s="56">
        <f t="shared" si="1"/>
        <v>5.7086855999999999</v>
      </c>
      <c r="E40" s="56"/>
      <c r="F40" s="56">
        <f t="shared" si="2"/>
        <v>49.78</v>
      </c>
      <c r="G40" s="56"/>
      <c r="H40" s="56"/>
      <c r="I40" s="50">
        <f t="shared" si="3"/>
        <v>13.343137254901961</v>
      </c>
      <c r="J40" s="50">
        <f t="shared" si="4"/>
        <v>10.175910160427808</v>
      </c>
      <c r="K40" s="50">
        <f t="shared" si="5"/>
        <v>82.828618968386024</v>
      </c>
      <c r="L40" s="50">
        <f t="shared" si="6"/>
        <v>106.34766638371579</v>
      </c>
      <c r="M40" s="50"/>
      <c r="N40" s="50">
        <f t="shared" si="7"/>
        <v>0.12546713725488098</v>
      </c>
      <c r="O40" s="50">
        <f t="shared" si="8"/>
        <v>9.5685316908711862E-2</v>
      </c>
      <c r="P40" s="41">
        <f t="shared" si="9"/>
        <v>0.77884754583640714</v>
      </c>
      <c r="R40">
        <f t="shared" si="10"/>
        <v>3.2610020597880496</v>
      </c>
    </row>
  </sheetData>
  <mergeCells count="1">
    <mergeCell ref="A2:A18"/>
  </mergeCells>
  <phoneticPr fontId="6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7A10-7DE5-4C3F-9D85-83CEB8B0FD37}">
  <dimension ref="A1:R32"/>
  <sheetViews>
    <sheetView workbookViewId="0">
      <selection activeCell="R15" sqref="R15:R22"/>
    </sheetView>
  </sheetViews>
  <sheetFormatPr defaultRowHeight="16.5"/>
  <cols>
    <col min="9" max="9" width="12.25" customWidth="1"/>
    <col min="11" max="12" width="11.5" customWidth="1"/>
    <col min="13" max="13" width="9.75" customWidth="1"/>
  </cols>
  <sheetData>
    <row r="1" spans="1:18">
      <c r="A1" s="146" t="s">
        <v>250</v>
      </c>
      <c r="B1" s="147" t="s">
        <v>18</v>
      </c>
      <c r="C1" s="147" t="s">
        <v>20</v>
      </c>
      <c r="D1" s="147" t="s">
        <v>22</v>
      </c>
      <c r="E1" s="147" t="s">
        <v>21</v>
      </c>
      <c r="F1" s="147" t="s">
        <v>19</v>
      </c>
      <c r="G1" s="147" t="s">
        <v>23</v>
      </c>
      <c r="H1" s="147" t="s">
        <v>33</v>
      </c>
      <c r="I1" s="272" t="s">
        <v>251</v>
      </c>
      <c r="K1" t="s">
        <v>252</v>
      </c>
      <c r="L1" t="s">
        <v>253</v>
      </c>
    </row>
    <row r="2" spans="1:18">
      <c r="A2" s="332">
        <v>17</v>
      </c>
      <c r="B2" s="268" t="s">
        <v>255</v>
      </c>
      <c r="C2" s="268">
        <v>23.8</v>
      </c>
      <c r="D2" s="268">
        <v>3.1</v>
      </c>
      <c r="E2" s="268">
        <v>6.62</v>
      </c>
      <c r="F2" s="268">
        <v>59.1</v>
      </c>
      <c r="G2" s="268">
        <v>1.41</v>
      </c>
      <c r="H2" s="268">
        <v>1.5641</v>
      </c>
      <c r="I2" s="269">
        <v>83.67</v>
      </c>
      <c r="K2">
        <v>18.559999999999999</v>
      </c>
      <c r="L2">
        <v>38.909999999999997</v>
      </c>
    </row>
    <row r="3" spans="1:18">
      <c r="A3" s="330"/>
      <c r="B3" s="268" t="s">
        <v>63</v>
      </c>
      <c r="C3" s="268">
        <v>25.5</v>
      </c>
      <c r="D3" s="268">
        <v>6.49</v>
      </c>
      <c r="E3" s="268">
        <v>8.5</v>
      </c>
      <c r="F3" s="268">
        <v>48.3</v>
      </c>
      <c r="G3" s="268">
        <v>1.67</v>
      </c>
      <c r="H3" s="268">
        <v>2.32986</v>
      </c>
      <c r="I3" s="269">
        <v>91.22</v>
      </c>
      <c r="K3">
        <v>20.93</v>
      </c>
      <c r="L3">
        <v>53.19</v>
      </c>
    </row>
    <row r="4" spans="1:18">
      <c r="A4" s="330"/>
      <c r="B4" s="268" t="s">
        <v>256</v>
      </c>
      <c r="C4" s="268">
        <v>21.8</v>
      </c>
      <c r="D4" s="268">
        <v>4.9400000000000004</v>
      </c>
      <c r="E4" s="268">
        <v>6.39</v>
      </c>
      <c r="F4" s="268">
        <v>56.7</v>
      </c>
      <c r="G4" s="268">
        <v>1.6</v>
      </c>
      <c r="H4" s="268">
        <v>1.8898600000000001</v>
      </c>
      <c r="I4" s="269">
        <v>76</v>
      </c>
      <c r="K4">
        <v>15</v>
      </c>
      <c r="L4">
        <v>39.799999999999997</v>
      </c>
    </row>
    <row r="5" spans="1:18">
      <c r="A5" s="330"/>
      <c r="B5" s="268" t="s">
        <v>50</v>
      </c>
      <c r="C5" s="268">
        <v>20.399999999999999</v>
      </c>
      <c r="D5" s="268">
        <v>10.6</v>
      </c>
      <c r="E5" s="268">
        <v>4.3</v>
      </c>
      <c r="F5" s="268">
        <v>42.1</v>
      </c>
      <c r="G5" s="268">
        <v>1.0900000000000001</v>
      </c>
      <c r="H5" s="268">
        <v>2.1418400000000002</v>
      </c>
      <c r="I5" s="269">
        <v>75.33</v>
      </c>
      <c r="K5">
        <v>12.9</v>
      </c>
      <c r="L5">
        <v>31.03</v>
      </c>
    </row>
    <row r="6" spans="1:18">
      <c r="A6" s="330"/>
      <c r="B6" s="268" t="s">
        <v>257</v>
      </c>
      <c r="C6" s="268">
        <v>21.7</v>
      </c>
      <c r="D6" s="268">
        <v>5.8</v>
      </c>
      <c r="E6" s="268">
        <v>7.83</v>
      </c>
      <c r="F6" s="268">
        <v>54.7</v>
      </c>
      <c r="G6" s="268">
        <v>2.13</v>
      </c>
      <c r="H6" s="268">
        <v>1.3606400000000001</v>
      </c>
      <c r="I6" s="269">
        <v>74.56</v>
      </c>
      <c r="K6">
        <v>11.63</v>
      </c>
      <c r="L6">
        <v>31.53</v>
      </c>
    </row>
    <row r="7" spans="1:18">
      <c r="A7" s="330"/>
      <c r="B7" s="268" t="s">
        <v>258</v>
      </c>
      <c r="C7" s="268">
        <v>22.9</v>
      </c>
      <c r="D7" s="268">
        <v>5.45</v>
      </c>
      <c r="E7" s="268">
        <v>7.7</v>
      </c>
      <c r="F7" s="268">
        <v>55.9</v>
      </c>
      <c r="G7" s="268">
        <v>1.8</v>
      </c>
      <c r="H7" s="268">
        <v>2.19834</v>
      </c>
      <c r="I7" s="269">
        <v>69.33</v>
      </c>
      <c r="K7">
        <v>12.47</v>
      </c>
      <c r="L7">
        <v>35.369999999999997</v>
      </c>
    </row>
    <row r="8" spans="1:18">
      <c r="A8" s="330"/>
      <c r="B8" s="268" t="s">
        <v>259</v>
      </c>
      <c r="C8" s="268">
        <v>21.2</v>
      </c>
      <c r="D8" s="268">
        <v>3.9</v>
      </c>
      <c r="E8" s="268">
        <v>6.34</v>
      </c>
      <c r="F8" s="268">
        <v>62.7</v>
      </c>
      <c r="G8" s="268">
        <v>1.46</v>
      </c>
      <c r="H8" s="268">
        <v>0.79012000000000004</v>
      </c>
      <c r="I8" s="269">
        <v>79.78</v>
      </c>
      <c r="K8">
        <v>17.13</v>
      </c>
      <c r="L8">
        <v>46.55</v>
      </c>
    </row>
    <row r="9" spans="1:18">
      <c r="A9" s="331"/>
      <c r="B9" s="270" t="s">
        <v>260</v>
      </c>
      <c r="C9" s="270">
        <v>21.6</v>
      </c>
      <c r="D9" s="270">
        <v>5.14</v>
      </c>
      <c r="E9" s="270">
        <v>7.46</v>
      </c>
      <c r="F9" s="270">
        <v>47</v>
      </c>
      <c r="G9" s="270">
        <v>1.91</v>
      </c>
      <c r="H9" s="270">
        <v>3.0063</v>
      </c>
      <c r="I9" s="271">
        <v>73.7</v>
      </c>
      <c r="K9">
        <v>11.29</v>
      </c>
      <c r="L9">
        <v>37.4</v>
      </c>
    </row>
    <row r="11" spans="1:18" ht="51.75">
      <c r="B11" s="44" t="s">
        <v>106</v>
      </c>
      <c r="C11" s="45" t="s">
        <v>105</v>
      </c>
      <c r="D11" s="46" t="s">
        <v>107</v>
      </c>
    </row>
    <row r="12" spans="1:18" ht="17.25">
      <c r="B12" s="87">
        <v>102</v>
      </c>
      <c r="C12" s="81">
        <v>56.1</v>
      </c>
      <c r="D12" s="79">
        <v>60.1</v>
      </c>
    </row>
    <row r="14" spans="1:18" ht="51.75">
      <c r="B14" s="273"/>
      <c r="C14" s="45" t="s">
        <v>104</v>
      </c>
      <c r="D14" s="45" t="s">
        <v>119</v>
      </c>
      <c r="E14" s="45"/>
      <c r="F14" s="263" t="s">
        <v>120</v>
      </c>
      <c r="G14" s="263"/>
      <c r="H14" s="45"/>
      <c r="I14" s="45" t="s">
        <v>109</v>
      </c>
      <c r="J14" s="45" t="s">
        <v>108</v>
      </c>
      <c r="K14" s="45" t="s">
        <v>110</v>
      </c>
      <c r="L14" s="45" t="s">
        <v>111</v>
      </c>
      <c r="M14" s="45"/>
      <c r="N14" s="45" t="s">
        <v>113</v>
      </c>
      <c r="O14" s="45" t="s">
        <v>112</v>
      </c>
      <c r="P14" s="46" t="s">
        <v>114</v>
      </c>
      <c r="R14" s="255" t="s">
        <v>273</v>
      </c>
    </row>
    <row r="15" spans="1:18" ht="17.25">
      <c r="B15" s="274" t="s">
        <v>255</v>
      </c>
      <c r="C15" s="55">
        <f>K2</f>
        <v>18.559999999999999</v>
      </c>
      <c r="D15" s="55">
        <f>D2*I2*0.01</f>
        <v>2.5937700000000001</v>
      </c>
      <c r="E15" s="55"/>
      <c r="F15" s="55">
        <f>L2</f>
        <v>38.909999999999997</v>
      </c>
      <c r="G15" s="55"/>
      <c r="H15" s="55"/>
      <c r="I15" s="23">
        <f>100*C15/$B$12</f>
        <v>18.196078431372548</v>
      </c>
      <c r="J15" s="23">
        <f>100*D15/$C$12</f>
        <v>4.6234759358288766</v>
      </c>
      <c r="K15" s="23">
        <f>100*F15/$D$12</f>
        <v>64.742096505823625</v>
      </c>
      <c r="L15" s="23">
        <f>SUM(I15:K15)</f>
        <v>87.561650873025059</v>
      </c>
      <c r="M15" s="23"/>
      <c r="N15" s="23">
        <f>I15/L15</f>
        <v>0.20780876388179403</v>
      </c>
      <c r="O15" s="23">
        <f>J15/L15</f>
        <v>5.2802521306199147E-2</v>
      </c>
      <c r="P15" s="39">
        <f>K15/L15</f>
        <v>0.73938871481200674</v>
      </c>
      <c r="R15">
        <f>(11-12*O15+N15)/(3-2*O15+2*N15)</f>
        <v>3.1946038136241084</v>
      </c>
    </row>
    <row r="16" spans="1:18" ht="17.25">
      <c r="B16" s="274" t="s">
        <v>63</v>
      </c>
      <c r="C16" s="55">
        <f t="shared" ref="C16:C22" si="0">K3</f>
        <v>20.93</v>
      </c>
      <c r="D16" s="55">
        <f t="shared" ref="D16:D22" si="1">D3*I3*0.01</f>
        <v>5.9201779999999999</v>
      </c>
      <c r="E16" s="55"/>
      <c r="F16" s="55">
        <f t="shared" ref="F16:F22" si="2">L3</f>
        <v>53.19</v>
      </c>
      <c r="G16" s="55"/>
      <c r="H16" s="55"/>
      <c r="I16" s="23">
        <f t="shared" ref="I16:I22" si="3">100*C16/$B$12</f>
        <v>20.519607843137255</v>
      </c>
      <c r="J16" s="23">
        <f t="shared" ref="J16:J22" si="4">100*D16/$C$12</f>
        <v>10.552901960784313</v>
      </c>
      <c r="K16" s="23">
        <f t="shared" ref="K16:K22" si="5">100*F16/$D$12</f>
        <v>88.502495840266221</v>
      </c>
      <c r="L16" s="23">
        <f t="shared" ref="L16:L22" si="6">SUM(I16:K16)</f>
        <v>119.5750056441878</v>
      </c>
      <c r="M16" s="23"/>
      <c r="N16" s="23">
        <f t="shared" ref="N16:N22" si="7">I16/L16</f>
        <v>0.17160448985631852</v>
      </c>
      <c r="O16" s="23">
        <f t="shared" ref="O16:O22" si="8">J16/L16</f>
        <v>8.825340968150111E-2</v>
      </c>
      <c r="P16" s="39">
        <f t="shared" ref="P16:P22" si="9">K16/L16</f>
        <v>0.74014210046218032</v>
      </c>
      <c r="R16">
        <f t="shared" ref="R16:R22" si="10">(11-12*O16+N16)/(3-2*O16+2*N16)</f>
        <v>3.1934053351458163</v>
      </c>
    </row>
    <row r="17" spans="2:18" ht="17.25">
      <c r="B17" s="274" t="s">
        <v>256</v>
      </c>
      <c r="C17" s="55">
        <f t="shared" si="0"/>
        <v>15</v>
      </c>
      <c r="D17" s="55">
        <f t="shared" si="1"/>
        <v>3.7544000000000004</v>
      </c>
      <c r="E17" s="55"/>
      <c r="F17" s="55">
        <f t="shared" si="2"/>
        <v>39.799999999999997</v>
      </c>
      <c r="G17" s="55"/>
      <c r="H17" s="55"/>
      <c r="I17" s="23">
        <f t="shared" si="3"/>
        <v>14.705882352941176</v>
      </c>
      <c r="J17" s="23">
        <f t="shared" si="4"/>
        <v>6.6923351158645286</v>
      </c>
      <c r="K17" s="23">
        <f t="shared" si="5"/>
        <v>66.222961730449242</v>
      </c>
      <c r="L17" s="23">
        <f t="shared" si="6"/>
        <v>87.621179199254954</v>
      </c>
      <c r="M17" s="23"/>
      <c r="N17" s="23">
        <f t="shared" si="7"/>
        <v>0.16783479162611201</v>
      </c>
      <c r="O17" s="23">
        <f t="shared" si="8"/>
        <v>7.6378053537100005E-2</v>
      </c>
      <c r="P17" s="39">
        <f t="shared" si="9"/>
        <v>0.75578715483678793</v>
      </c>
      <c r="R17">
        <f t="shared" si="10"/>
        <v>3.2207278727194479</v>
      </c>
    </row>
    <row r="18" spans="2:18" ht="17.25">
      <c r="B18" s="274" t="s">
        <v>50</v>
      </c>
      <c r="C18" s="55">
        <f t="shared" si="0"/>
        <v>12.9</v>
      </c>
      <c r="D18" s="55">
        <f t="shared" si="1"/>
        <v>7.9849799999999993</v>
      </c>
      <c r="E18" s="55"/>
      <c r="F18" s="55">
        <f t="shared" si="2"/>
        <v>31.03</v>
      </c>
      <c r="G18" s="55"/>
      <c r="H18" s="55"/>
      <c r="I18" s="23">
        <f t="shared" si="3"/>
        <v>12.647058823529411</v>
      </c>
      <c r="J18" s="23">
        <f t="shared" si="4"/>
        <v>14.233475935828876</v>
      </c>
      <c r="K18" s="23">
        <f t="shared" si="5"/>
        <v>51.630615640599004</v>
      </c>
      <c r="L18" s="23">
        <f t="shared" si="6"/>
        <v>78.511150399957288</v>
      </c>
      <c r="M18" s="23"/>
      <c r="N18" s="23">
        <f t="shared" si="7"/>
        <v>0.16108614838913748</v>
      </c>
      <c r="O18" s="23">
        <f t="shared" si="8"/>
        <v>0.18129241341286753</v>
      </c>
      <c r="P18" s="39">
        <f t="shared" si="9"/>
        <v>0.65762143819799501</v>
      </c>
      <c r="R18">
        <f t="shared" si="10"/>
        <v>3.0360911034600444</v>
      </c>
    </row>
    <row r="19" spans="2:18" ht="17.25">
      <c r="B19" s="274" t="s">
        <v>257</v>
      </c>
      <c r="C19" s="55">
        <f t="shared" si="0"/>
        <v>11.63</v>
      </c>
      <c r="D19" s="55">
        <f t="shared" si="1"/>
        <v>4.3244800000000003</v>
      </c>
      <c r="E19" s="55"/>
      <c r="F19" s="55">
        <f t="shared" si="2"/>
        <v>31.53</v>
      </c>
      <c r="G19" s="55"/>
      <c r="H19" s="55"/>
      <c r="I19" s="23">
        <f t="shared" si="3"/>
        <v>11.401960784313726</v>
      </c>
      <c r="J19" s="23">
        <f t="shared" si="4"/>
        <v>7.7085204991087348</v>
      </c>
      <c r="K19" s="23">
        <f t="shared" si="5"/>
        <v>52.462562396006653</v>
      </c>
      <c r="L19" s="23">
        <f t="shared" si="6"/>
        <v>71.573043679429105</v>
      </c>
      <c r="M19" s="23"/>
      <c r="N19" s="23">
        <f t="shared" si="7"/>
        <v>0.1593052383713392</v>
      </c>
      <c r="O19" s="23">
        <f t="shared" si="8"/>
        <v>0.10770144879732493</v>
      </c>
      <c r="P19" s="39">
        <f t="shared" si="9"/>
        <v>0.73299331283133595</v>
      </c>
      <c r="R19">
        <f t="shared" si="10"/>
        <v>3.1795771314506611</v>
      </c>
    </row>
    <row r="20" spans="2:18" ht="17.25">
      <c r="B20" s="274" t="s">
        <v>258</v>
      </c>
      <c r="C20" s="55">
        <f t="shared" si="0"/>
        <v>12.47</v>
      </c>
      <c r="D20" s="55">
        <f t="shared" si="1"/>
        <v>3.7784849999999999</v>
      </c>
      <c r="E20" s="55"/>
      <c r="F20" s="55">
        <f t="shared" si="2"/>
        <v>35.369999999999997</v>
      </c>
      <c r="G20" s="55"/>
      <c r="H20" s="55"/>
      <c r="I20" s="23">
        <f t="shared" si="3"/>
        <v>12.225490196078431</v>
      </c>
      <c r="J20" s="23">
        <f t="shared" si="4"/>
        <v>6.7352673796791445</v>
      </c>
      <c r="K20" s="23">
        <f t="shared" si="5"/>
        <v>58.85191347753743</v>
      </c>
      <c r="L20" s="23">
        <f t="shared" si="6"/>
        <v>77.812671053295006</v>
      </c>
      <c r="M20" s="23"/>
      <c r="N20" s="23">
        <f t="shared" si="7"/>
        <v>0.15711438806290326</v>
      </c>
      <c r="O20" s="23">
        <f t="shared" si="8"/>
        <v>8.6557462795051263E-2</v>
      </c>
      <c r="P20" s="39">
        <f t="shared" si="9"/>
        <v>0.75632814914204549</v>
      </c>
      <c r="R20">
        <f t="shared" si="10"/>
        <v>3.2212856063133879</v>
      </c>
    </row>
    <row r="21" spans="2:18" ht="17.25">
      <c r="B21" s="274" t="s">
        <v>259</v>
      </c>
      <c r="C21" s="55">
        <f t="shared" si="0"/>
        <v>17.13</v>
      </c>
      <c r="D21" s="55">
        <f t="shared" si="1"/>
        <v>3.1114199999999999</v>
      </c>
      <c r="E21" s="55"/>
      <c r="F21" s="55">
        <f t="shared" si="2"/>
        <v>46.55</v>
      </c>
      <c r="G21" s="55"/>
      <c r="H21" s="55"/>
      <c r="I21" s="23">
        <f t="shared" si="3"/>
        <v>16.794117647058822</v>
      </c>
      <c r="J21" s="23">
        <f t="shared" si="4"/>
        <v>5.5462032085561495</v>
      </c>
      <c r="K21" s="23">
        <f t="shared" si="5"/>
        <v>77.454242928452572</v>
      </c>
      <c r="L21" s="23">
        <f t="shared" si="6"/>
        <v>99.794563784067549</v>
      </c>
      <c r="M21" s="23"/>
      <c r="N21" s="23">
        <f t="shared" si="7"/>
        <v>0.16828689870720237</v>
      </c>
      <c r="O21" s="23">
        <f t="shared" si="8"/>
        <v>5.5576205739591746E-2</v>
      </c>
      <c r="P21" s="39">
        <f t="shared" si="9"/>
        <v>0.77613689555320586</v>
      </c>
      <c r="R21">
        <f t="shared" si="10"/>
        <v>3.2558141009495398</v>
      </c>
    </row>
    <row r="22" spans="2:18" ht="17.25">
      <c r="B22" s="275" t="s">
        <v>260</v>
      </c>
      <c r="C22" s="56">
        <f t="shared" si="0"/>
        <v>11.29</v>
      </c>
      <c r="D22" s="56">
        <f t="shared" si="1"/>
        <v>3.7881800000000001</v>
      </c>
      <c r="E22" s="56"/>
      <c r="F22" s="56">
        <f t="shared" si="2"/>
        <v>37.4</v>
      </c>
      <c r="G22" s="56"/>
      <c r="H22" s="56"/>
      <c r="I22" s="50">
        <f t="shared" si="3"/>
        <v>11.068627450980392</v>
      </c>
      <c r="J22" s="50">
        <f t="shared" si="4"/>
        <v>6.7525490196078426</v>
      </c>
      <c r="K22" s="50">
        <f t="shared" si="5"/>
        <v>62.229617304492514</v>
      </c>
      <c r="L22" s="50">
        <f t="shared" si="6"/>
        <v>80.050793775080749</v>
      </c>
      <c r="M22" s="50"/>
      <c r="N22" s="50">
        <f t="shared" si="7"/>
        <v>0.13827005241297155</v>
      </c>
      <c r="O22" s="50">
        <f t="shared" si="8"/>
        <v>8.4353304960104764E-2</v>
      </c>
      <c r="P22" s="41">
        <f t="shared" si="9"/>
        <v>0.77737664262692363</v>
      </c>
      <c r="R22">
        <f t="shared" si="10"/>
        <v>3.2582280902403546</v>
      </c>
    </row>
    <row r="23" spans="2:18" ht="17.25">
      <c r="B23" s="260"/>
      <c r="C23" s="55"/>
      <c r="D23" s="55"/>
      <c r="E23" s="55"/>
      <c r="F23" s="55"/>
      <c r="G23" s="55"/>
      <c r="H23" s="55"/>
      <c r="I23" s="23"/>
      <c r="J23" s="23"/>
      <c r="K23" s="23"/>
      <c r="L23" s="23"/>
      <c r="M23" s="23"/>
      <c r="N23" s="23"/>
      <c r="O23" s="23"/>
      <c r="P23" s="23"/>
    </row>
    <row r="24" spans="2:18" ht="17.25">
      <c r="B24" s="260"/>
      <c r="C24" s="55"/>
      <c r="D24" s="55"/>
      <c r="E24" s="55"/>
      <c r="F24" s="55"/>
      <c r="G24" s="55"/>
      <c r="H24" s="55"/>
      <c r="I24" s="23"/>
      <c r="J24" s="23"/>
      <c r="K24" s="23"/>
      <c r="L24" s="23"/>
      <c r="M24" s="23"/>
      <c r="N24" s="23"/>
      <c r="O24" s="23"/>
      <c r="P24" s="23"/>
    </row>
    <row r="25" spans="2:18" ht="17.25">
      <c r="B25" s="260"/>
      <c r="C25" s="55"/>
      <c r="D25" s="55"/>
      <c r="E25" s="55"/>
      <c r="F25" s="55"/>
      <c r="G25" s="55"/>
      <c r="H25" s="55"/>
      <c r="I25" s="23"/>
      <c r="J25" s="23"/>
      <c r="K25" s="23"/>
      <c r="L25" s="23"/>
      <c r="M25" s="23"/>
      <c r="N25" s="23"/>
      <c r="O25" s="23"/>
      <c r="P25" s="23"/>
    </row>
    <row r="26" spans="2:18" ht="17.25">
      <c r="B26" s="260"/>
      <c r="C26" s="55"/>
      <c r="D26" s="55"/>
      <c r="E26" s="55"/>
      <c r="F26" s="55"/>
      <c r="G26" s="55"/>
      <c r="H26" s="55"/>
      <c r="I26" s="23"/>
      <c r="J26" s="23"/>
      <c r="K26" s="23"/>
      <c r="L26" s="23"/>
      <c r="M26" s="23"/>
      <c r="N26" s="23"/>
      <c r="O26" s="23"/>
      <c r="P26" s="23"/>
    </row>
    <row r="27" spans="2:18" ht="17.25">
      <c r="B27" s="260"/>
      <c r="C27" s="55"/>
      <c r="D27" s="55"/>
      <c r="E27" s="55"/>
      <c r="F27" s="55"/>
      <c r="G27" s="55"/>
      <c r="H27" s="55"/>
      <c r="I27" s="23"/>
      <c r="J27" s="23"/>
      <c r="K27" s="23"/>
      <c r="L27" s="23"/>
      <c r="M27" s="23"/>
      <c r="N27" s="23"/>
      <c r="O27" s="23"/>
      <c r="P27" s="23"/>
    </row>
    <row r="28" spans="2:18" ht="17.25">
      <c r="B28" s="260"/>
      <c r="C28" s="55"/>
      <c r="D28" s="55"/>
      <c r="E28" s="55"/>
      <c r="F28" s="55"/>
      <c r="G28" s="55"/>
      <c r="H28" s="55"/>
      <c r="I28" s="23"/>
      <c r="J28" s="23"/>
      <c r="K28" s="23"/>
      <c r="L28" s="23"/>
      <c r="M28" s="23"/>
      <c r="N28" s="23"/>
      <c r="O28" s="23"/>
      <c r="P28" s="23"/>
    </row>
    <row r="29" spans="2:18" ht="17.25">
      <c r="B29" s="260"/>
      <c r="C29" s="55"/>
      <c r="D29" s="55"/>
      <c r="E29" s="55"/>
      <c r="F29" s="55"/>
      <c r="G29" s="55"/>
      <c r="H29" s="55"/>
      <c r="I29" s="23"/>
      <c r="J29" s="23"/>
      <c r="K29" s="23"/>
      <c r="L29" s="23"/>
      <c r="M29" s="23"/>
      <c r="N29" s="23"/>
      <c r="O29" s="23"/>
      <c r="P29" s="23"/>
    </row>
    <row r="30" spans="2:18" ht="17.25">
      <c r="B30" s="260"/>
      <c r="C30" s="55"/>
      <c r="D30" s="55"/>
      <c r="E30" s="55"/>
      <c r="F30" s="55"/>
      <c r="G30" s="55"/>
      <c r="H30" s="55"/>
      <c r="I30" s="23"/>
      <c r="J30" s="23"/>
      <c r="K30" s="23"/>
      <c r="L30" s="23"/>
      <c r="M30" s="23"/>
      <c r="N30" s="23"/>
      <c r="O30" s="23"/>
      <c r="P30" s="23"/>
    </row>
    <row r="31" spans="2:18" ht="17.25">
      <c r="B31" s="260"/>
      <c r="C31" s="55"/>
      <c r="D31" s="55"/>
      <c r="E31" s="55"/>
      <c r="F31" s="55"/>
      <c r="G31" s="55"/>
      <c r="H31" s="55"/>
      <c r="I31" s="23"/>
      <c r="J31" s="23"/>
      <c r="K31" s="23"/>
      <c r="L31" s="23"/>
      <c r="M31" s="23"/>
      <c r="N31" s="23"/>
      <c r="O31" s="23"/>
      <c r="P31" s="23"/>
    </row>
    <row r="32" spans="2:18"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</row>
  </sheetData>
  <mergeCells count="1">
    <mergeCell ref="A2:A9"/>
  </mergeCells>
  <phoneticPr fontId="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BCD2-006B-4AD9-9620-D25D56B9BBC8}">
  <dimension ref="A1:R21"/>
  <sheetViews>
    <sheetView topLeftCell="A4" workbookViewId="0">
      <selection activeCell="R17" sqref="R17"/>
    </sheetView>
  </sheetViews>
  <sheetFormatPr defaultRowHeight="16.5"/>
  <cols>
    <col min="11" max="11" width="10.5" customWidth="1"/>
    <col min="12" max="12" width="15.25" customWidth="1"/>
  </cols>
  <sheetData>
    <row r="1" spans="1:18">
      <c r="A1" s="146" t="s">
        <v>250</v>
      </c>
      <c r="B1" s="147" t="s">
        <v>18</v>
      </c>
      <c r="C1" s="147" t="s">
        <v>20</v>
      </c>
      <c r="D1" s="147" t="s">
        <v>22</v>
      </c>
      <c r="E1" s="147" t="s">
        <v>21</v>
      </c>
      <c r="F1" s="147" t="s">
        <v>19</v>
      </c>
      <c r="G1" s="147" t="s">
        <v>23</v>
      </c>
      <c r="H1" s="147" t="s">
        <v>33</v>
      </c>
      <c r="I1" s="272" t="s">
        <v>251</v>
      </c>
      <c r="K1" s="146" t="s">
        <v>268</v>
      </c>
      <c r="L1" s="147" t="s">
        <v>269</v>
      </c>
      <c r="M1" s="147" t="s">
        <v>271</v>
      </c>
      <c r="N1" s="148" t="s">
        <v>270</v>
      </c>
    </row>
    <row r="2" spans="1:18" ht="17.25">
      <c r="A2" s="333">
        <v>18</v>
      </c>
      <c r="B2" s="257" t="s">
        <v>263</v>
      </c>
      <c r="C2" s="31">
        <v>18.899999999999999</v>
      </c>
      <c r="D2" s="31">
        <v>26.75</v>
      </c>
      <c r="E2" s="31">
        <v>6.492</v>
      </c>
      <c r="F2" s="31">
        <v>34.18</v>
      </c>
      <c r="G2" s="31">
        <v>4.88</v>
      </c>
      <c r="H2" s="31">
        <v>2.6620379999999999</v>
      </c>
      <c r="I2" s="276">
        <v>67.92</v>
      </c>
      <c r="K2" s="38">
        <v>16.170000000000002</v>
      </c>
      <c r="L2" s="23">
        <v>1.77</v>
      </c>
      <c r="M2" s="23">
        <v>2.98</v>
      </c>
      <c r="N2" s="39">
        <v>4.63</v>
      </c>
    </row>
    <row r="3" spans="1:18" ht="17.25">
      <c r="A3" s="334"/>
      <c r="B3" s="258" t="s">
        <v>264</v>
      </c>
      <c r="C3" s="32">
        <v>19.88</v>
      </c>
      <c r="D3" s="32">
        <v>24.16</v>
      </c>
      <c r="E3" s="32">
        <v>5.5679999999999996</v>
      </c>
      <c r="F3" s="32">
        <v>37.200000000000003</v>
      </c>
      <c r="G3" s="32">
        <v>4.12</v>
      </c>
      <c r="H3" s="32">
        <v>2.7363759999999999</v>
      </c>
      <c r="I3" s="277">
        <v>77.47</v>
      </c>
      <c r="K3" s="38">
        <v>11.89</v>
      </c>
      <c r="L3" s="23">
        <v>0.98</v>
      </c>
      <c r="M3" s="23">
        <v>0.94</v>
      </c>
      <c r="N3" s="39">
        <v>2.66</v>
      </c>
    </row>
    <row r="4" spans="1:18" ht="17.25">
      <c r="A4" s="334"/>
      <c r="B4" s="258" t="s">
        <v>267</v>
      </c>
      <c r="C4" s="32">
        <v>17.37</v>
      </c>
      <c r="D4" s="32">
        <v>29.25</v>
      </c>
      <c r="E4" s="32">
        <v>6.8940000000000001</v>
      </c>
      <c r="F4" s="32">
        <v>29.54</v>
      </c>
      <c r="G4" s="32">
        <v>5.69</v>
      </c>
      <c r="H4" s="32">
        <v>2.7596659999999997</v>
      </c>
      <c r="I4" s="277">
        <v>79</v>
      </c>
      <c r="K4" s="38">
        <v>5.27</v>
      </c>
      <c r="L4" s="23">
        <v>1.57</v>
      </c>
      <c r="M4" s="23">
        <v>2.76</v>
      </c>
      <c r="N4" s="39">
        <v>7.45</v>
      </c>
    </row>
    <row r="5" spans="1:18" ht="17.25">
      <c r="A5" s="334"/>
      <c r="B5" s="258" t="s">
        <v>262</v>
      </c>
      <c r="C5" s="32">
        <v>18.149999999999999</v>
      </c>
      <c r="D5" s="32">
        <v>26.8</v>
      </c>
      <c r="E5" s="32">
        <v>5.1749999999999998</v>
      </c>
      <c r="F5" s="32">
        <v>37</v>
      </c>
      <c r="G5" s="32">
        <v>4.5999999999999996</v>
      </c>
      <c r="H5" s="32">
        <v>2.6126879999999999</v>
      </c>
      <c r="I5" s="277">
        <v>69.02</v>
      </c>
      <c r="K5" s="38">
        <v>14.14</v>
      </c>
      <c r="L5" s="23">
        <v>1.56</v>
      </c>
      <c r="M5" s="23">
        <v>3.28</v>
      </c>
      <c r="N5" s="39">
        <v>7.74</v>
      </c>
    </row>
    <row r="6" spans="1:18" ht="17.25">
      <c r="A6" s="334"/>
      <c r="B6" s="258" t="s">
        <v>266</v>
      </c>
      <c r="C6" s="32">
        <v>15.05</v>
      </c>
      <c r="D6" s="32">
        <v>21.61</v>
      </c>
      <c r="E6" s="32">
        <v>4.79</v>
      </c>
      <c r="F6" s="32">
        <v>25.04</v>
      </c>
      <c r="G6" s="32">
        <v>4.18</v>
      </c>
      <c r="H6" s="32">
        <v>15.911892</v>
      </c>
      <c r="I6" s="277">
        <v>67.02</v>
      </c>
      <c r="K6" s="38">
        <v>6.97</v>
      </c>
      <c r="L6" s="23">
        <v>2.2000000000000002</v>
      </c>
      <c r="M6" s="23">
        <v>6.48</v>
      </c>
      <c r="N6" s="39">
        <v>10.14</v>
      </c>
    </row>
    <row r="7" spans="1:18" ht="17.25">
      <c r="A7" s="335"/>
      <c r="B7" s="259" t="s">
        <v>265</v>
      </c>
      <c r="C7" s="33">
        <v>18.04</v>
      </c>
      <c r="D7" s="33">
        <v>27.53</v>
      </c>
      <c r="E7" s="33">
        <v>6.71</v>
      </c>
      <c r="F7" s="33">
        <v>31.98</v>
      </c>
      <c r="G7" s="33">
        <v>5.2</v>
      </c>
      <c r="H7" s="33">
        <v>2.7842720000000001</v>
      </c>
      <c r="I7" s="278">
        <v>69.540000000000006</v>
      </c>
      <c r="K7" s="40">
        <v>12.78</v>
      </c>
      <c r="L7" s="50">
        <v>2.12</v>
      </c>
      <c r="M7" s="50">
        <v>3.45</v>
      </c>
      <c r="N7" s="41">
        <v>8.36</v>
      </c>
    </row>
    <row r="9" spans="1:18" ht="51.75">
      <c r="B9" s="44" t="s">
        <v>106</v>
      </c>
      <c r="C9" s="45" t="s">
        <v>105</v>
      </c>
      <c r="D9" s="46" t="s">
        <v>107</v>
      </c>
      <c r="K9" s="64"/>
      <c r="L9" s="91" t="s">
        <v>272</v>
      </c>
    </row>
    <row r="10" spans="1:18" ht="17.25">
      <c r="B10" s="87">
        <v>102</v>
      </c>
      <c r="C10" s="81">
        <v>56.1</v>
      </c>
      <c r="D10" s="79">
        <v>60.1</v>
      </c>
      <c r="K10" s="92" t="s">
        <v>125</v>
      </c>
      <c r="L10" s="94">
        <v>0.71799999999999997</v>
      </c>
    </row>
    <row r="11" spans="1:18" ht="17.25">
      <c r="B11" s="70"/>
      <c r="C11" s="70"/>
      <c r="D11" s="70"/>
      <c r="K11" s="92" t="s">
        <v>133</v>
      </c>
      <c r="L11" s="94"/>
    </row>
    <row r="12" spans="1:18" ht="17.25">
      <c r="B12" s="70"/>
      <c r="C12" s="70"/>
      <c r="D12" s="70"/>
      <c r="K12" s="75" t="s">
        <v>126</v>
      </c>
      <c r="L12" s="97">
        <v>0.28199999999999997</v>
      </c>
    </row>
    <row r="13" spans="1:18" ht="17.25">
      <c r="B13" s="70"/>
      <c r="C13" s="70"/>
      <c r="D13" s="70"/>
    </row>
    <row r="15" spans="1:18" ht="51.75">
      <c r="B15" s="257"/>
      <c r="C15" s="44" t="s">
        <v>104</v>
      </c>
      <c r="D15" s="45" t="s">
        <v>119</v>
      </c>
      <c r="E15" s="45"/>
      <c r="F15" s="263" t="s">
        <v>120</v>
      </c>
      <c r="G15" s="263"/>
      <c r="H15" s="45"/>
      <c r="I15" s="45" t="s">
        <v>109</v>
      </c>
      <c r="J15" s="45" t="s">
        <v>108</v>
      </c>
      <c r="K15" s="45" t="s">
        <v>110</v>
      </c>
      <c r="L15" s="45" t="s">
        <v>111</v>
      </c>
      <c r="M15" s="45"/>
      <c r="N15" s="45" t="s">
        <v>113</v>
      </c>
      <c r="O15" s="45" t="s">
        <v>112</v>
      </c>
      <c r="P15" s="46" t="s">
        <v>114</v>
      </c>
      <c r="R15" s="255" t="s">
        <v>273</v>
      </c>
    </row>
    <row r="16" spans="1:18" ht="17.25">
      <c r="B16" s="257" t="s">
        <v>263</v>
      </c>
      <c r="C16" s="64">
        <f>C2*(100-L2)*0.01-N2*$L$10</f>
        <v>15.241130000000002</v>
      </c>
      <c r="D16" s="53">
        <f>D2*(100-M2)*0.01</f>
        <v>25.952849999999998</v>
      </c>
      <c r="E16" s="53"/>
      <c r="F16" s="53">
        <f>F2*(100-K2)*0.01-N2*$L$12</f>
        <v>27.347434000000003</v>
      </c>
      <c r="G16" s="53"/>
      <c r="H16" s="53"/>
      <c r="I16" s="48">
        <f>100*C16/$B$10</f>
        <v>14.942284313725493</v>
      </c>
      <c r="J16" s="48">
        <f>100*D16/$C$10</f>
        <v>46.261764705882349</v>
      </c>
      <c r="K16" s="48">
        <f>100*F16/$D$10</f>
        <v>45.503217970049917</v>
      </c>
      <c r="L16" s="48">
        <f t="shared" ref="L16" si="0">SUM(I16:K16)</f>
        <v>106.70726698965777</v>
      </c>
      <c r="M16" s="48"/>
      <c r="N16" s="48">
        <f>I16/L16</f>
        <v>0.14003061586399473</v>
      </c>
      <c r="O16" s="48">
        <f>J16/L16</f>
        <v>0.43353902701271613</v>
      </c>
      <c r="P16" s="49">
        <f>K16/L16</f>
        <v>0.42643035712328908</v>
      </c>
      <c r="R16">
        <f>(11-12*O16+N16)/(3-2*O16+2*N16)</f>
        <v>2.4606728909584263</v>
      </c>
    </row>
    <row r="17" spans="2:18" ht="17.25">
      <c r="B17" s="258" t="s">
        <v>264</v>
      </c>
      <c r="C17" s="92">
        <f t="shared" ref="C17:C21" si="1">C3*(100-L3)*0.01-N3*$L$10</f>
        <v>17.775295999999997</v>
      </c>
      <c r="D17" s="55">
        <f t="shared" ref="D17:D21" si="2">D3*(100-M3)*0.01</f>
        <v>23.932896</v>
      </c>
      <c r="E17" s="55"/>
      <c r="F17" s="55">
        <f t="shared" ref="F17:F21" si="3">F3*(100-K3)*0.01-N3*$L$12</f>
        <v>32.026800000000001</v>
      </c>
      <c r="G17" s="55"/>
      <c r="H17" s="55"/>
      <c r="I17" s="23">
        <f t="shared" ref="I17:I21" si="4">100*C17/$B$10</f>
        <v>17.426760784313725</v>
      </c>
      <c r="J17" s="23">
        <f t="shared" ref="J17:J21" si="5">100*D17/$C$10</f>
        <v>42.661133689839573</v>
      </c>
      <c r="K17" s="23">
        <f t="shared" ref="K17:K21" si="6">100*F17/$D$10</f>
        <v>53.289184692179703</v>
      </c>
      <c r="L17" s="23">
        <f t="shared" ref="L17:L21" si="7">SUM(I17:K17)</f>
        <v>113.377079166333</v>
      </c>
      <c r="M17" s="23"/>
      <c r="N17" s="23">
        <f t="shared" ref="N17:N21" si="8">I17/L17</f>
        <v>0.1537062068669745</v>
      </c>
      <c r="O17" s="23">
        <f t="shared" ref="O17:O21" si="9">J17/L17</f>
        <v>0.37627652787961108</v>
      </c>
      <c r="P17" s="39">
        <f t="shared" ref="P17:P21" si="10">K17/L17</f>
        <v>0.47001726525341442</v>
      </c>
      <c r="R17">
        <f t="shared" ref="R17:R21" si="11">(11-12*O17+N17)/(3-2*O17+2*N17)</f>
        <v>2.5983378895556837</v>
      </c>
    </row>
    <row r="18" spans="2:18" ht="17.25">
      <c r="B18" s="258" t="s">
        <v>267</v>
      </c>
      <c r="C18" s="92">
        <f t="shared" si="1"/>
        <v>11.748191000000002</v>
      </c>
      <c r="D18" s="55">
        <f t="shared" si="2"/>
        <v>28.442700000000002</v>
      </c>
      <c r="E18" s="55"/>
      <c r="F18" s="55">
        <f t="shared" si="3"/>
        <v>25.882342000000001</v>
      </c>
      <c r="G18" s="55"/>
      <c r="H18" s="55"/>
      <c r="I18" s="23">
        <f t="shared" si="4"/>
        <v>11.517834313725492</v>
      </c>
      <c r="J18" s="23">
        <f t="shared" si="5"/>
        <v>50.70000000000001</v>
      </c>
      <c r="K18" s="23">
        <f t="shared" si="6"/>
        <v>43.065460898502501</v>
      </c>
      <c r="L18" s="23">
        <f t="shared" si="7"/>
        <v>105.28329521222801</v>
      </c>
      <c r="M18" s="23"/>
      <c r="N18" s="23">
        <f t="shared" si="8"/>
        <v>0.10939849755374836</v>
      </c>
      <c r="O18" s="23">
        <f t="shared" si="9"/>
        <v>0.48155787580356352</v>
      </c>
      <c r="P18" s="39">
        <f t="shared" si="10"/>
        <v>0.40904362664268806</v>
      </c>
      <c r="R18">
        <f t="shared" si="11"/>
        <v>2.3632346118367287</v>
      </c>
    </row>
    <row r="19" spans="2:18" ht="17.25">
      <c r="B19" s="258" t="s">
        <v>262</v>
      </c>
      <c r="C19" s="92">
        <f t="shared" si="1"/>
        <v>12.309539999999998</v>
      </c>
      <c r="D19" s="55">
        <f t="shared" si="2"/>
        <v>25.920960000000001</v>
      </c>
      <c r="E19" s="55"/>
      <c r="F19" s="55">
        <f t="shared" si="3"/>
        <v>29.585520000000002</v>
      </c>
      <c r="G19" s="55"/>
      <c r="H19" s="55"/>
      <c r="I19" s="23">
        <f t="shared" si="4"/>
        <v>12.068176470588233</v>
      </c>
      <c r="J19" s="23">
        <f t="shared" si="5"/>
        <v>46.204919786096255</v>
      </c>
      <c r="K19" s="23">
        <f t="shared" si="6"/>
        <v>49.227154742096509</v>
      </c>
      <c r="L19" s="23">
        <f t="shared" si="7"/>
        <v>107.500250998781</v>
      </c>
      <c r="M19" s="23"/>
      <c r="N19" s="23">
        <f t="shared" si="8"/>
        <v>0.11226184458606595</v>
      </c>
      <c r="O19" s="23">
        <f t="shared" si="9"/>
        <v>0.42981220375587958</v>
      </c>
      <c r="P19" s="39">
        <f t="shared" si="10"/>
        <v>0.45792595165805444</v>
      </c>
      <c r="R19">
        <f t="shared" si="11"/>
        <v>2.5178727253597475</v>
      </c>
    </row>
    <row r="20" spans="2:18" ht="17.25">
      <c r="B20" s="258" t="s">
        <v>266</v>
      </c>
      <c r="C20" s="92">
        <f t="shared" si="1"/>
        <v>7.4383800000000013</v>
      </c>
      <c r="D20" s="55">
        <f t="shared" si="2"/>
        <v>20.209671999999998</v>
      </c>
      <c r="E20" s="55"/>
      <c r="F20" s="55">
        <f t="shared" si="3"/>
        <v>20.435231999999999</v>
      </c>
      <c r="G20" s="55"/>
      <c r="H20" s="55"/>
      <c r="I20" s="23">
        <f t="shared" si="4"/>
        <v>7.2925294117647068</v>
      </c>
      <c r="J20" s="23">
        <f t="shared" si="5"/>
        <v>36.02437076648841</v>
      </c>
      <c r="K20" s="23">
        <f t="shared" si="6"/>
        <v>34.002049916805319</v>
      </c>
      <c r="L20" s="23">
        <f t="shared" si="7"/>
        <v>77.318950095058426</v>
      </c>
      <c r="M20" s="23"/>
      <c r="N20" s="23">
        <f t="shared" si="8"/>
        <v>9.4317491414446716E-2</v>
      </c>
      <c r="O20" s="23">
        <f t="shared" si="9"/>
        <v>0.4659190369527636</v>
      </c>
      <c r="P20" s="39">
        <f t="shared" si="10"/>
        <v>0.43976347163278984</v>
      </c>
      <c r="R20">
        <f t="shared" si="11"/>
        <v>2.4385397845155228</v>
      </c>
    </row>
    <row r="21" spans="2:18" ht="17.25">
      <c r="B21" s="259" t="s">
        <v>265</v>
      </c>
      <c r="C21" s="75">
        <f t="shared" si="1"/>
        <v>11.655072000000001</v>
      </c>
      <c r="D21" s="56">
        <f t="shared" si="2"/>
        <v>26.580214999999999</v>
      </c>
      <c r="E21" s="56"/>
      <c r="F21" s="56">
        <f t="shared" si="3"/>
        <v>25.535435999999997</v>
      </c>
      <c r="G21" s="56"/>
      <c r="H21" s="56"/>
      <c r="I21" s="50">
        <f t="shared" si="4"/>
        <v>11.426541176470588</v>
      </c>
      <c r="J21" s="50">
        <f t="shared" si="5"/>
        <v>47.380062388591796</v>
      </c>
      <c r="K21" s="50">
        <f t="shared" si="6"/>
        <v>42.488246256239592</v>
      </c>
      <c r="L21" s="50">
        <f t="shared" si="7"/>
        <v>101.29484982130197</v>
      </c>
      <c r="M21" s="50"/>
      <c r="N21" s="50">
        <f t="shared" si="8"/>
        <v>0.11280475953741553</v>
      </c>
      <c r="O21" s="50">
        <f t="shared" si="9"/>
        <v>0.46774404100679096</v>
      </c>
      <c r="P21" s="41">
        <f t="shared" si="10"/>
        <v>0.41945119945579362</v>
      </c>
      <c r="R21">
        <f t="shared" si="11"/>
        <v>2.4015653399208063</v>
      </c>
    </row>
  </sheetData>
  <mergeCells count="1">
    <mergeCell ref="A2:A7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79C3-E82E-49E6-92DE-4431D539F5A5}">
  <dimension ref="A1:X49"/>
  <sheetViews>
    <sheetView topLeftCell="C1" zoomScale="75" zoomScaleNormal="75" workbookViewId="0">
      <selection activeCell="V11" sqref="V11"/>
    </sheetView>
  </sheetViews>
  <sheetFormatPr defaultRowHeight="16.5"/>
  <cols>
    <col min="1" max="1" width="10.625" customWidth="1"/>
    <col min="2" max="2" width="13.125" customWidth="1"/>
    <col min="3" max="3" width="12" customWidth="1"/>
    <col min="4" max="4" width="12.375" customWidth="1"/>
    <col min="6" max="6" width="11.375" customWidth="1"/>
    <col min="8" max="8" width="10.625" customWidth="1"/>
    <col min="9" max="9" width="15" customWidth="1"/>
    <col min="10" max="10" width="12" customWidth="1"/>
    <col min="11" max="11" width="11.875" customWidth="1"/>
    <col min="12" max="12" width="11.5" customWidth="1"/>
    <col min="13" max="13" width="10.5" customWidth="1"/>
    <col min="14" max="14" width="14.75" customWidth="1"/>
    <col min="15" max="15" width="13.375" customWidth="1"/>
    <col min="16" max="16" width="20.125" customWidth="1"/>
    <col min="17" max="17" width="16.5" customWidth="1"/>
    <col min="18" max="18" width="17.875" customWidth="1"/>
    <col min="20" max="20" width="19.125" customWidth="1"/>
    <col min="21" max="21" width="16.875" customWidth="1"/>
    <col min="22" max="22" width="17.5" customWidth="1"/>
    <col min="23" max="23" width="11" customWidth="1"/>
    <col min="24" max="24" width="20" customWidth="1"/>
    <col min="25" max="25" width="9" customWidth="1"/>
  </cols>
  <sheetData>
    <row r="1" spans="1:24" ht="26.25">
      <c r="A1" s="289" t="s">
        <v>101</v>
      </c>
      <c r="B1" s="289"/>
      <c r="C1" s="289"/>
      <c r="D1" s="289"/>
      <c r="E1" s="289"/>
      <c r="F1" s="289"/>
      <c r="G1" s="289"/>
      <c r="H1" s="289"/>
      <c r="I1" s="289"/>
      <c r="J1" s="289"/>
    </row>
    <row r="2" spans="1:24" ht="20.25">
      <c r="A2" s="284" t="s">
        <v>102</v>
      </c>
      <c r="B2" s="285"/>
      <c r="C2" s="285"/>
      <c r="D2" s="285"/>
      <c r="E2" s="285"/>
      <c r="F2" s="285"/>
      <c r="G2" s="285"/>
      <c r="H2" s="285"/>
      <c r="I2" s="285"/>
      <c r="J2" s="285"/>
      <c r="M2" s="295" t="s">
        <v>211</v>
      </c>
      <c r="N2" s="296"/>
      <c r="O2" s="296"/>
      <c r="P2" s="296"/>
      <c r="Q2" s="296"/>
      <c r="R2" s="297"/>
      <c r="S2" s="153"/>
      <c r="T2" s="44" t="s">
        <v>106</v>
      </c>
      <c r="U2" s="45" t="s">
        <v>105</v>
      </c>
      <c r="V2" s="46" t="s">
        <v>107</v>
      </c>
    </row>
    <row r="3" spans="1:24" ht="42.75" customHeight="1">
      <c r="A3" s="2" t="s">
        <v>116</v>
      </c>
      <c r="B3" s="3" t="s">
        <v>18</v>
      </c>
      <c r="C3" s="4" t="s">
        <v>20</v>
      </c>
      <c r="D3" s="4" t="s">
        <v>22</v>
      </c>
      <c r="E3" s="4" t="s">
        <v>21</v>
      </c>
      <c r="F3" s="4" t="s">
        <v>19</v>
      </c>
      <c r="G3" s="4" t="s">
        <v>23</v>
      </c>
      <c r="H3" s="4" t="s">
        <v>128</v>
      </c>
      <c r="I3" s="5" t="s">
        <v>118</v>
      </c>
      <c r="J3" s="6" t="s">
        <v>117</v>
      </c>
      <c r="M3" s="44" t="s">
        <v>103</v>
      </c>
      <c r="N3" s="45" t="s">
        <v>121</v>
      </c>
      <c r="O3" s="45" t="s">
        <v>204</v>
      </c>
      <c r="P3" s="45" t="s">
        <v>206</v>
      </c>
      <c r="Q3" s="247" t="s">
        <v>205</v>
      </c>
      <c r="R3" s="46" t="s">
        <v>207</v>
      </c>
      <c r="S3" s="7"/>
      <c r="T3" s="42">
        <v>102</v>
      </c>
      <c r="U3" s="22">
        <v>56.1</v>
      </c>
      <c r="V3" s="43">
        <v>60.1</v>
      </c>
    </row>
    <row r="4" spans="1:24" ht="17.25">
      <c r="A4" s="293">
        <v>1</v>
      </c>
      <c r="B4" s="8" t="s">
        <v>0</v>
      </c>
      <c r="C4" s="9">
        <v>29.5</v>
      </c>
      <c r="D4" s="9">
        <v>1.1000000000000001</v>
      </c>
      <c r="E4" s="9">
        <v>4.5999999999999996</v>
      </c>
      <c r="F4" s="9">
        <v>53.8</v>
      </c>
      <c r="G4" s="9">
        <v>0.7</v>
      </c>
      <c r="H4" s="9">
        <v>1.8476000000000004</v>
      </c>
      <c r="I4" s="10">
        <v>72.644999999999996</v>
      </c>
      <c r="J4" s="11">
        <v>3.3811026893429812</v>
      </c>
      <c r="M4" s="221">
        <v>4</v>
      </c>
      <c r="N4" s="222">
        <v>19.899999999999999</v>
      </c>
      <c r="O4" s="222">
        <f>ROUND(0.3101,2)</f>
        <v>0.31</v>
      </c>
      <c r="P4" s="89">
        <v>0.22</v>
      </c>
      <c r="Q4" s="244">
        <v>0.5</v>
      </c>
      <c r="R4" s="91">
        <v>0.03</v>
      </c>
      <c r="S4" s="23"/>
      <c r="T4" s="23"/>
      <c r="U4" s="23"/>
      <c r="V4" s="23"/>
    </row>
    <row r="5" spans="1:24" ht="17.25">
      <c r="A5" s="293"/>
      <c r="B5" s="13" t="s">
        <v>1</v>
      </c>
      <c r="C5" s="14">
        <v>20.7</v>
      </c>
      <c r="D5" s="14">
        <v>10.199999999999999</v>
      </c>
      <c r="E5" s="14">
        <v>7.1</v>
      </c>
      <c r="F5" s="14">
        <v>51.4</v>
      </c>
      <c r="G5" s="14">
        <v>3</v>
      </c>
      <c r="H5" s="14">
        <v>1.2554000000000001</v>
      </c>
      <c r="I5" s="15">
        <v>78.064999999999998</v>
      </c>
      <c r="J5" s="16">
        <v>3.0941235348453744</v>
      </c>
      <c r="M5" s="65">
        <v>10.9</v>
      </c>
      <c r="N5" s="220">
        <v>2.8</v>
      </c>
      <c r="O5" s="220">
        <f>ROUND(0.8145,2)</f>
        <v>0.81</v>
      </c>
      <c r="P5" s="80">
        <v>0.43</v>
      </c>
      <c r="Q5" s="245">
        <v>0</v>
      </c>
      <c r="R5" s="241">
        <v>0</v>
      </c>
      <c r="S5" s="23"/>
      <c r="T5" s="23"/>
      <c r="U5" s="23"/>
      <c r="V5" s="23"/>
      <c r="W5" s="55"/>
      <c r="X5" s="55"/>
    </row>
    <row r="6" spans="1:24" ht="17.25">
      <c r="A6" s="293"/>
      <c r="B6" s="13" t="s">
        <v>2</v>
      </c>
      <c r="C6" s="14">
        <v>17.8</v>
      </c>
      <c r="D6" s="14">
        <v>10.6</v>
      </c>
      <c r="E6" s="14">
        <v>7.6</v>
      </c>
      <c r="F6" s="14">
        <v>55.3</v>
      </c>
      <c r="G6" s="14">
        <v>2.2999999999999998</v>
      </c>
      <c r="H6" s="14">
        <v>1.0238</v>
      </c>
      <c r="I6" s="15">
        <v>73.289999999999992</v>
      </c>
      <c r="J6" s="16">
        <v>3.1131742841900842</v>
      </c>
      <c r="M6" s="65">
        <v>15.4</v>
      </c>
      <c r="N6" s="220">
        <v>5.0999999999999996</v>
      </c>
      <c r="O6" s="220">
        <f>ROUND(0.6635,2)</f>
        <v>0.66</v>
      </c>
      <c r="P6" s="80">
        <v>0.61</v>
      </c>
      <c r="Q6" s="245">
        <v>0.23</v>
      </c>
      <c r="R6" s="241">
        <v>0</v>
      </c>
      <c r="S6" s="23"/>
      <c r="T6" s="23"/>
      <c r="U6" s="23"/>
      <c r="V6" s="23"/>
      <c r="W6" s="55"/>
      <c r="X6" s="55"/>
    </row>
    <row r="7" spans="1:24" ht="17.25">
      <c r="A7" s="293"/>
      <c r="B7" s="13" t="s">
        <v>3</v>
      </c>
      <c r="C7" s="14">
        <v>22.8</v>
      </c>
      <c r="D7" s="14">
        <v>11.9</v>
      </c>
      <c r="E7" s="14">
        <v>3.8</v>
      </c>
      <c r="F7" s="14">
        <v>51.6</v>
      </c>
      <c r="G7" s="14">
        <v>2</v>
      </c>
      <c r="H7" s="14">
        <v>0.72640000000000016</v>
      </c>
      <c r="I7" s="15">
        <v>73.805999999999997</v>
      </c>
      <c r="J7" s="16">
        <v>3.0871438947981007</v>
      </c>
      <c r="M7" s="65">
        <v>8.5</v>
      </c>
      <c r="N7" s="220">
        <v>12.7</v>
      </c>
      <c r="O7" s="220">
        <f>ROUND(0.5705,2)</f>
        <v>0.56999999999999995</v>
      </c>
      <c r="P7" s="80">
        <v>0.12</v>
      </c>
      <c r="Q7" s="245">
        <v>0</v>
      </c>
      <c r="R7" s="241">
        <v>0.16</v>
      </c>
      <c r="S7" s="23"/>
      <c r="T7" s="23"/>
      <c r="U7" s="23"/>
      <c r="V7" s="23"/>
      <c r="W7" s="55"/>
      <c r="X7" s="55"/>
    </row>
    <row r="8" spans="1:24" ht="17.25">
      <c r="A8" s="293"/>
      <c r="B8" s="13" t="s">
        <v>4</v>
      </c>
      <c r="C8" s="14">
        <v>21.6</v>
      </c>
      <c r="D8" s="14">
        <v>13.6</v>
      </c>
      <c r="E8" s="14">
        <v>4.3</v>
      </c>
      <c r="F8" s="14">
        <v>42.9</v>
      </c>
      <c r="G8" s="14">
        <v>2.5</v>
      </c>
      <c r="H8" s="14">
        <v>8.3631999999999991</v>
      </c>
      <c r="I8" s="15">
        <v>84.903000000000006</v>
      </c>
      <c r="J8" s="16">
        <v>2.971018654024816</v>
      </c>
      <c r="M8" s="65">
        <v>5.0999999999999996</v>
      </c>
      <c r="N8" s="220">
        <v>0.5</v>
      </c>
      <c r="O8" s="220">
        <v>0</v>
      </c>
      <c r="P8" s="80">
        <v>1.06</v>
      </c>
      <c r="Q8" s="245">
        <v>0.84</v>
      </c>
      <c r="R8" s="241">
        <v>0</v>
      </c>
      <c r="S8" s="23"/>
      <c r="T8" s="23"/>
      <c r="U8" s="23"/>
      <c r="V8" s="23"/>
      <c r="W8" s="55"/>
      <c r="X8" s="55"/>
    </row>
    <row r="9" spans="1:24" ht="17.25">
      <c r="A9" s="293"/>
      <c r="B9" s="13" t="s">
        <v>5</v>
      </c>
      <c r="C9" s="14">
        <v>18.100000000000001</v>
      </c>
      <c r="D9" s="14">
        <v>14.5</v>
      </c>
      <c r="E9" s="14">
        <v>7.8</v>
      </c>
      <c r="F9" s="14">
        <v>49.9</v>
      </c>
      <c r="G9" s="14">
        <v>2.8</v>
      </c>
      <c r="H9" s="14">
        <v>0.8922000000000001</v>
      </c>
      <c r="I9" s="15">
        <v>71.870999999999995</v>
      </c>
      <c r="J9" s="16">
        <v>3.0424338898581289</v>
      </c>
      <c r="M9" s="65">
        <v>11</v>
      </c>
      <c r="N9" s="220">
        <v>5.0999999999999996</v>
      </c>
      <c r="O9" s="220">
        <f>ROUND(2.6196,2)</f>
        <v>2.62</v>
      </c>
      <c r="P9" s="80">
        <v>1.51</v>
      </c>
      <c r="Q9" s="245">
        <v>1.06</v>
      </c>
      <c r="R9" s="241">
        <v>0</v>
      </c>
      <c r="S9" s="23"/>
      <c r="T9" s="55"/>
    </row>
    <row r="10" spans="1:24" ht="17.25">
      <c r="A10" s="293"/>
      <c r="B10" s="13" t="s">
        <v>6</v>
      </c>
      <c r="C10" s="14">
        <v>21</v>
      </c>
      <c r="D10" s="14">
        <v>15.3</v>
      </c>
      <c r="E10" s="14">
        <v>5.0999999999999996</v>
      </c>
      <c r="F10" s="14">
        <v>45.7</v>
      </c>
      <c r="G10" s="14">
        <v>3.6</v>
      </c>
      <c r="H10" s="14">
        <v>1.3264</v>
      </c>
      <c r="I10" s="15">
        <v>77.031999999999996</v>
      </c>
      <c r="J10" s="16">
        <v>2.969744993840564</v>
      </c>
      <c r="M10" s="65">
        <v>7.3</v>
      </c>
      <c r="N10" s="220">
        <v>2.8</v>
      </c>
      <c r="O10" s="220">
        <f>ROUND(1.4474,2)</f>
        <v>1.45</v>
      </c>
      <c r="P10" s="80">
        <v>1.35</v>
      </c>
      <c r="Q10" s="245">
        <v>1.06</v>
      </c>
      <c r="R10" s="241">
        <v>0</v>
      </c>
      <c r="S10" s="23"/>
      <c r="T10" s="55"/>
    </row>
    <row r="11" spans="1:24" ht="17.25">
      <c r="A11" s="293"/>
      <c r="B11" s="13" t="s">
        <v>7</v>
      </c>
      <c r="C11" s="14">
        <v>19.2</v>
      </c>
      <c r="D11" s="14">
        <v>17.2</v>
      </c>
      <c r="E11" s="14">
        <v>5.5</v>
      </c>
      <c r="F11" s="14">
        <v>34.9</v>
      </c>
      <c r="G11" s="14">
        <v>3.5</v>
      </c>
      <c r="H11" s="14">
        <v>8.6631999999999998</v>
      </c>
      <c r="I11" s="15">
        <v>86.710000000000008</v>
      </c>
      <c r="J11" s="16">
        <v>2.8713870832321842</v>
      </c>
      <c r="M11" s="65">
        <v>0.5</v>
      </c>
      <c r="N11" s="220">
        <v>0</v>
      </c>
      <c r="O11" s="220">
        <f>ROUND(0.6798,2)</f>
        <v>0.68</v>
      </c>
      <c r="P11" s="80">
        <v>1.08</v>
      </c>
      <c r="Q11" s="245">
        <v>1.48</v>
      </c>
      <c r="R11" s="241">
        <v>0</v>
      </c>
      <c r="S11" s="23"/>
      <c r="T11" s="55"/>
    </row>
    <row r="12" spans="1:24" ht="17.25">
      <c r="A12" s="293"/>
      <c r="B12" s="13" t="s">
        <v>8</v>
      </c>
      <c r="C12" s="14">
        <v>18.899999999999999</v>
      </c>
      <c r="D12" s="14">
        <v>21</v>
      </c>
      <c r="E12" s="14">
        <v>6.5</v>
      </c>
      <c r="F12" s="14">
        <v>37.4</v>
      </c>
      <c r="G12" s="14">
        <v>4.3</v>
      </c>
      <c r="H12" s="14">
        <v>1.4632000000000001</v>
      </c>
      <c r="I12" s="15">
        <v>74.710000000000008</v>
      </c>
      <c r="J12" s="16">
        <v>2.8594945145428921</v>
      </c>
      <c r="M12" s="65">
        <v>4.5999999999999996</v>
      </c>
      <c r="N12" s="220">
        <v>1</v>
      </c>
      <c r="O12" s="220">
        <f>ROUND(6.1368,2)</f>
        <v>6.14</v>
      </c>
      <c r="P12" s="80">
        <v>1.6</v>
      </c>
      <c r="Q12" s="245">
        <v>1.3</v>
      </c>
      <c r="R12" s="241">
        <v>0.52</v>
      </c>
      <c r="S12" s="23"/>
      <c r="T12" s="55"/>
    </row>
    <row r="13" spans="1:24" ht="17.25">
      <c r="A13" s="293"/>
      <c r="B13" s="13" t="s">
        <v>9</v>
      </c>
      <c r="C13" s="14">
        <v>19.3</v>
      </c>
      <c r="D13" s="14">
        <v>22.9</v>
      </c>
      <c r="E13" s="14">
        <v>6.4</v>
      </c>
      <c r="F13" s="14">
        <v>33.9</v>
      </c>
      <c r="G13" s="14">
        <v>4.5999999999999996</v>
      </c>
      <c r="H13" s="14">
        <v>1.3974</v>
      </c>
      <c r="I13" s="15">
        <v>68</v>
      </c>
      <c r="J13" s="16">
        <v>2.7340926647610901</v>
      </c>
      <c r="M13" s="65">
        <v>5.0999999999999996</v>
      </c>
      <c r="N13" s="220">
        <v>0.5</v>
      </c>
      <c r="O13" s="220">
        <f>ROUND(5.0415,2)</f>
        <v>5.04</v>
      </c>
      <c r="P13" s="80">
        <v>2.2799999999999998</v>
      </c>
      <c r="Q13" s="245">
        <v>1.59</v>
      </c>
      <c r="R13" s="241">
        <v>0.24</v>
      </c>
      <c r="S13" s="23"/>
      <c r="T13" s="55"/>
    </row>
    <row r="14" spans="1:24" ht="17.25">
      <c r="A14" s="293"/>
      <c r="B14" s="13" t="s">
        <v>10</v>
      </c>
      <c r="C14" s="14">
        <v>18.399999999999999</v>
      </c>
      <c r="D14" s="14">
        <v>23.1</v>
      </c>
      <c r="E14" s="14">
        <v>6.6</v>
      </c>
      <c r="F14" s="14">
        <v>34.4</v>
      </c>
      <c r="G14" s="14">
        <v>4.5999999999999996</v>
      </c>
      <c r="H14" s="14">
        <v>1.4632000000000001</v>
      </c>
      <c r="I14" s="15">
        <v>65.548000000000002</v>
      </c>
      <c r="J14" s="16">
        <v>2.8059506962299996</v>
      </c>
      <c r="M14" s="65">
        <v>4</v>
      </c>
      <c r="N14" s="220">
        <v>0</v>
      </c>
      <c r="O14" s="220">
        <f>ROUND(7.396,2)</f>
        <v>7.4</v>
      </c>
      <c r="P14" s="80">
        <v>2.23</v>
      </c>
      <c r="Q14" s="245">
        <v>1.84</v>
      </c>
      <c r="R14" s="241">
        <v>0.56000000000000005</v>
      </c>
      <c r="S14" s="23"/>
      <c r="T14" s="55"/>
    </row>
    <row r="15" spans="1:24" ht="17.25">
      <c r="A15" s="293"/>
      <c r="B15" s="13" t="s">
        <v>11</v>
      </c>
      <c r="C15" s="14">
        <v>19.399999999999999</v>
      </c>
      <c r="D15" s="14">
        <v>24.3</v>
      </c>
      <c r="E15" s="14">
        <v>6</v>
      </c>
      <c r="F15" s="14">
        <v>33.5</v>
      </c>
      <c r="G15" s="14">
        <v>5.4</v>
      </c>
      <c r="H15" s="14">
        <v>1.3974</v>
      </c>
      <c r="I15" s="15">
        <v>69.935000000000002</v>
      </c>
      <c r="J15" s="16">
        <v>2.6722177988935139</v>
      </c>
      <c r="M15" s="65">
        <v>7.5</v>
      </c>
      <c r="N15" s="220">
        <v>0.5</v>
      </c>
      <c r="O15" s="220">
        <f>ROUND(7.0332,2)</f>
        <v>7.03</v>
      </c>
      <c r="P15" s="80">
        <v>1.9</v>
      </c>
      <c r="Q15" s="245">
        <v>1.1100000000000001</v>
      </c>
      <c r="R15" s="241">
        <v>0.39</v>
      </c>
      <c r="S15" s="23"/>
      <c r="T15" s="55"/>
    </row>
    <row r="16" spans="1:24" ht="17.25">
      <c r="A16" s="293"/>
      <c r="B16" s="13" t="s">
        <v>12</v>
      </c>
      <c r="C16" s="14">
        <v>18.600000000000001</v>
      </c>
      <c r="D16" s="14">
        <v>24.7</v>
      </c>
      <c r="E16" s="14">
        <v>6.4</v>
      </c>
      <c r="F16" s="14">
        <v>31.8</v>
      </c>
      <c r="G16" s="14">
        <v>4.4000000000000004</v>
      </c>
      <c r="H16" s="14">
        <v>1.2974000000000001</v>
      </c>
      <c r="I16" s="15">
        <v>72.129000000000005</v>
      </c>
      <c r="J16" s="16">
        <v>2.6888777680965426</v>
      </c>
      <c r="M16" s="65">
        <v>3.4</v>
      </c>
      <c r="N16" s="220">
        <v>0.4</v>
      </c>
      <c r="O16" s="220">
        <f>ROUND(5.9957,2)</f>
        <v>6</v>
      </c>
      <c r="P16" s="80">
        <v>1.25</v>
      </c>
      <c r="Q16" s="245">
        <v>0.82</v>
      </c>
      <c r="R16" s="241">
        <v>0.42</v>
      </c>
      <c r="S16" s="23"/>
      <c r="T16" s="55"/>
    </row>
    <row r="17" spans="1:20" ht="17.25">
      <c r="A17" s="293"/>
      <c r="B17" s="13" t="s">
        <v>13</v>
      </c>
      <c r="C17" s="14">
        <v>19.3</v>
      </c>
      <c r="D17" s="14">
        <v>25.4</v>
      </c>
      <c r="E17" s="14">
        <v>6</v>
      </c>
      <c r="F17" s="14">
        <v>32.5</v>
      </c>
      <c r="G17" s="14">
        <v>4.4000000000000004</v>
      </c>
      <c r="H17" s="14">
        <v>1.2316</v>
      </c>
      <c r="I17" s="15">
        <v>77.548000000000002</v>
      </c>
      <c r="J17" s="16">
        <v>2.6342035061144542</v>
      </c>
      <c r="M17" s="65">
        <v>4.5999999999999996</v>
      </c>
      <c r="N17" s="220">
        <v>0.4</v>
      </c>
      <c r="O17" s="220">
        <f>ROUND(4.6886,2)</f>
        <v>4.6900000000000004</v>
      </c>
      <c r="P17" s="80">
        <v>1.53</v>
      </c>
      <c r="Q17" s="245">
        <v>0.46</v>
      </c>
      <c r="R17" s="241">
        <v>0</v>
      </c>
      <c r="S17" s="23"/>
    </row>
    <row r="18" spans="1:20" ht="17.25">
      <c r="A18" s="293"/>
      <c r="B18" s="13" t="s">
        <v>14</v>
      </c>
      <c r="C18" s="14">
        <v>19.5</v>
      </c>
      <c r="D18" s="14">
        <v>25.5</v>
      </c>
      <c r="E18" s="14">
        <v>5.6</v>
      </c>
      <c r="F18" s="14">
        <v>30.8</v>
      </c>
      <c r="G18" s="14">
        <v>4.5</v>
      </c>
      <c r="H18" s="14">
        <v>1.3974</v>
      </c>
      <c r="I18" s="15">
        <v>75.742000000000004</v>
      </c>
      <c r="J18" s="16">
        <v>2.6429628811011399</v>
      </c>
      <c r="M18" s="65">
        <v>3.1</v>
      </c>
      <c r="N18" s="220">
        <v>0</v>
      </c>
      <c r="O18" s="220">
        <f>ROUND(2.8417,2)</f>
        <v>2.84</v>
      </c>
      <c r="P18" s="80">
        <v>4.12</v>
      </c>
      <c r="Q18" s="245">
        <v>1.59</v>
      </c>
      <c r="R18" s="241">
        <v>0.62</v>
      </c>
      <c r="S18" s="23"/>
    </row>
    <row r="19" spans="1:20" ht="17.25">
      <c r="A19" s="293"/>
      <c r="B19" s="13" t="s">
        <v>15</v>
      </c>
      <c r="C19" s="14">
        <v>17.2</v>
      </c>
      <c r="D19" s="14">
        <v>25.8</v>
      </c>
      <c r="E19" s="14">
        <v>5.8</v>
      </c>
      <c r="F19" s="14">
        <v>32</v>
      </c>
      <c r="G19" s="14">
        <v>6.1</v>
      </c>
      <c r="H19" s="14">
        <v>1.4974000000000001</v>
      </c>
      <c r="I19" s="15">
        <v>68.387</v>
      </c>
      <c r="J19" s="16">
        <v>2.5916324245409452</v>
      </c>
      <c r="M19" s="65">
        <v>5.2</v>
      </c>
      <c r="N19" s="220">
        <v>0.6</v>
      </c>
      <c r="O19" s="220">
        <f>ROUND(1.5346,2)</f>
        <v>1.53</v>
      </c>
      <c r="P19" s="80">
        <v>3.38</v>
      </c>
      <c r="Q19" s="245">
        <v>3.25</v>
      </c>
      <c r="R19" s="241">
        <v>0.71</v>
      </c>
      <c r="S19" s="23"/>
    </row>
    <row r="20" spans="1:20" ht="17.25">
      <c r="A20" s="293"/>
      <c r="B20" s="13" t="s">
        <v>16</v>
      </c>
      <c r="C20" s="14">
        <v>17.3</v>
      </c>
      <c r="D20" s="14">
        <v>26.6</v>
      </c>
      <c r="E20" s="14">
        <v>5.8</v>
      </c>
      <c r="F20" s="14">
        <v>30.9</v>
      </c>
      <c r="G20" s="14">
        <v>7.8</v>
      </c>
      <c r="H20" s="14">
        <v>1.5315999999999999</v>
      </c>
      <c r="I20" s="15">
        <v>49.031999999999996</v>
      </c>
      <c r="J20" s="16">
        <v>2.4992907668395832</v>
      </c>
      <c r="M20" s="65">
        <v>6.9</v>
      </c>
      <c r="N20" s="220">
        <v>1.6</v>
      </c>
      <c r="O20" s="220">
        <f>ROUND(2.1545,2)</f>
        <v>2.15</v>
      </c>
      <c r="P20" s="80">
        <v>2.12</v>
      </c>
      <c r="Q20" s="245">
        <v>4.5599999999999996</v>
      </c>
      <c r="R20" s="241">
        <v>0.95</v>
      </c>
      <c r="S20" s="23"/>
    </row>
    <row r="21" spans="1:20" ht="17.25">
      <c r="A21" s="293"/>
      <c r="B21" s="17" t="s">
        <v>17</v>
      </c>
      <c r="C21" s="18">
        <v>17.100000000000001</v>
      </c>
      <c r="D21" s="18">
        <v>29.2</v>
      </c>
      <c r="E21" s="18">
        <v>5.8</v>
      </c>
      <c r="F21" s="18">
        <v>27.1</v>
      </c>
      <c r="G21" s="18">
        <v>6.2</v>
      </c>
      <c r="H21" s="18">
        <v>1.2316</v>
      </c>
      <c r="I21" s="19">
        <v>57.935000000000002</v>
      </c>
      <c r="J21" s="20">
        <v>2.614180288706049</v>
      </c>
      <c r="M21" s="42">
        <v>2.6</v>
      </c>
      <c r="N21" s="22">
        <v>0.1</v>
      </c>
      <c r="O21" s="22">
        <f>ROUND(7.785,2)</f>
        <v>7.79</v>
      </c>
      <c r="P21" s="242">
        <v>3.17</v>
      </c>
      <c r="Q21" s="246">
        <v>3.13</v>
      </c>
      <c r="R21" s="243">
        <v>2.0499999999999998</v>
      </c>
      <c r="S21" s="23"/>
    </row>
    <row r="22" spans="1:20" ht="33" customHeight="1">
      <c r="M22" s="294" t="s">
        <v>213</v>
      </c>
      <c r="N22" s="294"/>
      <c r="O22" s="294" t="s">
        <v>208</v>
      </c>
      <c r="P22" s="294"/>
      <c r="Q22" s="225" t="s">
        <v>210</v>
      </c>
      <c r="R22" s="226" t="s">
        <v>209</v>
      </c>
      <c r="S22" s="152"/>
    </row>
    <row r="23" spans="1:20">
      <c r="M23" s="298"/>
      <c r="N23" s="298"/>
      <c r="O23" s="151"/>
      <c r="P23" s="151"/>
      <c r="Q23" s="151"/>
      <c r="R23" s="151"/>
      <c r="S23" s="151"/>
      <c r="T23" s="151"/>
    </row>
    <row r="24" spans="1:20">
      <c r="A24" s="64"/>
      <c r="B24" s="89" t="s">
        <v>212</v>
      </c>
      <c r="C24" s="89" t="s">
        <v>131</v>
      </c>
      <c r="D24" s="227" t="s">
        <v>214</v>
      </c>
      <c r="H24" s="151"/>
      <c r="I24" s="151"/>
      <c r="J24" s="151"/>
      <c r="K24" s="151"/>
      <c r="L24" s="151"/>
      <c r="M24" s="151"/>
      <c r="N24" s="151"/>
      <c r="O24" s="151"/>
      <c r="P24" s="151"/>
    </row>
    <row r="25" spans="1:20" ht="17.25">
      <c r="A25" s="92" t="s">
        <v>125</v>
      </c>
      <c r="B25" s="93">
        <v>0.71799999999999997</v>
      </c>
      <c r="C25" s="93">
        <v>0.377</v>
      </c>
      <c r="D25" s="94">
        <v>0.21</v>
      </c>
      <c r="H25" s="151"/>
      <c r="I25" s="151"/>
      <c r="J25" s="151"/>
      <c r="K25" s="151"/>
      <c r="L25" s="151"/>
      <c r="M25" s="151"/>
      <c r="N25" s="151"/>
      <c r="O25" s="151"/>
      <c r="P25" s="151"/>
    </row>
    <row r="26" spans="1:20" ht="17.25">
      <c r="A26" s="92" t="s">
        <v>133</v>
      </c>
      <c r="B26" s="93"/>
      <c r="C26" s="93">
        <v>0.623</v>
      </c>
      <c r="D26" s="94">
        <v>0.46200000000000002</v>
      </c>
      <c r="H26" s="151"/>
      <c r="I26" s="151"/>
      <c r="J26" s="151"/>
      <c r="K26" s="151"/>
      <c r="L26" s="151"/>
      <c r="M26" s="151"/>
      <c r="N26" s="151"/>
      <c r="O26" s="151"/>
      <c r="P26" s="151"/>
    </row>
    <row r="27" spans="1:20" ht="17.25">
      <c r="A27" s="75" t="s">
        <v>126</v>
      </c>
      <c r="B27" s="95">
        <v>0.28199999999999997</v>
      </c>
      <c r="C27" s="95"/>
      <c r="D27" s="104"/>
      <c r="H27" s="151"/>
      <c r="I27" s="151"/>
      <c r="J27" s="151"/>
      <c r="K27" s="151"/>
      <c r="L27" s="151"/>
      <c r="M27" s="151"/>
      <c r="N27" s="151"/>
      <c r="O27" s="151"/>
      <c r="P27" s="151"/>
    </row>
    <row r="29" spans="1:20">
      <c r="A29" s="228"/>
      <c r="B29" s="141"/>
      <c r="C29" s="141"/>
    </row>
    <row r="30" spans="1:20" ht="34.5">
      <c r="A30" s="82"/>
      <c r="B30" s="53"/>
      <c r="C30" s="3" t="s">
        <v>104</v>
      </c>
      <c r="D30" s="3" t="s">
        <v>119</v>
      </c>
      <c r="E30" s="3"/>
      <c r="F30" s="54" t="s">
        <v>120</v>
      </c>
      <c r="G30" s="54"/>
      <c r="H30" s="3"/>
      <c r="I30" s="3" t="s">
        <v>109</v>
      </c>
      <c r="J30" s="3" t="s">
        <v>108</v>
      </c>
      <c r="K30" s="3" t="s">
        <v>110</v>
      </c>
      <c r="L30" s="3" t="s">
        <v>111</v>
      </c>
      <c r="M30" s="3"/>
      <c r="N30" s="3" t="s">
        <v>113</v>
      </c>
      <c r="O30" s="3" t="s">
        <v>112</v>
      </c>
      <c r="P30" s="3" t="s">
        <v>114</v>
      </c>
      <c r="Q30" s="3"/>
      <c r="R30" s="3" t="s">
        <v>115</v>
      </c>
      <c r="S30" s="58" t="s">
        <v>117</v>
      </c>
      <c r="T30" s="61" t="s">
        <v>130</v>
      </c>
    </row>
    <row r="31" spans="1:20" ht="17.25">
      <c r="A31" s="82"/>
      <c r="B31" s="13" t="s">
        <v>0</v>
      </c>
      <c r="C31" s="55">
        <f>C4-N4*$B$25-O4*$C$25-P4*$D$25</f>
        <v>15.048730000000001</v>
      </c>
      <c r="D31" s="55">
        <f>D4*(100-R4)*0.01-O4*$C$26-P4*$D$26</f>
        <v>0.80490000000000017</v>
      </c>
      <c r="E31" s="55"/>
      <c r="F31" s="55">
        <f>F4*(100-M4)*0.01-N4*$B$27</f>
        <v>46.036199999999994</v>
      </c>
      <c r="G31" s="55"/>
      <c r="H31" s="55"/>
      <c r="I31" s="23">
        <f>100*C31/$T$3</f>
        <v>14.753656862745098</v>
      </c>
      <c r="J31" s="23">
        <f>100*D31/$U$3</f>
        <v>1.4347593582887703</v>
      </c>
      <c r="K31" s="23">
        <f>100*F31/$V$3</f>
        <v>76.599334442595662</v>
      </c>
      <c r="L31" s="23">
        <f>SUM(I31:K31)</f>
        <v>92.787750663629538</v>
      </c>
      <c r="M31" s="23"/>
      <c r="N31" s="23">
        <f>I31/L31</f>
        <v>0.15900435948953506</v>
      </c>
      <c r="O31" s="23">
        <f>J31/L31</f>
        <v>1.5462809994069184E-2</v>
      </c>
      <c r="P31" s="23">
        <f>K31/L31</f>
        <v>0.8255328305163957</v>
      </c>
      <c r="Q31" s="23"/>
      <c r="R31" s="23">
        <f>(11-12*O31+N31)/(3-2*O31+2*N31)</f>
        <v>3.3383551036264745</v>
      </c>
      <c r="S31" s="52">
        <v>3.3811026893429812</v>
      </c>
      <c r="T31" s="62">
        <f>ABS(R31-S31)</f>
        <v>4.274758571650672E-2</v>
      </c>
    </row>
    <row r="32" spans="1:20" ht="17.25">
      <c r="A32" s="82"/>
      <c r="B32" s="13" t="s">
        <v>1</v>
      </c>
      <c r="C32" s="55">
        <f t="shared" ref="C32:C48" si="0">C5-N5*$B$25-O5*$C$25-P5*$D$25</f>
        <v>18.29393</v>
      </c>
      <c r="D32" s="55">
        <f t="shared" ref="D32:D48" si="1">D5*(100-R5)*0.01-O5*$C$26-P5*$D$26</f>
        <v>9.4967099999999984</v>
      </c>
      <c r="E32" s="55"/>
      <c r="F32" s="55">
        <f t="shared" ref="F32:F48" si="2">F5*(100-M5)*0.01-N5*$B$27</f>
        <v>45.007799999999996</v>
      </c>
      <c r="G32" s="55"/>
      <c r="H32" s="55"/>
      <c r="I32" s="23">
        <f t="shared" ref="I32:I48" si="3">100*C32/$T$3</f>
        <v>17.935225490196078</v>
      </c>
      <c r="J32" s="23">
        <f t="shared" ref="J32:J48" si="4">100*D32/$U$3</f>
        <v>16.928181818181816</v>
      </c>
      <c r="K32" s="23">
        <f t="shared" ref="K32:K48" si="5">100*F32/$V$3</f>
        <v>74.888186356073206</v>
      </c>
      <c r="L32" s="23">
        <f t="shared" ref="L32:L48" si="6">SUM(I32:K32)</f>
        <v>109.75159366445109</v>
      </c>
      <c r="M32" s="23"/>
      <c r="N32" s="23">
        <f t="shared" ref="N32:N48" si="7">I32/L32</f>
        <v>0.16341653812363144</v>
      </c>
      <c r="O32" s="23">
        <f t="shared" ref="O32:O48" si="8">J32/L32</f>
        <v>0.15424087480622078</v>
      </c>
      <c r="P32" s="23">
        <f t="shared" ref="P32:P48" si="9">K32/L32</f>
        <v>0.68234258707014783</v>
      </c>
      <c r="Q32" s="23"/>
      <c r="R32" s="23">
        <f t="shared" ref="R32:R48" si="10">(11-12*O32+N32)/(3-2*O32+2*N32)</f>
        <v>3.0853022172311446</v>
      </c>
      <c r="S32" s="52">
        <v>3.0941235348453744</v>
      </c>
      <c r="T32" s="62">
        <f t="shared" ref="T32:T48" si="11">ABS(R32-S32)</f>
        <v>8.8213176142297733E-3</v>
      </c>
    </row>
    <row r="33" spans="1:20" ht="17.25">
      <c r="A33" s="82"/>
      <c r="B33" s="13" t="s">
        <v>2</v>
      </c>
      <c r="C33" s="55">
        <f t="shared" si="0"/>
        <v>13.761280000000001</v>
      </c>
      <c r="D33" s="55">
        <f t="shared" si="1"/>
        <v>9.907</v>
      </c>
      <c r="E33" s="55"/>
      <c r="F33" s="55">
        <f t="shared" si="2"/>
        <v>45.34559999999999</v>
      </c>
      <c r="G33" s="55"/>
      <c r="H33" s="55"/>
      <c r="I33" s="23">
        <f t="shared" si="3"/>
        <v>13.491450980392159</v>
      </c>
      <c r="J33" s="23">
        <f t="shared" si="4"/>
        <v>17.659536541889484</v>
      </c>
      <c r="K33" s="23">
        <f t="shared" si="5"/>
        <v>75.450249584026608</v>
      </c>
      <c r="L33" s="23">
        <f t="shared" si="6"/>
        <v>106.60123710630825</v>
      </c>
      <c r="M33" s="23"/>
      <c r="N33" s="23">
        <f t="shared" si="7"/>
        <v>0.12655998510540539</v>
      </c>
      <c r="O33" s="23">
        <f t="shared" si="8"/>
        <v>0.16565977113641264</v>
      </c>
      <c r="P33" s="23">
        <f t="shared" si="9"/>
        <v>0.70778024375818205</v>
      </c>
      <c r="Q33" s="23"/>
      <c r="R33" s="23">
        <f t="shared" si="10"/>
        <v>3.1277436487740911</v>
      </c>
      <c r="S33" s="52">
        <v>3.1131742841900842</v>
      </c>
      <c r="T33" s="62">
        <f t="shared" si="11"/>
        <v>1.4569364584006816E-2</v>
      </c>
    </row>
    <row r="34" spans="1:20" ht="17.25">
      <c r="A34" s="82"/>
      <c r="B34" s="13" t="s">
        <v>3</v>
      </c>
      <c r="C34" s="55">
        <f t="shared" si="0"/>
        <v>13.441310000000001</v>
      </c>
      <c r="D34" s="55">
        <f t="shared" si="1"/>
        <v>11.470409999999999</v>
      </c>
      <c r="E34" s="55"/>
      <c r="F34" s="55">
        <f t="shared" si="2"/>
        <v>43.632600000000004</v>
      </c>
      <c r="G34" s="55"/>
      <c r="H34" s="55"/>
      <c r="I34" s="23">
        <f t="shared" si="3"/>
        <v>13.177754901960785</v>
      </c>
      <c r="J34" s="23">
        <f t="shared" si="4"/>
        <v>20.446363636363635</v>
      </c>
      <c r="K34" s="23">
        <f t="shared" si="5"/>
        <v>72.600000000000009</v>
      </c>
      <c r="L34" s="23">
        <f t="shared" si="6"/>
        <v>106.22411853832443</v>
      </c>
      <c r="M34" s="23"/>
      <c r="N34" s="23">
        <f t="shared" si="7"/>
        <v>0.12405614735420378</v>
      </c>
      <c r="O34" s="23">
        <f t="shared" si="8"/>
        <v>0.19248325067519223</v>
      </c>
      <c r="P34" s="23">
        <f t="shared" si="9"/>
        <v>0.68346060197060399</v>
      </c>
      <c r="Q34" s="23"/>
      <c r="R34" s="23">
        <f t="shared" si="10"/>
        <v>3.0785219389453964</v>
      </c>
      <c r="S34" s="52">
        <v>3.0871438947981007</v>
      </c>
      <c r="T34" s="62">
        <f t="shared" si="11"/>
        <v>8.6219558527043105E-3</v>
      </c>
    </row>
    <row r="35" spans="1:20" ht="17.25">
      <c r="A35" s="82"/>
      <c r="B35" s="13" t="s">
        <v>4</v>
      </c>
      <c r="C35" s="55">
        <f t="shared" si="0"/>
        <v>21.0184</v>
      </c>
      <c r="D35" s="55">
        <f t="shared" si="1"/>
        <v>13.110279999999999</v>
      </c>
      <c r="E35" s="55"/>
      <c r="F35" s="55">
        <f t="shared" si="2"/>
        <v>40.571100000000001</v>
      </c>
      <c r="G35" s="55"/>
      <c r="H35" s="55"/>
      <c r="I35" s="23">
        <f t="shared" si="3"/>
        <v>20.606274509803924</v>
      </c>
      <c r="J35" s="23">
        <f t="shared" si="4"/>
        <v>23.369483065953656</v>
      </c>
      <c r="K35" s="23">
        <f t="shared" si="5"/>
        <v>67.505990016638933</v>
      </c>
      <c r="L35" s="23">
        <f t="shared" si="6"/>
        <v>111.48174759239652</v>
      </c>
      <c r="M35" s="23"/>
      <c r="N35" s="23">
        <f t="shared" si="7"/>
        <v>0.18483989491396663</v>
      </c>
      <c r="O35" s="23">
        <f t="shared" si="8"/>
        <v>0.20962609189979672</v>
      </c>
      <c r="P35" s="23">
        <f t="shared" si="9"/>
        <v>0.60553401318623656</v>
      </c>
      <c r="Q35" s="23"/>
      <c r="R35" s="23">
        <f t="shared" si="10"/>
        <v>2.938328930492367</v>
      </c>
      <c r="S35" s="52">
        <v>2.971018654024816</v>
      </c>
      <c r="T35" s="62">
        <f t="shared" si="11"/>
        <v>3.2689723532449033E-2</v>
      </c>
    </row>
    <row r="36" spans="1:20" ht="17.25">
      <c r="A36" s="82"/>
      <c r="B36" s="13" t="s">
        <v>5</v>
      </c>
      <c r="C36" s="55">
        <f t="shared" si="0"/>
        <v>13.133360000000001</v>
      </c>
      <c r="D36" s="55">
        <f t="shared" si="1"/>
        <v>12.170119999999999</v>
      </c>
      <c r="E36" s="55"/>
      <c r="F36" s="55">
        <f t="shared" si="2"/>
        <v>42.972799999999992</v>
      </c>
      <c r="G36" s="55"/>
      <c r="H36" s="55"/>
      <c r="I36" s="23">
        <f t="shared" si="3"/>
        <v>12.875843137254904</v>
      </c>
      <c r="J36" s="23">
        <f t="shared" si="4"/>
        <v>21.693618538324419</v>
      </c>
      <c r="K36" s="23">
        <f t="shared" si="5"/>
        <v>71.502163061564033</v>
      </c>
      <c r="L36" s="23">
        <f t="shared" si="6"/>
        <v>106.07162473714335</v>
      </c>
      <c r="M36" s="23"/>
      <c r="N36" s="23">
        <f t="shared" si="7"/>
        <v>0.12138819565706284</v>
      </c>
      <c r="O36" s="23">
        <f t="shared" si="8"/>
        <v>0.20451858441957016</v>
      </c>
      <c r="P36" s="23">
        <f t="shared" si="9"/>
        <v>0.67409321992336702</v>
      </c>
      <c r="Q36" s="23"/>
      <c r="R36" s="23">
        <f t="shared" si="10"/>
        <v>3.0585613220444219</v>
      </c>
      <c r="S36" s="52">
        <v>3.0424338898581289</v>
      </c>
      <c r="T36" s="62">
        <f t="shared" si="11"/>
        <v>1.6127432186292978E-2</v>
      </c>
    </row>
    <row r="37" spans="1:20" ht="17.25">
      <c r="A37" s="82"/>
      <c r="B37" s="13" t="s">
        <v>6</v>
      </c>
      <c r="C37" s="55">
        <f t="shared" si="0"/>
        <v>18.15945</v>
      </c>
      <c r="D37" s="55">
        <f t="shared" si="1"/>
        <v>13.772950000000002</v>
      </c>
      <c r="E37" s="55"/>
      <c r="F37" s="55">
        <f t="shared" si="2"/>
        <v>41.574300000000001</v>
      </c>
      <c r="G37" s="55"/>
      <c r="H37" s="55"/>
      <c r="I37" s="23">
        <f t="shared" si="3"/>
        <v>17.803382352941174</v>
      </c>
      <c r="J37" s="23">
        <f t="shared" si="4"/>
        <v>24.550713012477718</v>
      </c>
      <c r="K37" s="23">
        <f t="shared" si="5"/>
        <v>69.175207986688861</v>
      </c>
      <c r="L37" s="23">
        <f t="shared" si="6"/>
        <v>111.52930335210775</v>
      </c>
      <c r="M37" s="23"/>
      <c r="N37" s="23">
        <f t="shared" si="7"/>
        <v>0.1596296382909731</v>
      </c>
      <c r="O37" s="23">
        <f t="shared" si="8"/>
        <v>0.22012791503744064</v>
      </c>
      <c r="P37" s="23">
        <f t="shared" si="9"/>
        <v>0.62024244667158634</v>
      </c>
      <c r="Q37" s="23"/>
      <c r="R37" s="23">
        <f t="shared" si="10"/>
        <v>2.9586955403531094</v>
      </c>
      <c r="S37" s="52">
        <v>2.969744993840564</v>
      </c>
      <c r="T37" s="62">
        <f t="shared" si="11"/>
        <v>1.1049453487454564E-2</v>
      </c>
    </row>
    <row r="38" spans="1:20" ht="17.25">
      <c r="A38" s="82"/>
      <c r="B38" s="13" t="s">
        <v>7</v>
      </c>
      <c r="C38" s="55">
        <f t="shared" si="0"/>
        <v>18.716839999999998</v>
      </c>
      <c r="D38" s="55">
        <f t="shared" si="1"/>
        <v>16.2774</v>
      </c>
      <c r="E38" s="55"/>
      <c r="F38" s="55">
        <f t="shared" si="2"/>
        <v>34.725499999999997</v>
      </c>
      <c r="G38" s="55"/>
      <c r="H38" s="55"/>
      <c r="I38" s="23">
        <f t="shared" si="3"/>
        <v>18.349843137254901</v>
      </c>
      <c r="J38" s="23">
        <f t="shared" si="4"/>
        <v>29.014973262032086</v>
      </c>
      <c r="K38" s="23">
        <f t="shared" si="5"/>
        <v>57.779534109816964</v>
      </c>
      <c r="L38" s="23">
        <f t="shared" si="6"/>
        <v>105.14435050910396</v>
      </c>
      <c r="M38" s="23"/>
      <c r="N38" s="23">
        <f t="shared" si="7"/>
        <v>0.17452048586924385</v>
      </c>
      <c r="O38" s="23">
        <f t="shared" si="8"/>
        <v>0.27595370670457292</v>
      </c>
      <c r="P38" s="23">
        <f t="shared" si="9"/>
        <v>0.54952580742618318</v>
      </c>
      <c r="Q38" s="23"/>
      <c r="R38" s="23">
        <f t="shared" si="10"/>
        <v>2.8111192552817497</v>
      </c>
      <c r="S38" s="52">
        <v>2.8713870832321842</v>
      </c>
      <c r="T38" s="62">
        <f t="shared" si="11"/>
        <v>6.0267827950434505E-2</v>
      </c>
    </row>
    <row r="39" spans="1:20" ht="17.25">
      <c r="A39" s="82"/>
      <c r="B39" s="13" t="s">
        <v>8</v>
      </c>
      <c r="C39" s="55">
        <f t="shared" si="0"/>
        <v>15.531219999999999</v>
      </c>
      <c r="D39" s="55">
        <f t="shared" si="1"/>
        <v>16.326379999999997</v>
      </c>
      <c r="E39" s="55"/>
      <c r="F39" s="55">
        <f t="shared" si="2"/>
        <v>35.397600000000004</v>
      </c>
      <c r="G39" s="55"/>
      <c r="H39" s="55"/>
      <c r="I39" s="23">
        <f t="shared" si="3"/>
        <v>15.226686274509802</v>
      </c>
      <c r="J39" s="23">
        <f t="shared" si="4"/>
        <v>29.102281639928691</v>
      </c>
      <c r="K39" s="23">
        <f t="shared" si="5"/>
        <v>58.897836938435944</v>
      </c>
      <c r="L39" s="23">
        <f t="shared" si="6"/>
        <v>103.22680485287444</v>
      </c>
      <c r="M39" s="23"/>
      <c r="N39" s="23">
        <f t="shared" si="7"/>
        <v>0.14750709659387276</v>
      </c>
      <c r="O39" s="23">
        <f t="shared" si="8"/>
        <v>0.28192562659870329</v>
      </c>
      <c r="P39" s="23">
        <f t="shared" si="9"/>
        <v>0.57056727680742392</v>
      </c>
      <c r="Q39" s="23"/>
      <c r="R39" s="23">
        <f t="shared" si="10"/>
        <v>2.8428913792440738</v>
      </c>
      <c r="S39" s="52">
        <v>2.8594945145428921</v>
      </c>
      <c r="T39" s="62">
        <f t="shared" si="11"/>
        <v>1.6603135298818295E-2</v>
      </c>
    </row>
    <row r="40" spans="1:20" ht="17.25">
      <c r="A40" s="82"/>
      <c r="B40" s="13" t="s">
        <v>9</v>
      </c>
      <c r="C40" s="55">
        <f t="shared" si="0"/>
        <v>16.562120000000004</v>
      </c>
      <c r="D40" s="55">
        <f t="shared" si="1"/>
        <v>18.651759999999999</v>
      </c>
      <c r="E40" s="55"/>
      <c r="F40" s="55">
        <f t="shared" si="2"/>
        <v>32.030100000000004</v>
      </c>
      <c r="G40" s="55"/>
      <c r="H40" s="55"/>
      <c r="I40" s="23">
        <f t="shared" si="3"/>
        <v>16.237372549019611</v>
      </c>
      <c r="J40" s="23">
        <f t="shared" si="4"/>
        <v>33.247344028520494</v>
      </c>
      <c r="K40" s="23">
        <f t="shared" si="5"/>
        <v>53.294675540765397</v>
      </c>
      <c r="L40" s="23">
        <f t="shared" si="6"/>
        <v>102.77939211830551</v>
      </c>
      <c r="M40" s="23"/>
      <c r="N40" s="23">
        <f t="shared" si="7"/>
        <v>0.15798276497227556</v>
      </c>
      <c r="O40" s="23">
        <f t="shared" si="8"/>
        <v>0.32348259065641022</v>
      </c>
      <c r="P40" s="23">
        <f t="shared" si="9"/>
        <v>0.51853464437131414</v>
      </c>
      <c r="Q40" s="23"/>
      <c r="R40" s="23">
        <f t="shared" si="10"/>
        <v>2.7261861096516942</v>
      </c>
      <c r="S40" s="52">
        <v>2.7340926647610901</v>
      </c>
      <c r="T40" s="62">
        <f t="shared" si="11"/>
        <v>7.9065551093959741E-3</v>
      </c>
    </row>
    <row r="41" spans="1:20" ht="17.25">
      <c r="A41" s="82"/>
      <c r="B41" s="13" t="s">
        <v>10</v>
      </c>
      <c r="C41" s="55">
        <f t="shared" si="0"/>
        <v>15.1419</v>
      </c>
      <c r="D41" s="55">
        <f t="shared" si="1"/>
        <v>17.330180000000006</v>
      </c>
      <c r="E41" s="55"/>
      <c r="F41" s="55">
        <f t="shared" si="2"/>
        <v>33.023999999999994</v>
      </c>
      <c r="G41" s="55"/>
      <c r="H41" s="55"/>
      <c r="I41" s="23">
        <f t="shared" si="3"/>
        <v>14.845000000000001</v>
      </c>
      <c r="J41" s="23">
        <f t="shared" si="4"/>
        <v>30.89158645276293</v>
      </c>
      <c r="K41" s="23">
        <f t="shared" si="5"/>
        <v>54.948419301164712</v>
      </c>
      <c r="L41" s="23">
        <f t="shared" si="6"/>
        <v>100.68500575392764</v>
      </c>
      <c r="M41" s="23"/>
      <c r="N41" s="23">
        <f t="shared" si="7"/>
        <v>0.14744002732920247</v>
      </c>
      <c r="O41" s="23">
        <f t="shared" si="8"/>
        <v>0.30681416981056164</v>
      </c>
      <c r="P41" s="23">
        <f t="shared" si="9"/>
        <v>0.54574580286023588</v>
      </c>
      <c r="Q41" s="23"/>
      <c r="R41" s="23">
        <f t="shared" si="10"/>
        <v>2.7843972827066916</v>
      </c>
      <c r="S41" s="52">
        <v>2.8059506962299996</v>
      </c>
      <c r="T41" s="62">
        <f t="shared" si="11"/>
        <v>2.1553413523307974E-2</v>
      </c>
    </row>
    <row r="42" spans="1:20" ht="17.25">
      <c r="A42" s="82"/>
      <c r="B42" s="13" t="s">
        <v>11</v>
      </c>
      <c r="C42" s="55">
        <f t="shared" si="0"/>
        <v>15.991689999999997</v>
      </c>
      <c r="D42" s="55">
        <f t="shared" si="1"/>
        <v>18.94774</v>
      </c>
      <c r="E42" s="55"/>
      <c r="F42" s="55">
        <f t="shared" si="2"/>
        <v>30.846500000000002</v>
      </c>
      <c r="G42" s="55"/>
      <c r="H42" s="55"/>
      <c r="I42" s="23">
        <f t="shared" si="3"/>
        <v>15.678127450980389</v>
      </c>
      <c r="J42" s="23">
        <f t="shared" si="4"/>
        <v>33.774937611408198</v>
      </c>
      <c r="K42" s="23">
        <f t="shared" si="5"/>
        <v>51.325291181364392</v>
      </c>
      <c r="L42" s="23">
        <f t="shared" si="6"/>
        <v>100.77835624375298</v>
      </c>
      <c r="M42" s="23"/>
      <c r="N42" s="23">
        <f t="shared" si="7"/>
        <v>0.15557038272245327</v>
      </c>
      <c r="O42" s="23">
        <f t="shared" si="8"/>
        <v>0.33514078687408466</v>
      </c>
      <c r="P42" s="23">
        <f t="shared" si="9"/>
        <v>0.50928883040346207</v>
      </c>
      <c r="Q42" s="23"/>
      <c r="R42" s="23">
        <f t="shared" si="10"/>
        <v>2.7013484712336964</v>
      </c>
      <c r="S42" s="52">
        <v>2.6722177988935139</v>
      </c>
      <c r="T42" s="62">
        <f t="shared" si="11"/>
        <v>2.9130672340182517E-2</v>
      </c>
    </row>
    <row r="43" spans="1:20" ht="17.25">
      <c r="A43" s="82"/>
      <c r="B43" s="13" t="s">
        <v>12</v>
      </c>
      <c r="C43" s="55">
        <f t="shared" si="0"/>
        <v>15.788300000000003</v>
      </c>
      <c r="D43" s="55">
        <f t="shared" si="1"/>
        <v>20.280759999999997</v>
      </c>
      <c r="E43" s="55"/>
      <c r="F43" s="55">
        <f t="shared" si="2"/>
        <v>30.606000000000002</v>
      </c>
      <c r="G43" s="55"/>
      <c r="H43" s="55"/>
      <c r="I43" s="23">
        <f t="shared" si="3"/>
        <v>15.478725490196082</v>
      </c>
      <c r="J43" s="23">
        <f t="shared" si="4"/>
        <v>36.151087344028518</v>
      </c>
      <c r="K43" s="23">
        <f t="shared" si="5"/>
        <v>50.925124792013314</v>
      </c>
      <c r="L43" s="23">
        <f t="shared" si="6"/>
        <v>102.55493762623792</v>
      </c>
      <c r="M43" s="23"/>
      <c r="N43" s="23">
        <f t="shared" si="7"/>
        <v>0.15093106044887267</v>
      </c>
      <c r="O43" s="23">
        <f t="shared" si="8"/>
        <v>0.35250460076121709</v>
      </c>
      <c r="P43" s="23">
        <f t="shared" si="9"/>
        <v>0.49656433878991019</v>
      </c>
      <c r="Q43" s="23"/>
      <c r="R43" s="23">
        <f t="shared" si="10"/>
        <v>2.6651012075720972</v>
      </c>
      <c r="S43" s="52">
        <v>2.6888777680965426</v>
      </c>
      <c r="T43" s="62">
        <f t="shared" si="11"/>
        <v>2.3776560524445323E-2</v>
      </c>
    </row>
    <row r="44" spans="1:20" ht="17.25">
      <c r="A44" s="82"/>
      <c r="B44" s="13" t="s">
        <v>13</v>
      </c>
      <c r="C44" s="55">
        <f t="shared" si="0"/>
        <v>16.923370000000002</v>
      </c>
      <c r="D44" s="55">
        <f t="shared" si="1"/>
        <v>21.771270000000001</v>
      </c>
      <c r="E44" s="55"/>
      <c r="F44" s="55">
        <f t="shared" si="2"/>
        <v>30.892199999999999</v>
      </c>
      <c r="G44" s="55"/>
      <c r="H44" s="55"/>
      <c r="I44" s="23">
        <f t="shared" si="3"/>
        <v>16.591539215686275</v>
      </c>
      <c r="J44" s="23">
        <f t="shared" si="4"/>
        <v>38.8079679144385</v>
      </c>
      <c r="K44" s="23">
        <f t="shared" si="5"/>
        <v>51.401331114808649</v>
      </c>
      <c r="L44" s="23">
        <f t="shared" si="6"/>
        <v>106.80083824493343</v>
      </c>
      <c r="M44" s="23"/>
      <c r="N44" s="23">
        <f t="shared" si="7"/>
        <v>0.1553502714804148</v>
      </c>
      <c r="O44" s="23">
        <f t="shared" si="8"/>
        <v>0.36336763411385986</v>
      </c>
      <c r="P44" s="23">
        <f t="shared" si="9"/>
        <v>0.48128209440572528</v>
      </c>
      <c r="Q44" s="23"/>
      <c r="R44" s="23">
        <f t="shared" si="10"/>
        <v>2.6296555640887722</v>
      </c>
      <c r="S44" s="52">
        <v>2.6342035061144542</v>
      </c>
      <c r="T44" s="62">
        <f t="shared" si="11"/>
        <v>4.5479420256819836E-3</v>
      </c>
    </row>
    <row r="45" spans="1:20" ht="17.25">
      <c r="A45" s="82"/>
      <c r="B45" s="13" t="s">
        <v>14</v>
      </c>
      <c r="C45" s="55">
        <f t="shared" si="0"/>
        <v>17.564119999999999</v>
      </c>
      <c r="D45" s="55">
        <f t="shared" si="1"/>
        <v>21.669140000000002</v>
      </c>
      <c r="E45" s="55"/>
      <c r="F45" s="55">
        <f t="shared" si="2"/>
        <v>29.845200000000006</v>
      </c>
      <c r="G45" s="55"/>
      <c r="H45" s="55"/>
      <c r="I45" s="23">
        <f t="shared" si="3"/>
        <v>17.219725490196076</v>
      </c>
      <c r="J45" s="23">
        <f t="shared" si="4"/>
        <v>38.625918003565069</v>
      </c>
      <c r="K45" s="23">
        <f t="shared" si="5"/>
        <v>49.659234608985031</v>
      </c>
      <c r="L45" s="23">
        <f t="shared" si="6"/>
        <v>105.50487810274618</v>
      </c>
      <c r="M45" s="23"/>
      <c r="N45" s="23">
        <f t="shared" si="7"/>
        <v>0.1632126002119694</v>
      </c>
      <c r="O45" s="23">
        <f t="shared" si="8"/>
        <v>0.36610551756620319</v>
      </c>
      <c r="P45" s="23">
        <f t="shared" si="9"/>
        <v>0.47068188222182739</v>
      </c>
      <c r="Q45" s="23"/>
      <c r="R45" s="23">
        <f t="shared" si="10"/>
        <v>2.609632805183892</v>
      </c>
      <c r="S45" s="52">
        <v>2.6429628811011399</v>
      </c>
      <c r="T45" s="62">
        <f t="shared" si="11"/>
        <v>3.3330075917247903E-2</v>
      </c>
    </row>
    <row r="46" spans="1:20" ht="17.25">
      <c r="A46" s="82"/>
      <c r="B46" s="13" t="s">
        <v>15</v>
      </c>
      <c r="C46" s="55">
        <f t="shared" si="0"/>
        <v>15.482589999999997</v>
      </c>
      <c r="D46" s="55">
        <f t="shared" si="1"/>
        <v>23.102070000000005</v>
      </c>
      <c r="E46" s="55"/>
      <c r="F46" s="55">
        <f t="shared" si="2"/>
        <v>30.166799999999999</v>
      </c>
      <c r="G46" s="55"/>
      <c r="H46" s="55"/>
      <c r="I46" s="23">
        <f t="shared" si="3"/>
        <v>15.179009803921565</v>
      </c>
      <c r="J46" s="23">
        <f t="shared" si="4"/>
        <v>41.180160427807493</v>
      </c>
      <c r="K46" s="23">
        <f t="shared" si="5"/>
        <v>50.194342762063222</v>
      </c>
      <c r="L46" s="23">
        <f t="shared" si="6"/>
        <v>106.55351299379228</v>
      </c>
      <c r="M46" s="23"/>
      <c r="N46" s="23">
        <f t="shared" si="7"/>
        <v>0.14245433470415828</v>
      </c>
      <c r="O46" s="23">
        <f t="shared" si="8"/>
        <v>0.38647398167160019</v>
      </c>
      <c r="P46" s="23">
        <f t="shared" si="9"/>
        <v>0.47107168362424151</v>
      </c>
      <c r="Q46" s="23"/>
      <c r="R46" s="23">
        <f t="shared" si="10"/>
        <v>2.5895176381299398</v>
      </c>
      <c r="S46" s="52">
        <v>2.5916324245409452</v>
      </c>
      <c r="T46" s="62">
        <f t="shared" si="11"/>
        <v>2.114786411005376E-3</v>
      </c>
    </row>
    <row r="47" spans="1:20" ht="14.25" customHeight="1">
      <c r="A47" s="82"/>
      <c r="B47" s="13" t="s">
        <v>16</v>
      </c>
      <c r="C47" s="55">
        <f t="shared" si="0"/>
        <v>14.89545</v>
      </c>
      <c r="D47" s="55">
        <f t="shared" si="1"/>
        <v>24.028410000000001</v>
      </c>
      <c r="E47" s="55"/>
      <c r="F47" s="55">
        <f t="shared" si="2"/>
        <v>28.316699999999997</v>
      </c>
      <c r="G47" s="55"/>
      <c r="H47" s="55"/>
      <c r="I47" s="23">
        <f t="shared" si="3"/>
        <v>14.603382352941177</v>
      </c>
      <c r="J47" s="23">
        <f t="shared" si="4"/>
        <v>42.831390374331548</v>
      </c>
      <c r="K47" s="23">
        <f t="shared" si="5"/>
        <v>47.115973377703817</v>
      </c>
      <c r="L47" s="23">
        <f t="shared" si="6"/>
        <v>104.55074610497654</v>
      </c>
      <c r="M47" s="23"/>
      <c r="N47" s="23">
        <f t="shared" si="7"/>
        <v>0.1396774570912992</v>
      </c>
      <c r="O47" s="23">
        <f t="shared" si="8"/>
        <v>0.40967082464744653</v>
      </c>
      <c r="P47" s="23">
        <f t="shared" si="9"/>
        <v>0.45065171826125427</v>
      </c>
      <c r="Q47" s="23"/>
      <c r="R47" s="23">
        <f t="shared" si="10"/>
        <v>2.5299162610840784</v>
      </c>
      <c r="S47" s="52">
        <v>2.4992907668395832</v>
      </c>
      <c r="T47" s="62">
        <f t="shared" si="11"/>
        <v>3.0625494244495233E-2</v>
      </c>
    </row>
    <row r="48" spans="1:20" ht="17.25">
      <c r="A48" s="82"/>
      <c r="B48" s="17" t="s">
        <v>17</v>
      </c>
      <c r="C48" s="56">
        <f t="shared" si="0"/>
        <v>13.425670000000002</v>
      </c>
      <c r="D48" s="56">
        <f t="shared" si="1"/>
        <v>22.28369</v>
      </c>
      <c r="E48" s="56"/>
      <c r="F48" s="56">
        <f t="shared" si="2"/>
        <v>26.367200000000008</v>
      </c>
      <c r="G48" s="56"/>
      <c r="H48" s="56"/>
      <c r="I48" s="50">
        <f t="shared" si="3"/>
        <v>13.162421568627453</v>
      </c>
      <c r="J48" s="50">
        <f t="shared" si="4"/>
        <v>39.721372549019613</v>
      </c>
      <c r="K48" s="50">
        <f t="shared" si="5"/>
        <v>43.872212978369397</v>
      </c>
      <c r="L48" s="50">
        <f t="shared" si="6"/>
        <v>96.756007096016461</v>
      </c>
      <c r="M48" s="50"/>
      <c r="N48" s="50">
        <f t="shared" si="7"/>
        <v>0.13603725457134291</v>
      </c>
      <c r="O48" s="50">
        <f t="shared" si="8"/>
        <v>0.41053133279468473</v>
      </c>
      <c r="P48" s="50">
        <f t="shared" si="9"/>
        <v>0.45343141263397235</v>
      </c>
      <c r="Q48" s="50"/>
      <c r="R48" s="50">
        <f t="shared" si="10"/>
        <v>2.5335092840811271</v>
      </c>
      <c r="S48" s="60">
        <v>2.614180288706049</v>
      </c>
      <c r="T48" s="63">
        <f t="shared" si="11"/>
        <v>8.0671004624921938E-2</v>
      </c>
    </row>
    <row r="49" spans="20:20">
      <c r="T49" s="66">
        <f>AVERAGE(T31:T48)</f>
        <v>2.4730794496865622E-2</v>
      </c>
    </row>
  </sheetData>
  <mergeCells count="6">
    <mergeCell ref="A4:A21"/>
    <mergeCell ref="O22:P22"/>
    <mergeCell ref="M2:R2"/>
    <mergeCell ref="A1:J1"/>
    <mergeCell ref="A2:J2"/>
    <mergeCell ref="M22:N23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2699-6362-415F-8EF6-1A27805B94C5}">
  <dimension ref="A1:AB29"/>
  <sheetViews>
    <sheetView zoomScale="75" zoomScaleNormal="75" workbookViewId="0">
      <selection activeCell="C24" sqref="C24"/>
    </sheetView>
  </sheetViews>
  <sheetFormatPr defaultRowHeight="16.5"/>
  <cols>
    <col min="1" max="1" width="11.875" customWidth="1"/>
    <col min="3" max="3" width="13.25" customWidth="1"/>
    <col min="4" max="4" width="11.5" customWidth="1"/>
    <col min="6" max="6" width="11.625" customWidth="1"/>
    <col min="9" max="9" width="13.25" customWidth="1"/>
    <col min="10" max="10" width="12.25" customWidth="1"/>
    <col min="11" max="11" width="11.5" customWidth="1"/>
    <col min="12" max="12" width="13.125" customWidth="1"/>
    <col min="13" max="13" width="12.5" customWidth="1"/>
    <col min="14" max="14" width="19.75" customWidth="1"/>
    <col min="15" max="15" width="20" customWidth="1"/>
    <col min="16" max="16" width="19.75" customWidth="1"/>
    <col min="17" max="17" width="19.125" customWidth="1"/>
    <col min="18" max="18" width="18.875" customWidth="1"/>
    <col min="19" max="19" width="17.375" customWidth="1"/>
    <col min="20" max="20" width="14.25" customWidth="1"/>
    <col min="22" max="22" width="10.25" customWidth="1"/>
  </cols>
  <sheetData>
    <row r="1" spans="1:28" ht="26.25">
      <c r="A1" s="289" t="s">
        <v>101</v>
      </c>
      <c r="B1" s="289"/>
      <c r="C1" s="289"/>
      <c r="D1" s="289"/>
      <c r="E1" s="289"/>
      <c r="F1" s="289"/>
      <c r="G1" s="289"/>
      <c r="H1" s="289"/>
      <c r="I1" s="289"/>
      <c r="J1" s="28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>
      <c r="A2" s="284" t="s">
        <v>102</v>
      </c>
      <c r="B2" s="285"/>
      <c r="C2" s="285"/>
      <c r="D2" s="285"/>
      <c r="E2" s="285"/>
      <c r="F2" s="285"/>
      <c r="G2" s="285"/>
      <c r="H2" s="285"/>
      <c r="I2" s="285"/>
      <c r="J2" s="285"/>
      <c r="K2" s="1"/>
      <c r="L2" s="295" t="s">
        <v>122</v>
      </c>
      <c r="M2" s="296"/>
      <c r="N2" s="297"/>
      <c r="O2" s="1"/>
      <c r="P2" s="44" t="s">
        <v>106</v>
      </c>
      <c r="Q2" s="45" t="s">
        <v>105</v>
      </c>
      <c r="R2" s="46" t="s">
        <v>107</v>
      </c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34.5">
      <c r="A3" s="2" t="s">
        <v>116</v>
      </c>
      <c r="B3" s="3" t="s">
        <v>18</v>
      </c>
      <c r="C3" s="4" t="s">
        <v>20</v>
      </c>
      <c r="D3" s="4" t="s">
        <v>22</v>
      </c>
      <c r="E3" s="4" t="s">
        <v>21</v>
      </c>
      <c r="F3" s="4" t="s">
        <v>19</v>
      </c>
      <c r="G3" s="4" t="s">
        <v>23</v>
      </c>
      <c r="H3" s="4" t="s">
        <v>33</v>
      </c>
      <c r="I3" s="5" t="s">
        <v>118</v>
      </c>
      <c r="J3" s="6" t="s">
        <v>117</v>
      </c>
      <c r="K3" s="7"/>
      <c r="L3" s="36" t="s">
        <v>103</v>
      </c>
      <c r="M3" s="7" t="s">
        <v>121</v>
      </c>
      <c r="N3" s="37" t="s">
        <v>131</v>
      </c>
      <c r="O3" s="7"/>
      <c r="P3" s="42">
        <v>102</v>
      </c>
      <c r="Q3" s="22">
        <v>56.1</v>
      </c>
      <c r="R3" s="43">
        <v>60.1</v>
      </c>
      <c r="S3" s="7"/>
      <c r="T3" s="7"/>
      <c r="U3" s="7"/>
      <c r="V3" s="7"/>
      <c r="W3" s="7"/>
      <c r="X3" s="7"/>
      <c r="Y3" s="7"/>
      <c r="Z3" s="7"/>
    </row>
    <row r="4" spans="1:28" ht="17.25">
      <c r="A4" s="302">
        <v>2</v>
      </c>
      <c r="B4" s="21" t="s">
        <v>24</v>
      </c>
      <c r="C4" s="9">
        <v>30.3</v>
      </c>
      <c r="D4" s="9">
        <v>0.5</v>
      </c>
      <c r="E4" s="9">
        <v>4.5999999999999996</v>
      </c>
      <c r="F4" s="9">
        <v>58.8</v>
      </c>
      <c r="G4" s="9">
        <v>1.4269575866251432</v>
      </c>
      <c r="H4" s="9">
        <v>1.1000000000000001</v>
      </c>
      <c r="I4" s="10">
        <v>70.7</v>
      </c>
      <c r="J4" s="11">
        <v>3.1718049204584133</v>
      </c>
      <c r="K4" s="23"/>
      <c r="L4" s="38">
        <v>24.3</v>
      </c>
      <c r="M4" s="23">
        <v>2.5</v>
      </c>
      <c r="N4" s="39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28" ht="17.25">
      <c r="A5" s="302"/>
      <c r="B5" s="1" t="s">
        <v>25</v>
      </c>
      <c r="C5" s="14">
        <v>31</v>
      </c>
      <c r="D5" s="14">
        <v>0.9</v>
      </c>
      <c r="E5" s="14">
        <v>4.5999999999999996</v>
      </c>
      <c r="F5" s="14">
        <v>58.4</v>
      </c>
      <c r="G5" s="14">
        <v>1.2144319886171386</v>
      </c>
      <c r="H5" s="14">
        <v>1.1000000000000001</v>
      </c>
      <c r="I5" s="15">
        <v>65.8</v>
      </c>
      <c r="J5" s="16">
        <v>3.1653109765785743</v>
      </c>
      <c r="K5" s="23"/>
      <c r="L5" s="38">
        <v>23.1</v>
      </c>
      <c r="M5" s="23">
        <v>3.2</v>
      </c>
      <c r="N5" s="39"/>
      <c r="O5" s="23"/>
      <c r="P5" s="47"/>
      <c r="Q5" s="48" t="s">
        <v>125</v>
      </c>
      <c r="R5" s="49" t="s">
        <v>126</v>
      </c>
      <c r="S5" s="23"/>
      <c r="T5" s="23"/>
      <c r="U5" s="23"/>
      <c r="V5" s="23"/>
      <c r="W5" s="23"/>
      <c r="X5" s="23"/>
      <c r="Y5" s="23"/>
    </row>
    <row r="6" spans="1:28" ht="17.25">
      <c r="A6" s="302"/>
      <c r="B6" s="1" t="s">
        <v>26</v>
      </c>
      <c r="C6" s="14">
        <v>30.5</v>
      </c>
      <c r="D6" s="14">
        <v>0.7</v>
      </c>
      <c r="E6" s="14">
        <v>3.8</v>
      </c>
      <c r="F6" s="14">
        <v>56.6</v>
      </c>
      <c r="G6" s="14">
        <v>2.1859775795108503</v>
      </c>
      <c r="H6" s="14">
        <v>1.2</v>
      </c>
      <c r="I6" s="15">
        <v>72.599999999999994</v>
      </c>
      <c r="J6" s="16">
        <v>3.1578935563380983</v>
      </c>
      <c r="K6" s="23"/>
      <c r="L6" s="38">
        <v>22.7</v>
      </c>
      <c r="M6" s="23">
        <v>1.9</v>
      </c>
      <c r="N6" s="39"/>
      <c r="O6" s="23"/>
      <c r="P6" s="38" t="s">
        <v>123</v>
      </c>
      <c r="Q6" s="23">
        <v>0.71799999999999997</v>
      </c>
      <c r="R6" s="39">
        <v>0.28199999999999997</v>
      </c>
      <c r="S6" s="23"/>
      <c r="T6" s="23"/>
      <c r="U6" s="23"/>
      <c r="V6" s="23"/>
      <c r="W6" s="23"/>
      <c r="X6" s="23"/>
      <c r="Y6" s="23"/>
      <c r="Z6" s="23"/>
    </row>
    <row r="7" spans="1:28" ht="17.25">
      <c r="A7" s="302"/>
      <c r="B7" s="1" t="s">
        <v>27</v>
      </c>
      <c r="C7" s="14">
        <v>31.1</v>
      </c>
      <c r="D7" s="14">
        <v>1.3</v>
      </c>
      <c r="E7" s="14">
        <v>4.5</v>
      </c>
      <c r="F7" s="14">
        <v>55.7</v>
      </c>
      <c r="G7" s="14">
        <v>1.9430911817874235</v>
      </c>
      <c r="H7" s="14">
        <v>1</v>
      </c>
      <c r="I7" s="15">
        <v>73.3</v>
      </c>
      <c r="J7" s="16">
        <v>3.140478656447931</v>
      </c>
      <c r="K7" s="23"/>
      <c r="L7" s="38">
        <v>21.7</v>
      </c>
      <c r="M7" s="23">
        <v>2.2000000000000002</v>
      </c>
      <c r="N7" s="39"/>
      <c r="O7" s="23"/>
      <c r="P7" s="40" t="s">
        <v>124</v>
      </c>
      <c r="Q7" s="50">
        <v>0.77200000000000002</v>
      </c>
      <c r="R7" s="41">
        <v>0.22800000000000001</v>
      </c>
      <c r="S7" s="23"/>
      <c r="T7" s="23"/>
      <c r="U7" s="23"/>
      <c r="V7" s="23"/>
      <c r="W7" s="23"/>
      <c r="X7" s="23"/>
      <c r="Y7" s="23"/>
      <c r="Z7" s="23"/>
    </row>
    <row r="8" spans="1:28" ht="17.25">
      <c r="A8" s="302"/>
      <c r="B8" s="1" t="s">
        <v>28</v>
      </c>
      <c r="C8" s="14">
        <v>29.8</v>
      </c>
      <c r="D8" s="14">
        <v>1.3</v>
      </c>
      <c r="E8" s="14">
        <v>5.8</v>
      </c>
      <c r="F8" s="14">
        <v>57.9</v>
      </c>
      <c r="G8" s="14">
        <v>1.2751535880479965</v>
      </c>
      <c r="H8" s="14">
        <v>1</v>
      </c>
      <c r="I8" s="15">
        <v>71.900000000000006</v>
      </c>
      <c r="J8" s="16">
        <v>3.1743433370997836</v>
      </c>
      <c r="K8" s="23"/>
      <c r="L8" s="38">
        <v>21.5</v>
      </c>
      <c r="M8" s="23">
        <v>3</v>
      </c>
      <c r="N8" s="3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8" ht="17.25">
      <c r="A9" s="302"/>
      <c r="B9" s="1" t="s">
        <v>29</v>
      </c>
      <c r="C9" s="14">
        <v>25</v>
      </c>
      <c r="D9" s="14">
        <v>1.2</v>
      </c>
      <c r="E9" s="14">
        <v>3.5</v>
      </c>
      <c r="F9" s="14">
        <v>58</v>
      </c>
      <c r="G9" s="14">
        <v>3.4611311675588423</v>
      </c>
      <c r="H9" s="14">
        <v>0.9</v>
      </c>
      <c r="I9" s="15">
        <v>78</v>
      </c>
      <c r="J9" s="16">
        <v>3.2666910198642674</v>
      </c>
      <c r="L9" s="71">
        <v>16.5</v>
      </c>
      <c r="M9" s="69">
        <v>4.4000000000000004</v>
      </c>
      <c r="N9" s="136"/>
      <c r="P9" s="64"/>
      <c r="Q9" s="48" t="s">
        <v>133</v>
      </c>
      <c r="R9" s="49" t="s">
        <v>125</v>
      </c>
    </row>
    <row r="10" spans="1:28" ht="17.25">
      <c r="A10" s="302"/>
      <c r="B10" s="1" t="s">
        <v>30</v>
      </c>
      <c r="C10" s="14">
        <v>20.100000000000001</v>
      </c>
      <c r="D10" s="14">
        <v>4.5</v>
      </c>
      <c r="E10" s="14">
        <v>10.199999999999999</v>
      </c>
      <c r="F10" s="14">
        <v>51</v>
      </c>
      <c r="G10" s="14">
        <v>3.4004095681279889</v>
      </c>
      <c r="H10" s="14">
        <v>3</v>
      </c>
      <c r="I10" s="15">
        <v>73.3</v>
      </c>
      <c r="J10" s="16">
        <v>3.1519933071990582</v>
      </c>
      <c r="L10" s="71">
        <v>16.899999999999999</v>
      </c>
      <c r="M10" s="69"/>
      <c r="N10" s="136"/>
      <c r="O10" s="7"/>
      <c r="P10" s="76" t="s">
        <v>132</v>
      </c>
      <c r="Q10" s="50">
        <v>0.623</v>
      </c>
      <c r="R10" s="41">
        <v>0.377</v>
      </c>
    </row>
    <row r="11" spans="1:28" ht="17.25">
      <c r="A11" s="302"/>
      <c r="B11" s="1" t="s">
        <v>31</v>
      </c>
      <c r="C11" s="14">
        <v>23</v>
      </c>
      <c r="D11" s="14">
        <v>9.6</v>
      </c>
      <c r="E11" s="14">
        <v>3.2</v>
      </c>
      <c r="F11" s="14">
        <v>55.7</v>
      </c>
      <c r="G11" s="14">
        <v>1.6394831846331388</v>
      </c>
      <c r="H11" s="14">
        <v>3.1</v>
      </c>
      <c r="I11" s="15">
        <v>90.6</v>
      </c>
      <c r="J11" s="16">
        <v>3.1647860231080513</v>
      </c>
      <c r="L11" s="72">
        <v>5.9</v>
      </c>
      <c r="M11" s="1">
        <v>1.3</v>
      </c>
      <c r="N11" s="137">
        <v>0.6</v>
      </c>
      <c r="O11" s="1"/>
    </row>
    <row r="12" spans="1:28" ht="17.25">
      <c r="A12" s="302"/>
      <c r="B12" s="22" t="s">
        <v>32</v>
      </c>
      <c r="C12" s="18">
        <v>24</v>
      </c>
      <c r="D12" s="18">
        <v>9.4</v>
      </c>
      <c r="E12" s="18">
        <v>4.4000000000000004</v>
      </c>
      <c r="F12" s="18">
        <v>51.6</v>
      </c>
      <c r="G12" s="18">
        <v>2.0038127812182771</v>
      </c>
      <c r="H12" s="18">
        <v>4</v>
      </c>
      <c r="I12" s="19">
        <v>92.5</v>
      </c>
      <c r="J12" s="20">
        <v>3.1476573795506124</v>
      </c>
      <c r="L12" s="73">
        <v>4</v>
      </c>
      <c r="M12" s="33">
        <v>0.9</v>
      </c>
      <c r="N12" s="79">
        <v>0.7</v>
      </c>
    </row>
    <row r="13" spans="1:28" ht="16.5" customHeight="1">
      <c r="L13" s="294" t="s">
        <v>134</v>
      </c>
      <c r="M13" s="294"/>
      <c r="N13" s="294"/>
    </row>
    <row r="14" spans="1:28">
      <c r="A14" s="35"/>
      <c r="L14" s="294"/>
      <c r="M14" s="294"/>
      <c r="N14" s="294"/>
    </row>
    <row r="15" spans="1:28" ht="17.25">
      <c r="A15" s="35"/>
      <c r="I15" s="1"/>
      <c r="J15" s="1"/>
      <c r="K15" s="1"/>
      <c r="L15" s="294"/>
      <c r="M15" s="294"/>
      <c r="N15" s="294"/>
      <c r="O15" s="1"/>
      <c r="P15" s="1"/>
      <c r="Q15" s="1"/>
      <c r="R15" s="1"/>
    </row>
    <row r="16" spans="1:28" ht="33" customHeight="1">
      <c r="A16" s="127"/>
      <c r="B16" s="127"/>
      <c r="C16" s="127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21" ht="34.5" customHeight="1">
      <c r="A17" s="299" t="s">
        <v>129</v>
      </c>
      <c r="B17" s="53"/>
      <c r="C17" s="3" t="s">
        <v>104</v>
      </c>
      <c r="D17" s="3" t="s">
        <v>119</v>
      </c>
      <c r="E17" s="3"/>
      <c r="F17" s="54" t="s">
        <v>120</v>
      </c>
      <c r="G17" s="54"/>
      <c r="H17" s="3"/>
      <c r="I17" s="3" t="s">
        <v>109</v>
      </c>
      <c r="J17" s="3" t="s">
        <v>108</v>
      </c>
      <c r="K17" s="3" t="s">
        <v>110</v>
      </c>
      <c r="L17" s="3" t="s">
        <v>111</v>
      </c>
      <c r="M17" s="3"/>
      <c r="N17" s="3" t="s">
        <v>113</v>
      </c>
      <c r="O17" s="3" t="s">
        <v>112</v>
      </c>
      <c r="P17" s="3" t="s">
        <v>114</v>
      </c>
      <c r="Q17" s="3"/>
      <c r="R17" s="3" t="s">
        <v>115</v>
      </c>
      <c r="S17" s="58" t="s">
        <v>117</v>
      </c>
      <c r="T17" s="61" t="s">
        <v>130</v>
      </c>
      <c r="U17" s="55"/>
    </row>
    <row r="18" spans="1:21" ht="17.25">
      <c r="A18" s="300"/>
      <c r="B18" s="1" t="s">
        <v>24</v>
      </c>
      <c r="C18" s="55">
        <f>C4-M4*$Q$6-N4*$R$10</f>
        <v>28.505000000000003</v>
      </c>
      <c r="D18" s="55">
        <f>D4*I4*0.01-N4*$Q$10</f>
        <v>0.35350000000000004</v>
      </c>
      <c r="E18" s="55"/>
      <c r="F18" s="55">
        <f>F4*(100-L4)*0.01-(M4*$R$6)</f>
        <v>43.806600000000003</v>
      </c>
      <c r="G18" s="55"/>
      <c r="H18" s="55"/>
      <c r="I18" s="23">
        <f>100*C18/$P$3</f>
        <v>27.946078431372552</v>
      </c>
      <c r="J18" s="23">
        <f>100*D18/$Q$3</f>
        <v>0.63012477718360071</v>
      </c>
      <c r="K18" s="23">
        <f>100*F18/$R$3</f>
        <v>72.889517470881856</v>
      </c>
      <c r="L18" s="23">
        <f>SUM(I18:K18)</f>
        <v>101.46572067943801</v>
      </c>
      <c r="M18" s="23"/>
      <c r="N18" s="23">
        <f>I18/L18</f>
        <v>0.27542384013279686</v>
      </c>
      <c r="O18" s="23">
        <f>J18/L18</f>
        <v>6.2102232454876284E-3</v>
      </c>
      <c r="P18" s="23">
        <f>K18/L18</f>
        <v>0.71836593662171555</v>
      </c>
      <c r="Q18" s="23"/>
      <c r="R18" s="23">
        <f>(11-12*O18+N18)/(3-2*O18+2*N18)</f>
        <v>3.1655027562170268</v>
      </c>
      <c r="S18" s="52">
        <v>3.1718049204584133</v>
      </c>
      <c r="T18" s="62">
        <f>ABS(R18-S18)</f>
        <v>6.3021642413865209E-3</v>
      </c>
      <c r="U18" s="55"/>
    </row>
    <row r="19" spans="1:21" ht="17.25">
      <c r="A19" s="300"/>
      <c r="B19" s="1" t="s">
        <v>25</v>
      </c>
      <c r="C19" s="55">
        <f t="shared" ref="C19:C25" si="0">C5-M5*$Q$6-N5*$R$10</f>
        <v>28.702400000000001</v>
      </c>
      <c r="D19" s="55">
        <f t="shared" ref="D19:D24" si="1">D5*I5*0.01-N5*$Q$10</f>
        <v>0.59219999999999995</v>
      </c>
      <c r="E19" s="55"/>
      <c r="F19" s="55">
        <f t="shared" ref="F19:F26" si="2">F5*(100-L5)*0.01-(M5*$R$6)</f>
        <v>44.007200000000005</v>
      </c>
      <c r="G19" s="55"/>
      <c r="H19" s="55"/>
      <c r="I19" s="23">
        <f t="shared" ref="I19:I26" si="3">100*C19/$P$3</f>
        <v>28.139607843137256</v>
      </c>
      <c r="J19" s="23">
        <f t="shared" ref="J19:J26" si="4">100*D19/$Q$3</f>
        <v>1.0556149732620319</v>
      </c>
      <c r="K19" s="23">
        <f t="shared" ref="K19:K26" si="5">100*F19/$R$3</f>
        <v>73.223294509151415</v>
      </c>
      <c r="L19" s="23">
        <f t="shared" ref="L19:L26" si="6">SUM(I19:K19)</f>
        <v>102.41851732555071</v>
      </c>
      <c r="M19" s="23"/>
      <c r="N19" s="23">
        <f t="shared" ref="N19:N26" si="7">I19/L19</f>
        <v>0.27475117369344271</v>
      </c>
      <c r="O19" s="23">
        <f t="shared" ref="O19:O26" si="8">J19/L19</f>
        <v>1.030687614727541E-2</v>
      </c>
      <c r="P19" s="23">
        <f t="shared" ref="P19:P26" si="9">K19/L19</f>
        <v>0.71494195015928186</v>
      </c>
      <c r="Q19" s="23"/>
      <c r="R19" s="23">
        <f t="shared" ref="R19:R26" si="10">(11-12*O19+N19)/(3-2*O19+2*N19)</f>
        <v>3.1599378556279887</v>
      </c>
      <c r="S19" s="52">
        <v>3.1653109765785743</v>
      </c>
      <c r="T19" s="62">
        <f t="shared" ref="T19:T26" si="11">ABS(R19-S19)</f>
        <v>5.3731209505856192E-3</v>
      </c>
      <c r="U19" s="55"/>
    </row>
    <row r="20" spans="1:21" ht="17.25">
      <c r="A20" s="300"/>
      <c r="B20" s="1" t="s">
        <v>26</v>
      </c>
      <c r="C20" s="55">
        <f t="shared" si="0"/>
        <v>29.1358</v>
      </c>
      <c r="D20" s="55">
        <f t="shared" si="1"/>
        <v>0.50819999999999999</v>
      </c>
      <c r="E20" s="55"/>
      <c r="F20" s="55">
        <f t="shared" si="2"/>
        <v>43.216000000000001</v>
      </c>
      <c r="G20" s="55"/>
      <c r="H20" s="55"/>
      <c r="I20" s="23">
        <f t="shared" si="3"/>
        <v>28.564509803921567</v>
      </c>
      <c r="J20" s="23">
        <f t="shared" si="4"/>
        <v>0.90588235294117647</v>
      </c>
      <c r="K20" s="23">
        <f t="shared" si="5"/>
        <v>71.90682196339435</v>
      </c>
      <c r="L20" s="23">
        <f t="shared" si="6"/>
        <v>101.37721412025709</v>
      </c>
      <c r="M20" s="23"/>
      <c r="N20" s="23">
        <f t="shared" si="7"/>
        <v>0.28176459623399569</v>
      </c>
      <c r="O20" s="23">
        <f t="shared" si="8"/>
        <v>8.9357589947834642E-3</v>
      </c>
      <c r="P20" s="23">
        <f t="shared" si="9"/>
        <v>0.70929964477122087</v>
      </c>
      <c r="Q20" s="23"/>
      <c r="R20" s="23">
        <f t="shared" si="10"/>
        <v>3.1516114961494126</v>
      </c>
      <c r="S20" s="52">
        <v>3.1578935563380983</v>
      </c>
      <c r="T20" s="62">
        <f t="shared" si="11"/>
        <v>6.2820601886857119E-3</v>
      </c>
      <c r="U20" s="55"/>
    </row>
    <row r="21" spans="1:21" ht="17.25">
      <c r="A21" s="300"/>
      <c r="B21" s="1" t="s">
        <v>27</v>
      </c>
      <c r="C21" s="55">
        <f t="shared" si="0"/>
        <v>29.520400000000002</v>
      </c>
      <c r="D21" s="55">
        <f t="shared" si="1"/>
        <v>0.95290000000000008</v>
      </c>
      <c r="E21" s="55"/>
      <c r="F21" s="55">
        <f t="shared" si="2"/>
        <v>42.992700000000006</v>
      </c>
      <c r="G21" s="55"/>
      <c r="H21" s="55"/>
      <c r="I21" s="23">
        <f t="shared" si="3"/>
        <v>28.941568627450984</v>
      </c>
      <c r="J21" s="23">
        <f t="shared" si="4"/>
        <v>1.6985739750445634</v>
      </c>
      <c r="K21" s="23">
        <f t="shared" si="5"/>
        <v>71.535274542429292</v>
      </c>
      <c r="L21" s="23">
        <f t="shared" si="6"/>
        <v>102.17541714492484</v>
      </c>
      <c r="M21" s="23"/>
      <c r="N21" s="23">
        <f t="shared" si="7"/>
        <v>0.28325373593924735</v>
      </c>
      <c r="O21" s="23">
        <f t="shared" si="8"/>
        <v>1.6624096309147619E-2</v>
      </c>
      <c r="P21" s="23">
        <f t="shared" si="9"/>
        <v>0.70012216775160507</v>
      </c>
      <c r="Q21" s="23"/>
      <c r="R21" s="23">
        <f t="shared" si="10"/>
        <v>3.1369802508663374</v>
      </c>
      <c r="S21" s="52">
        <v>3.140478656447931</v>
      </c>
      <c r="T21" s="62">
        <f t="shared" si="11"/>
        <v>3.4984055815936443E-3</v>
      </c>
      <c r="U21" s="55"/>
    </row>
    <row r="22" spans="1:21" ht="17.25">
      <c r="A22" s="300"/>
      <c r="B22" s="1" t="s">
        <v>28</v>
      </c>
      <c r="C22" s="55">
        <f t="shared" si="0"/>
        <v>27.646000000000001</v>
      </c>
      <c r="D22" s="55">
        <f t="shared" si="1"/>
        <v>0.9347000000000002</v>
      </c>
      <c r="E22" s="55"/>
      <c r="F22" s="55">
        <f t="shared" si="2"/>
        <v>44.605499999999999</v>
      </c>
      <c r="G22" s="55"/>
      <c r="H22" s="55"/>
      <c r="I22" s="23">
        <f t="shared" si="3"/>
        <v>27.103921568627449</v>
      </c>
      <c r="J22" s="23">
        <f t="shared" si="4"/>
        <v>1.666131907308378</v>
      </c>
      <c r="K22" s="23">
        <f t="shared" si="5"/>
        <v>74.218801996672212</v>
      </c>
      <c r="L22" s="23">
        <f t="shared" si="6"/>
        <v>102.98885547260804</v>
      </c>
      <c r="M22" s="23"/>
      <c r="N22" s="23">
        <f t="shared" si="7"/>
        <v>0.26317334476870929</v>
      </c>
      <c r="O22" s="23">
        <f t="shared" si="8"/>
        <v>1.6177788360329137E-2</v>
      </c>
      <c r="P22" s="23">
        <f t="shared" si="9"/>
        <v>0.72064886687096164</v>
      </c>
      <c r="Q22" s="23"/>
      <c r="R22" s="23">
        <f t="shared" si="10"/>
        <v>3.1680217628032836</v>
      </c>
      <c r="S22" s="52">
        <v>3.1743433370997836</v>
      </c>
      <c r="T22" s="62">
        <f t="shared" si="11"/>
        <v>6.3215742964999322E-3</v>
      </c>
      <c r="U22" s="55"/>
    </row>
    <row r="23" spans="1:21" ht="17.25">
      <c r="A23" s="300"/>
      <c r="B23" s="1" t="s">
        <v>29</v>
      </c>
      <c r="C23" s="55">
        <f>C9-M9*$Q$6-N9*$R$10</f>
        <v>21.840800000000002</v>
      </c>
      <c r="D23" s="55">
        <f t="shared" si="1"/>
        <v>0.93599999999999994</v>
      </c>
      <c r="E23" s="55"/>
      <c r="F23" s="55">
        <f t="shared" si="2"/>
        <v>47.1892</v>
      </c>
      <c r="G23" s="55"/>
      <c r="H23" s="55"/>
      <c r="I23" s="23">
        <f t="shared" si="3"/>
        <v>21.412549019607841</v>
      </c>
      <c r="J23" s="23">
        <f t="shared" si="4"/>
        <v>1.6684491978609624</v>
      </c>
      <c r="K23" s="23">
        <f t="shared" si="5"/>
        <v>78.517803660565718</v>
      </c>
      <c r="L23" s="23">
        <f t="shared" si="6"/>
        <v>101.59880187803452</v>
      </c>
      <c r="M23" s="23"/>
      <c r="N23" s="23">
        <f t="shared" si="7"/>
        <v>0.21075592057977993</v>
      </c>
      <c r="O23" s="23">
        <f t="shared" si="8"/>
        <v>1.6421937729776299E-2</v>
      </c>
      <c r="P23" s="23">
        <f t="shared" si="9"/>
        <v>0.77282214169044372</v>
      </c>
      <c r="Q23" s="23"/>
      <c r="R23" s="23">
        <f t="shared" si="10"/>
        <v>3.2501539776994153</v>
      </c>
      <c r="S23" s="52">
        <v>3.2666910198642674</v>
      </c>
      <c r="T23" s="62">
        <f t="shared" si="11"/>
        <v>1.6537042164852078E-2</v>
      </c>
    </row>
    <row r="24" spans="1:21" ht="17.25">
      <c r="A24" s="300"/>
      <c r="B24" s="1" t="s">
        <v>30</v>
      </c>
      <c r="C24" s="55">
        <f>C10*I10*0.01</f>
        <v>14.733300000000002</v>
      </c>
      <c r="D24" s="55">
        <f t="shared" si="1"/>
        <v>3.2984999999999998</v>
      </c>
      <c r="E24" s="55"/>
      <c r="F24" s="55">
        <f>F10*(100-L10)*0.01-(M10*$R$6)</f>
        <v>42.380999999999993</v>
      </c>
      <c r="G24" s="55"/>
      <c r="H24" s="55"/>
      <c r="I24" s="23">
        <f t="shared" si="3"/>
        <v>14.444411764705883</v>
      </c>
      <c r="J24" s="23">
        <f t="shared" si="4"/>
        <v>5.879679144385026</v>
      </c>
      <c r="K24" s="23">
        <f t="shared" si="5"/>
        <v>70.517470881863545</v>
      </c>
      <c r="L24" s="23">
        <f t="shared" si="6"/>
        <v>90.841561790954458</v>
      </c>
      <c r="M24" s="23"/>
      <c r="N24" s="23">
        <f t="shared" si="7"/>
        <v>0.15900664277377258</v>
      </c>
      <c r="O24" s="23">
        <f t="shared" si="8"/>
        <v>6.472454929732939E-2</v>
      </c>
      <c r="P24" s="23">
        <f t="shared" si="9"/>
        <v>0.77626880792889796</v>
      </c>
      <c r="Q24" s="23"/>
      <c r="R24" s="23">
        <f t="shared" si="10"/>
        <v>3.2561088447548401</v>
      </c>
      <c r="S24" s="52">
        <v>3.1519933071990582</v>
      </c>
      <c r="T24" s="62">
        <f t="shared" si="11"/>
        <v>0.10411553755578185</v>
      </c>
    </row>
    <row r="25" spans="1:21" ht="17.25">
      <c r="A25" s="300"/>
      <c r="B25" s="1" t="s">
        <v>31</v>
      </c>
      <c r="C25" s="55">
        <f t="shared" si="0"/>
        <v>21.840400000000002</v>
      </c>
      <c r="D25" s="55">
        <f>D11-N11*$Q$10</f>
        <v>9.2262000000000004</v>
      </c>
      <c r="E25" s="55"/>
      <c r="F25" s="55">
        <f t="shared" si="2"/>
        <v>52.0471</v>
      </c>
      <c r="G25" s="55"/>
      <c r="H25" s="55"/>
      <c r="I25" s="23">
        <f t="shared" si="3"/>
        <v>21.412156862745103</v>
      </c>
      <c r="J25" s="23">
        <f t="shared" si="4"/>
        <v>16.445989304812834</v>
      </c>
      <c r="K25" s="23">
        <f t="shared" si="5"/>
        <v>86.600831946755406</v>
      </c>
      <c r="L25" s="23">
        <f t="shared" si="6"/>
        <v>124.45897811431334</v>
      </c>
      <c r="M25" s="23"/>
      <c r="N25" s="23">
        <f t="shared" si="7"/>
        <v>0.17204188229055217</v>
      </c>
      <c r="O25" s="23">
        <f t="shared" si="8"/>
        <v>0.13213983879658314</v>
      </c>
      <c r="P25" s="23">
        <f t="shared" si="9"/>
        <v>0.69581827891286474</v>
      </c>
      <c r="Q25" s="23"/>
      <c r="R25" s="23">
        <f t="shared" si="10"/>
        <v>3.1126537747104104</v>
      </c>
      <c r="S25" s="52">
        <v>3.1647860231080513</v>
      </c>
      <c r="T25" s="62">
        <f t="shared" si="11"/>
        <v>5.2132248397640968E-2</v>
      </c>
    </row>
    <row r="26" spans="1:21" ht="17.25">
      <c r="A26" s="301"/>
      <c r="B26" s="22" t="s">
        <v>32</v>
      </c>
      <c r="C26" s="55">
        <f>C12-M12*$Q$6-N12*$R$10</f>
        <v>23.0899</v>
      </c>
      <c r="D26" s="55">
        <f>D12-N12*$Q$10</f>
        <v>8.9639000000000006</v>
      </c>
      <c r="E26" s="56"/>
      <c r="F26" s="56">
        <f t="shared" si="2"/>
        <v>49.282200000000003</v>
      </c>
      <c r="G26" s="56"/>
      <c r="H26" s="56"/>
      <c r="I26" s="50">
        <f t="shared" si="3"/>
        <v>22.637156862745098</v>
      </c>
      <c r="J26" s="50">
        <f t="shared" si="4"/>
        <v>15.978431372549021</v>
      </c>
      <c r="K26" s="50">
        <f t="shared" si="5"/>
        <v>82.000332778702159</v>
      </c>
      <c r="L26" s="50">
        <f t="shared" si="6"/>
        <v>120.61592101399629</v>
      </c>
      <c r="M26" s="50"/>
      <c r="N26" s="50">
        <f t="shared" si="7"/>
        <v>0.18767967505813996</v>
      </c>
      <c r="O26" s="50">
        <f t="shared" si="8"/>
        <v>0.13247365056139548</v>
      </c>
      <c r="P26" s="50">
        <f t="shared" si="9"/>
        <v>0.67984667438046453</v>
      </c>
      <c r="Q26" s="50"/>
      <c r="R26" s="50">
        <f t="shared" si="10"/>
        <v>3.0857634670709464</v>
      </c>
      <c r="S26" s="60">
        <v>3.1476573795506124</v>
      </c>
      <c r="T26" s="63">
        <f t="shared" si="11"/>
        <v>6.1893912479666024E-2</v>
      </c>
    </row>
    <row r="27" spans="1:21" ht="17.25">
      <c r="A27" s="57"/>
      <c r="B27" s="1"/>
      <c r="C27" s="55"/>
      <c r="D27" s="55"/>
      <c r="E27" s="55"/>
      <c r="F27" s="55"/>
      <c r="G27" s="55"/>
      <c r="H27" s="55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63">
        <f>AVERAGE(T18:T26)</f>
        <v>2.9161785095188037E-2</v>
      </c>
    </row>
    <row r="28" spans="1:21" ht="17.25">
      <c r="A28" s="57"/>
      <c r="B28" s="1"/>
      <c r="C28" s="55"/>
      <c r="D28" s="55"/>
      <c r="E28" s="55"/>
      <c r="F28" s="55"/>
      <c r="G28" s="55"/>
      <c r="H28" s="55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55"/>
    </row>
    <row r="29" spans="1:21" ht="17.25">
      <c r="A29" s="57"/>
      <c r="B29" s="1"/>
      <c r="C29" s="55"/>
      <c r="D29" s="55"/>
      <c r="E29" s="55"/>
      <c r="F29" s="55"/>
      <c r="G29" s="55"/>
      <c r="H29" s="55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55"/>
    </row>
  </sheetData>
  <mergeCells count="6">
    <mergeCell ref="A17:A26"/>
    <mergeCell ref="A1:J1"/>
    <mergeCell ref="A2:J2"/>
    <mergeCell ref="A4:A12"/>
    <mergeCell ref="L2:N2"/>
    <mergeCell ref="L13:N15"/>
  </mergeCells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08363-C0E1-4283-BBEE-F5B989E5097F}">
  <dimension ref="A1:AA24"/>
  <sheetViews>
    <sheetView tabSelected="1" zoomScale="75" zoomScaleNormal="75" workbookViewId="0">
      <selection activeCell="R18" sqref="R18"/>
    </sheetView>
  </sheetViews>
  <sheetFormatPr defaultRowHeight="16.5"/>
  <cols>
    <col min="1" max="1" width="11.875" customWidth="1"/>
    <col min="3" max="3" width="13.25" customWidth="1"/>
    <col min="4" max="4" width="11.5" customWidth="1"/>
    <col min="6" max="6" width="11.625" customWidth="1"/>
    <col min="9" max="9" width="13.25" customWidth="1"/>
    <col min="10" max="10" width="12.25" customWidth="1"/>
    <col min="11" max="11" width="11.5" customWidth="1"/>
    <col min="12" max="12" width="13.125" customWidth="1"/>
    <col min="13" max="13" width="12.5" customWidth="1"/>
    <col min="14" max="14" width="21.875" customWidth="1"/>
    <col min="15" max="15" width="20" customWidth="1"/>
    <col min="16" max="16" width="19.75" customWidth="1"/>
    <col min="17" max="17" width="19.125" customWidth="1"/>
    <col min="18" max="18" width="18.875" customWidth="1"/>
    <col min="19" max="19" width="17.375" customWidth="1"/>
    <col min="20" max="20" width="14.25" customWidth="1"/>
    <col min="22" max="22" width="10.25" customWidth="1"/>
  </cols>
  <sheetData>
    <row r="1" spans="1:27" ht="26.25">
      <c r="A1" s="289" t="s">
        <v>101</v>
      </c>
      <c r="B1" s="289"/>
      <c r="C1" s="289"/>
      <c r="D1" s="289"/>
      <c r="E1" s="289"/>
      <c r="F1" s="289"/>
      <c r="G1" s="289"/>
      <c r="H1" s="289"/>
      <c r="I1" s="289"/>
      <c r="J1" s="28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>
      <c r="A2" s="284" t="s">
        <v>102</v>
      </c>
      <c r="B2" s="285"/>
      <c r="C2" s="285"/>
      <c r="D2" s="285"/>
      <c r="E2" s="285"/>
      <c r="F2" s="285"/>
      <c r="G2" s="285"/>
      <c r="H2" s="285"/>
      <c r="I2" s="285"/>
      <c r="J2" s="285"/>
      <c r="K2" s="1"/>
      <c r="L2" s="295" t="s">
        <v>122</v>
      </c>
      <c r="M2" s="297"/>
      <c r="N2" s="1"/>
      <c r="O2" s="44" t="s">
        <v>106</v>
      </c>
      <c r="P2" s="45" t="s">
        <v>105</v>
      </c>
      <c r="Q2" s="46" t="s">
        <v>107</v>
      </c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4.5">
      <c r="A3" s="2" t="s">
        <v>116</v>
      </c>
      <c r="B3" s="3" t="s">
        <v>18</v>
      </c>
      <c r="C3" s="4" t="s">
        <v>20</v>
      </c>
      <c r="D3" s="4" t="s">
        <v>22</v>
      </c>
      <c r="E3" s="4" t="s">
        <v>21</v>
      </c>
      <c r="F3" s="4" t="s">
        <v>19</v>
      </c>
      <c r="G3" s="4" t="s">
        <v>23</v>
      </c>
      <c r="H3" s="4" t="s">
        <v>33</v>
      </c>
      <c r="I3" s="5" t="s">
        <v>118</v>
      </c>
      <c r="J3" s="6" t="s">
        <v>117</v>
      </c>
      <c r="K3" s="7"/>
      <c r="L3" s="36" t="s">
        <v>103</v>
      </c>
      <c r="M3" s="37" t="s">
        <v>121</v>
      </c>
      <c r="N3" s="7"/>
      <c r="O3" s="42">
        <v>102</v>
      </c>
      <c r="P3" s="22">
        <v>56.1</v>
      </c>
      <c r="Q3" s="43">
        <v>60.1</v>
      </c>
      <c r="R3" s="7"/>
      <c r="S3" s="7"/>
      <c r="T3" s="7"/>
      <c r="U3" s="7"/>
      <c r="V3" s="7"/>
      <c r="W3" s="7"/>
      <c r="X3" s="7"/>
      <c r="Y3" s="7"/>
    </row>
    <row r="4" spans="1:27" ht="17.25">
      <c r="A4" s="281">
        <v>3</v>
      </c>
      <c r="B4" s="222" t="s">
        <v>219</v>
      </c>
      <c r="C4" s="9">
        <v>30.2</v>
      </c>
      <c r="D4" s="9">
        <v>4.9000000000000004</v>
      </c>
      <c r="E4" s="9">
        <v>5.0999999999999996</v>
      </c>
      <c r="F4" s="9">
        <v>48.6</v>
      </c>
      <c r="G4" s="9">
        <v>1</v>
      </c>
      <c r="H4" s="9">
        <v>1.4528000000000001</v>
      </c>
      <c r="I4" s="10">
        <v>60</v>
      </c>
      <c r="J4" s="11"/>
      <c r="K4" s="23"/>
      <c r="L4" s="38">
        <v>7</v>
      </c>
      <c r="M4" s="39">
        <v>31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7" ht="17.25">
      <c r="A5" s="283"/>
      <c r="B5" s="220" t="s">
        <v>220</v>
      </c>
      <c r="C5" s="14">
        <v>23.7</v>
      </c>
      <c r="D5" s="14">
        <v>2.2000000000000002</v>
      </c>
      <c r="E5" s="14">
        <v>9</v>
      </c>
      <c r="F5" s="14">
        <v>54.4</v>
      </c>
      <c r="G5" s="14">
        <v>1.4</v>
      </c>
      <c r="H5" s="14">
        <v>1.6160000000000001</v>
      </c>
      <c r="I5" s="15">
        <v>74</v>
      </c>
      <c r="J5" s="16"/>
      <c r="K5" s="23"/>
      <c r="L5" s="38">
        <v>11</v>
      </c>
      <c r="M5" s="39">
        <v>13</v>
      </c>
      <c r="N5" s="23"/>
      <c r="O5" s="47"/>
      <c r="P5" s="48" t="s">
        <v>125</v>
      </c>
      <c r="Q5" s="49" t="s">
        <v>126</v>
      </c>
      <c r="R5" s="23"/>
      <c r="S5" s="23"/>
      <c r="T5" s="23"/>
      <c r="U5" s="23"/>
      <c r="V5" s="23"/>
      <c r="W5" s="23"/>
      <c r="X5" s="23"/>
    </row>
    <row r="6" spans="1:27" ht="17.25">
      <c r="A6" s="230"/>
      <c r="B6" s="222"/>
      <c r="C6" s="222"/>
      <c r="D6" s="222"/>
      <c r="E6" s="222"/>
      <c r="F6" s="222"/>
      <c r="G6" s="222"/>
      <c r="H6" s="222"/>
      <c r="I6" s="222"/>
      <c r="J6" s="222"/>
      <c r="K6" s="23"/>
      <c r="L6" s="303" t="s">
        <v>224</v>
      </c>
      <c r="M6" s="304"/>
      <c r="N6" s="23"/>
      <c r="O6" s="38" t="s">
        <v>123</v>
      </c>
      <c r="P6" s="23">
        <v>0.71799999999999997</v>
      </c>
      <c r="Q6" s="39">
        <v>0.28199999999999997</v>
      </c>
      <c r="R6" s="23"/>
      <c r="S6" s="23"/>
      <c r="T6" s="23"/>
      <c r="U6" s="23"/>
      <c r="V6" s="23"/>
      <c r="W6" s="23"/>
      <c r="X6" s="23"/>
      <c r="Y6" s="23"/>
    </row>
    <row r="7" spans="1:27" ht="17.25">
      <c r="A7" s="99"/>
      <c r="B7" s="220"/>
      <c r="C7" s="220"/>
      <c r="D7" s="220"/>
      <c r="E7" s="220"/>
      <c r="F7" s="220"/>
      <c r="G7" s="220"/>
      <c r="H7" s="220"/>
      <c r="I7" s="220"/>
      <c r="J7" s="220"/>
      <c r="K7" s="23"/>
      <c r="L7" s="305"/>
      <c r="M7" s="305"/>
      <c r="N7" s="23"/>
      <c r="O7" s="40" t="s">
        <v>124</v>
      </c>
      <c r="P7" s="50">
        <v>0.77200000000000002</v>
      </c>
      <c r="Q7" s="41">
        <v>0.22800000000000001</v>
      </c>
      <c r="R7" s="23"/>
      <c r="S7" s="23"/>
      <c r="T7" s="23"/>
      <c r="U7" s="23"/>
      <c r="V7" s="23"/>
      <c r="W7" s="23"/>
      <c r="X7" s="23"/>
      <c r="Y7" s="23"/>
    </row>
    <row r="8" spans="1:27" ht="17.25">
      <c r="A8" s="99"/>
      <c r="B8" s="220"/>
      <c r="C8" s="220"/>
      <c r="D8" s="220"/>
      <c r="E8" s="220"/>
      <c r="F8" s="220"/>
      <c r="G8" s="220"/>
      <c r="H8" s="220"/>
      <c r="I8" s="220"/>
      <c r="J8" s="220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7">
      <c r="L9" s="68"/>
      <c r="M9" s="68"/>
    </row>
    <row r="10" spans="1:27" ht="17.25">
      <c r="L10" s="231"/>
      <c r="M10" s="231"/>
      <c r="N10" s="7"/>
    </row>
    <row r="11" spans="1:27" ht="17.25">
      <c r="L11" s="1"/>
      <c r="M11" s="1"/>
      <c r="N11" s="1"/>
    </row>
    <row r="14" spans="1:27">
      <c r="A14" s="35"/>
    </row>
    <row r="15" spans="1:27" ht="17.25">
      <c r="A15" s="35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7" ht="17.25">
      <c r="A16" s="35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21" ht="34.5">
      <c r="A17" s="82"/>
      <c r="B17" s="53"/>
      <c r="C17" s="3" t="s">
        <v>104</v>
      </c>
      <c r="D17" s="3" t="s">
        <v>119</v>
      </c>
      <c r="E17" s="3"/>
      <c r="F17" s="54" t="s">
        <v>120</v>
      </c>
      <c r="G17" s="54"/>
      <c r="H17" s="3"/>
      <c r="I17" s="3" t="s">
        <v>109</v>
      </c>
      <c r="J17" s="3" t="s">
        <v>108</v>
      </c>
      <c r="K17" s="3" t="s">
        <v>110</v>
      </c>
      <c r="L17" s="3" t="s">
        <v>111</v>
      </c>
      <c r="M17" s="3"/>
      <c r="N17" s="3" t="s">
        <v>113</v>
      </c>
      <c r="O17" s="3" t="s">
        <v>112</v>
      </c>
      <c r="P17" s="3" t="s">
        <v>114</v>
      </c>
      <c r="Q17" s="3"/>
      <c r="R17" s="3" t="s">
        <v>115</v>
      </c>
      <c r="S17" s="58" t="s">
        <v>117</v>
      </c>
      <c r="T17" s="61" t="s">
        <v>130</v>
      </c>
      <c r="U17" s="55"/>
    </row>
    <row r="18" spans="1:21" ht="17.25">
      <c r="A18" s="82"/>
      <c r="B18" s="1" t="s">
        <v>221</v>
      </c>
      <c r="C18" s="55">
        <f>C4-M4*$P$6</f>
        <v>7.9420000000000002</v>
      </c>
      <c r="D18" s="55">
        <f>D4*I4*0.01</f>
        <v>2.94</v>
      </c>
      <c r="E18" s="55"/>
      <c r="F18" s="55">
        <f>F4*(100-L4)*0.01-(M4*$Q$6)</f>
        <v>36.456000000000003</v>
      </c>
      <c r="G18" s="55"/>
      <c r="H18" s="55"/>
      <c r="I18" s="23">
        <f>100*C18/$O$3</f>
        <v>7.7862745098039223</v>
      </c>
      <c r="J18" s="23">
        <f>100*D18/$P$3</f>
        <v>5.2406417112299462</v>
      </c>
      <c r="K18" s="23">
        <f>100*F18/$Q$3</f>
        <v>60.658901830282865</v>
      </c>
      <c r="L18" s="23">
        <f>SUM(I18:K18)</f>
        <v>73.68581805131673</v>
      </c>
      <c r="M18" s="23"/>
      <c r="N18" s="23">
        <f>I18/L18</f>
        <v>0.10566856303856675</v>
      </c>
      <c r="O18" s="23">
        <f>J18/L18</f>
        <v>7.1121443037793594E-2</v>
      </c>
      <c r="P18" s="23">
        <f>K18/L18</f>
        <v>0.82320999392363969</v>
      </c>
      <c r="Q18" s="23"/>
      <c r="R18" s="23">
        <f>(11-12*O18+N18)/(3-2*O18+2*N18)</f>
        <v>3.3404680485079785</v>
      </c>
      <c r="S18" s="52"/>
      <c r="T18" s="62">
        <f>ABS(R18-S18)</f>
        <v>3.3404680485079785</v>
      </c>
      <c r="U18" s="55"/>
    </row>
    <row r="19" spans="1:21" ht="17.25">
      <c r="A19" s="82"/>
      <c r="B19" s="1" t="s">
        <v>220</v>
      </c>
      <c r="C19" s="55">
        <f t="shared" ref="C19" si="0">C5-M5*$P$6</f>
        <v>14.366</v>
      </c>
      <c r="D19" s="55">
        <f>D5*I5*0.01</f>
        <v>1.6280000000000001</v>
      </c>
      <c r="E19" s="55"/>
      <c r="F19" s="55">
        <f>F5*(100-L5)*0.01-($Q$6*M5)</f>
        <v>44.75</v>
      </c>
      <c r="G19" s="55"/>
      <c r="H19" s="55"/>
      <c r="I19" s="23">
        <f t="shared" ref="I19" si="1">100*C19/$O$3</f>
        <v>14.084313725490196</v>
      </c>
      <c r="J19" s="23">
        <f t="shared" ref="J19" si="2">100*D19/$P$3</f>
        <v>2.9019607843137258</v>
      </c>
      <c r="K19" s="23">
        <f t="shared" ref="K19" si="3">100*F19/$Q$3</f>
        <v>74.459234608985028</v>
      </c>
      <c r="L19" s="23">
        <f t="shared" ref="L19" si="4">SUM(I19:K19)</f>
        <v>91.445509118788948</v>
      </c>
      <c r="M19" s="23"/>
      <c r="N19" s="23">
        <f t="shared" ref="N19" si="5">I19/L19</f>
        <v>0.15401864849584337</v>
      </c>
      <c r="O19" s="23">
        <f t="shared" ref="O19" si="6">J19/L19</f>
        <v>3.1734317106201899E-2</v>
      </c>
      <c r="P19" s="23">
        <f t="shared" ref="P19" si="7">K19/L19</f>
        <v>0.81424703439795476</v>
      </c>
      <c r="Q19" s="23"/>
      <c r="R19" s="23">
        <f t="shared" ref="R19" si="8">(11-12*O19+N19)/(3-2*O19+2*N19)</f>
        <v>3.3203818328175365</v>
      </c>
      <c r="S19" s="52"/>
      <c r="T19" s="62">
        <f t="shared" ref="T19" si="9">ABS(R19-S19)</f>
        <v>3.3203818328175365</v>
      </c>
      <c r="U19" s="55"/>
    </row>
    <row r="20" spans="1:21">
      <c r="A20" s="105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</row>
    <row r="21" spans="1:21">
      <c r="A21" s="10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</row>
    <row r="22" spans="1:21">
      <c r="A22" s="10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</row>
    <row r="23" spans="1:21">
      <c r="A23" s="57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</row>
    <row r="24" spans="1:21">
      <c r="A24" s="57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</sheetData>
  <mergeCells count="5">
    <mergeCell ref="A4:A5"/>
    <mergeCell ref="L6:M7"/>
    <mergeCell ref="A1:J1"/>
    <mergeCell ref="A2:J2"/>
    <mergeCell ref="L2:M2"/>
  </mergeCells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C8E22-1570-4E9E-96CE-78E02B1B5A68}">
  <dimension ref="A1:AB36"/>
  <sheetViews>
    <sheetView zoomScale="75" zoomScaleNormal="75" workbookViewId="0">
      <selection activeCell="P17" sqref="P17"/>
    </sheetView>
  </sheetViews>
  <sheetFormatPr defaultRowHeight="16.5"/>
  <cols>
    <col min="1" max="1" width="11.875" customWidth="1"/>
    <col min="3" max="3" width="12.375" customWidth="1"/>
    <col min="4" max="4" width="11.5" customWidth="1"/>
    <col min="6" max="6" width="11.625" customWidth="1"/>
    <col min="9" max="9" width="13.25" customWidth="1"/>
    <col min="10" max="10" width="12.25" customWidth="1"/>
    <col min="11" max="11" width="11.5" customWidth="1"/>
    <col min="12" max="12" width="13.125" customWidth="1"/>
    <col min="13" max="13" width="12.5" customWidth="1"/>
    <col min="14" max="14" width="20.5" customWidth="1"/>
    <col min="15" max="15" width="20" customWidth="1"/>
    <col min="16" max="16" width="19.75" customWidth="1"/>
    <col min="17" max="17" width="19.125" customWidth="1"/>
    <col min="18" max="18" width="18.875" customWidth="1"/>
    <col min="19" max="19" width="17.375" customWidth="1"/>
    <col min="20" max="20" width="14.25" customWidth="1"/>
    <col min="22" max="22" width="10.25" customWidth="1"/>
  </cols>
  <sheetData>
    <row r="1" spans="1:28" ht="26.25">
      <c r="A1" s="289" t="s">
        <v>101</v>
      </c>
      <c r="B1" s="289"/>
      <c r="C1" s="289"/>
      <c r="D1" s="289"/>
      <c r="E1" s="289"/>
      <c r="F1" s="289"/>
      <c r="G1" s="289"/>
      <c r="H1" s="289"/>
      <c r="I1" s="289"/>
      <c r="J1" s="28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>
      <c r="A2" s="284" t="s">
        <v>102</v>
      </c>
      <c r="B2" s="285"/>
      <c r="C2" s="285"/>
      <c r="D2" s="285"/>
      <c r="E2" s="285"/>
      <c r="F2" s="285"/>
      <c r="G2" s="285"/>
      <c r="H2" s="285"/>
      <c r="I2" s="285"/>
      <c r="J2" s="285"/>
      <c r="K2" s="1"/>
      <c r="L2" s="280"/>
      <c r="M2" s="280"/>
      <c r="N2" s="280"/>
      <c r="O2" s="1"/>
      <c r="P2" s="44" t="s">
        <v>106</v>
      </c>
      <c r="Q2" s="45" t="s">
        <v>105</v>
      </c>
      <c r="R2" s="46" t="s">
        <v>107</v>
      </c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34.5">
      <c r="A3" s="2" t="s">
        <v>116</v>
      </c>
      <c r="B3" s="3" t="s">
        <v>18</v>
      </c>
      <c r="C3" s="4" t="s">
        <v>20</v>
      </c>
      <c r="D3" s="4" t="s">
        <v>22</v>
      </c>
      <c r="E3" s="4" t="s">
        <v>21</v>
      </c>
      <c r="F3" s="4" t="s">
        <v>19</v>
      </c>
      <c r="G3" s="4" t="s">
        <v>23</v>
      </c>
      <c r="H3" s="4" t="s">
        <v>33</v>
      </c>
      <c r="I3" s="5" t="s">
        <v>118</v>
      </c>
      <c r="J3" s="6" t="s">
        <v>117</v>
      </c>
      <c r="K3" s="7"/>
      <c r="L3" s="143" t="s">
        <v>163</v>
      </c>
      <c r="M3" s="143" t="s">
        <v>164</v>
      </c>
      <c r="N3" s="143" t="s">
        <v>165</v>
      </c>
      <c r="O3" s="7"/>
      <c r="P3" s="87">
        <v>102</v>
      </c>
      <c r="Q3" s="81">
        <v>56.1</v>
      </c>
      <c r="R3" s="79">
        <v>60.1</v>
      </c>
      <c r="S3" s="7"/>
      <c r="T3" s="7"/>
      <c r="U3" s="7"/>
      <c r="V3" s="7"/>
      <c r="W3" s="7"/>
      <c r="X3" s="7"/>
      <c r="Y3" s="7"/>
      <c r="Z3" s="7"/>
    </row>
    <row r="4" spans="1:28" ht="17.25">
      <c r="A4" s="281" t="s">
        <v>135</v>
      </c>
      <c r="B4" s="21" t="s">
        <v>34</v>
      </c>
      <c r="C4" s="9">
        <v>21.6</v>
      </c>
      <c r="D4" s="9">
        <v>12.3</v>
      </c>
      <c r="E4" s="9">
        <v>4.2</v>
      </c>
      <c r="F4" s="9">
        <v>47.7</v>
      </c>
      <c r="G4" s="9">
        <v>2.7</v>
      </c>
      <c r="H4" s="9">
        <v>2.4922</v>
      </c>
      <c r="I4" s="10">
        <v>88.3</v>
      </c>
      <c r="J4" s="11">
        <v>3.048932075840693</v>
      </c>
      <c r="K4" s="23"/>
      <c r="L4" s="232">
        <v>18.428999999999998</v>
      </c>
      <c r="M4" s="233">
        <v>59.615000000000002</v>
      </c>
      <c r="N4" s="233">
        <v>71.313999999999993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28" ht="17.25">
      <c r="A5" s="283"/>
      <c r="B5" s="1" t="s">
        <v>35</v>
      </c>
      <c r="C5" s="14">
        <v>30.5</v>
      </c>
      <c r="D5" s="14">
        <v>1.2</v>
      </c>
      <c r="E5" s="14">
        <v>4.5999999999999996</v>
      </c>
      <c r="F5" s="14">
        <v>55.8</v>
      </c>
      <c r="G5" s="14">
        <v>0.7</v>
      </c>
      <c r="H5" s="14">
        <v>1.8133999999999999</v>
      </c>
      <c r="I5" s="15">
        <v>78.7</v>
      </c>
      <c r="J5" s="16">
        <v>3.0742733792797696</v>
      </c>
      <c r="K5" s="23"/>
      <c r="L5" s="234">
        <v>16.186</v>
      </c>
      <c r="M5" s="233">
        <v>62.179000000000002</v>
      </c>
      <c r="N5" s="233">
        <v>75.801000000000002</v>
      </c>
      <c r="O5" s="23"/>
      <c r="P5" s="23"/>
      <c r="Q5" s="23"/>
      <c r="R5" s="23"/>
      <c r="S5" s="23"/>
      <c r="T5" s="23"/>
      <c r="U5" s="70"/>
      <c r="V5" s="70"/>
      <c r="W5" s="70"/>
      <c r="X5" s="23"/>
      <c r="Y5" s="23"/>
    </row>
    <row r="6" spans="1:28" ht="17.25">
      <c r="A6" s="283"/>
      <c r="B6" s="1" t="s">
        <v>36</v>
      </c>
      <c r="C6" s="14">
        <v>18.399999999999999</v>
      </c>
      <c r="D6" s="14">
        <v>14.1</v>
      </c>
      <c r="E6" s="14">
        <v>7.9</v>
      </c>
      <c r="F6" s="14">
        <v>48.4</v>
      </c>
      <c r="G6" s="14">
        <v>2.2000000000000002</v>
      </c>
      <c r="H6" s="14">
        <v>1.3238000000000001</v>
      </c>
      <c r="I6" s="15">
        <v>76.400000000000006</v>
      </c>
      <c r="J6" s="16">
        <v>3.3725201987018951</v>
      </c>
      <c r="K6" s="23"/>
      <c r="L6" s="234">
        <v>16.506</v>
      </c>
      <c r="M6" s="233">
        <v>63.942</v>
      </c>
      <c r="N6" s="233">
        <v>64.903999999999996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8" ht="17.25">
      <c r="A7" s="283"/>
      <c r="B7" s="1" t="s">
        <v>37</v>
      </c>
      <c r="C7" s="14">
        <v>16.399999999999999</v>
      </c>
      <c r="D7" s="14">
        <v>11.2</v>
      </c>
      <c r="E7" s="14">
        <v>6</v>
      </c>
      <c r="F7" s="14">
        <v>54.1</v>
      </c>
      <c r="G7" s="14">
        <v>4.0999999999999996</v>
      </c>
      <c r="H7" s="14">
        <v>2.4501999999999997</v>
      </c>
      <c r="I7" s="15">
        <v>87.2</v>
      </c>
      <c r="J7" s="16">
        <v>3.1379502418543304</v>
      </c>
      <c r="K7" s="23"/>
      <c r="L7" s="234">
        <v>14.263</v>
      </c>
      <c r="M7" s="233">
        <v>59.936</v>
      </c>
      <c r="N7" s="233">
        <v>70.513000000000005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8" ht="17.25">
      <c r="A8" s="283"/>
      <c r="B8" s="1" t="s">
        <v>38</v>
      </c>
      <c r="C8" s="14">
        <v>21</v>
      </c>
      <c r="D8" s="14">
        <v>12.8</v>
      </c>
      <c r="E8" s="14">
        <v>4.9000000000000004</v>
      </c>
      <c r="F8" s="14">
        <v>48.2</v>
      </c>
      <c r="G8" s="14">
        <v>3.4</v>
      </c>
      <c r="H8" s="14">
        <v>2.2896000000000001</v>
      </c>
      <c r="I8" s="15">
        <v>84.8</v>
      </c>
      <c r="J8" s="16">
        <v>2.994248436673514</v>
      </c>
      <c r="K8" s="23"/>
      <c r="L8" s="234">
        <v>17.146999999999998</v>
      </c>
      <c r="M8" s="233">
        <v>53.365000000000002</v>
      </c>
      <c r="N8" s="233">
        <v>65.704999999999998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8" ht="17.25">
      <c r="A9" s="283"/>
      <c r="B9" s="1" t="s">
        <v>39</v>
      </c>
      <c r="C9" s="14">
        <v>25.1</v>
      </c>
      <c r="D9" s="14">
        <v>5.6</v>
      </c>
      <c r="E9" s="14">
        <v>5.6</v>
      </c>
      <c r="F9" s="14">
        <v>59.4</v>
      </c>
      <c r="G9" s="14">
        <v>0.9</v>
      </c>
      <c r="H9" s="14">
        <v>0.8580000000000001</v>
      </c>
      <c r="I9" s="15">
        <v>61.4</v>
      </c>
      <c r="J9" s="16">
        <v>3.3036889921198149</v>
      </c>
      <c r="L9" s="234">
        <v>9.7759999999999998</v>
      </c>
      <c r="M9" s="233">
        <v>50.16</v>
      </c>
      <c r="N9" s="233">
        <v>54.968000000000004</v>
      </c>
      <c r="O9" s="306" t="s">
        <v>166</v>
      </c>
      <c r="P9" s="307"/>
      <c r="Q9" s="23"/>
      <c r="R9" s="23"/>
      <c r="S9" s="55"/>
      <c r="T9" s="55"/>
      <c r="U9" s="55"/>
      <c r="V9" s="55"/>
      <c r="W9" s="55"/>
      <c r="X9" s="55"/>
    </row>
    <row r="10" spans="1:28" ht="17.25">
      <c r="A10" s="283"/>
      <c r="B10" s="1" t="s">
        <v>40</v>
      </c>
      <c r="C10" s="14">
        <v>17.8</v>
      </c>
      <c r="D10" s="14">
        <v>10.7</v>
      </c>
      <c r="E10" s="14">
        <v>7.7</v>
      </c>
      <c r="F10" s="14">
        <v>54.1</v>
      </c>
      <c r="G10" s="14">
        <v>2.2999999999999998</v>
      </c>
      <c r="H10" s="14">
        <v>1.4212</v>
      </c>
      <c r="I10" s="15">
        <v>80.5</v>
      </c>
      <c r="J10" s="16">
        <v>3.0868412131331509</v>
      </c>
      <c r="L10" s="234">
        <v>15.705</v>
      </c>
      <c r="M10" s="233">
        <v>54.808</v>
      </c>
      <c r="N10" s="233">
        <v>65.063999999999993</v>
      </c>
      <c r="O10" s="307"/>
      <c r="P10" s="307"/>
      <c r="Q10" s="23"/>
      <c r="R10" s="23"/>
      <c r="S10" s="55"/>
    </row>
    <row r="11" spans="1:28" ht="17.25">
      <c r="A11" s="282"/>
      <c r="B11" s="22" t="s">
        <v>41</v>
      </c>
      <c r="C11" s="18">
        <v>19.899999999999999</v>
      </c>
      <c r="D11" s="18">
        <v>9.4</v>
      </c>
      <c r="E11" s="18">
        <v>8.6999999999999993</v>
      </c>
      <c r="F11" s="18">
        <v>54.8</v>
      </c>
      <c r="G11" s="18">
        <v>2.4</v>
      </c>
      <c r="H11" s="18">
        <v>1.3238000000000001</v>
      </c>
      <c r="I11" s="19">
        <v>77.900000000000006</v>
      </c>
      <c r="J11" s="20">
        <v>3.1206344070633474</v>
      </c>
      <c r="L11" s="234">
        <v>15.545</v>
      </c>
      <c r="M11" s="233">
        <v>54.487000000000002</v>
      </c>
      <c r="N11" s="233">
        <v>63.301000000000002</v>
      </c>
      <c r="O11" s="307"/>
      <c r="P11" s="307"/>
      <c r="Q11" s="55"/>
      <c r="R11" s="55"/>
      <c r="S11" s="55"/>
    </row>
    <row r="12" spans="1:28">
      <c r="L12" s="68"/>
      <c r="M12" s="68"/>
      <c r="N12" s="68"/>
      <c r="O12" s="55"/>
    </row>
    <row r="13" spans="1:28" ht="16.5" customHeight="1">
      <c r="A13" s="57"/>
      <c r="B13" s="1"/>
      <c r="C13" s="55"/>
      <c r="D13" s="55"/>
      <c r="E13" s="55"/>
      <c r="F13" s="55"/>
      <c r="G13" s="55"/>
      <c r="H13" s="55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55"/>
    </row>
    <row r="15" spans="1:28" ht="34.5">
      <c r="A15" s="82"/>
      <c r="B15" s="64"/>
      <c r="C15" s="3" t="s">
        <v>104</v>
      </c>
      <c r="D15" s="3" t="s">
        <v>119</v>
      </c>
      <c r="E15" s="3"/>
      <c r="F15" s="54" t="s">
        <v>120</v>
      </c>
      <c r="G15" s="54"/>
      <c r="H15" s="3"/>
      <c r="I15" s="3" t="s">
        <v>109</v>
      </c>
      <c r="J15" s="3" t="s">
        <v>108</v>
      </c>
      <c r="K15" s="3" t="s">
        <v>110</v>
      </c>
      <c r="L15" s="3" t="s">
        <v>111</v>
      </c>
      <c r="M15" s="3"/>
      <c r="N15" s="3" t="s">
        <v>113</v>
      </c>
      <c r="O15" s="3" t="s">
        <v>112</v>
      </c>
      <c r="P15" s="3" t="s">
        <v>114</v>
      </c>
      <c r="Q15" s="3"/>
      <c r="R15" s="3" t="s">
        <v>115</v>
      </c>
      <c r="S15" s="6" t="s">
        <v>117</v>
      </c>
      <c r="T15" s="59" t="s">
        <v>130</v>
      </c>
    </row>
    <row r="16" spans="1:28" ht="20.25" customHeight="1">
      <c r="A16" s="82"/>
      <c r="B16" s="65" t="s">
        <v>34</v>
      </c>
      <c r="C16" s="235">
        <f>ROUND(L4,2)</f>
        <v>18.43</v>
      </c>
      <c r="D16" s="235">
        <f>ROUND(N4,2)-ROUND(M4,2)</f>
        <v>11.690000000000005</v>
      </c>
      <c r="E16" s="235"/>
      <c r="F16" s="235">
        <f>ROUND(M4,2)-ROUND(L4,2)</f>
        <v>41.19</v>
      </c>
      <c r="G16" s="55"/>
      <c r="H16" s="55"/>
      <c r="I16" s="23">
        <f>100*C16/$P$3</f>
        <v>18.068627450980394</v>
      </c>
      <c r="J16" s="23">
        <f>100*D16/$Q$3</f>
        <v>20.837789661319082</v>
      </c>
      <c r="K16" s="23">
        <f>100*F16/$R$3</f>
        <v>68.53577371048253</v>
      </c>
      <c r="L16" s="23">
        <f>SUM(I16:K16)</f>
        <v>107.44219082278201</v>
      </c>
      <c r="M16" s="23"/>
      <c r="N16" s="23">
        <f>I16/L16</f>
        <v>0.16817069079299832</v>
      </c>
      <c r="O16" s="23">
        <f>J16/L16</f>
        <v>0.19394419921769357</v>
      </c>
      <c r="P16" s="23">
        <f>K16/L16</f>
        <v>0.63788510998930814</v>
      </c>
      <c r="Q16" s="23"/>
      <c r="R16" s="23">
        <f>(11-12*O16+N16)/(3-2*O16+2*N16)</f>
        <v>2.9984674507964089</v>
      </c>
      <c r="S16" s="16">
        <v>3.048932075840693</v>
      </c>
      <c r="T16" s="62">
        <f>ABS(R16-S16)</f>
        <v>5.0464625044284173E-2</v>
      </c>
    </row>
    <row r="17" spans="1:20" ht="20.25" customHeight="1">
      <c r="A17" s="82"/>
      <c r="B17" s="65" t="s">
        <v>35</v>
      </c>
      <c r="C17" s="235">
        <f t="shared" ref="C17:C23" si="0">ROUND(L5,2)</f>
        <v>16.190000000000001</v>
      </c>
      <c r="D17" s="235">
        <f t="shared" ref="D17:D23" si="1">ROUND(N5,2)-ROUND(M5,2)</f>
        <v>13.619999999999997</v>
      </c>
      <c r="E17" s="235"/>
      <c r="F17" s="235">
        <f t="shared" ref="F17:F23" si="2">ROUND(M5,2)-ROUND(L5,2)</f>
        <v>45.989999999999995</v>
      </c>
      <c r="G17" s="55"/>
      <c r="H17" s="55"/>
      <c r="I17" s="23">
        <f t="shared" ref="I17:I23" si="3">100*C17/$P$3</f>
        <v>15.872549019607845</v>
      </c>
      <c r="J17" s="23">
        <f t="shared" ref="J17:J23" si="4">100*D17/$Q$3</f>
        <v>24.278074866310156</v>
      </c>
      <c r="K17" s="23">
        <f t="shared" ref="K17:K23" si="5">100*F17/$R$3</f>
        <v>76.522462562395987</v>
      </c>
      <c r="L17" s="23">
        <f t="shared" ref="L17:L23" si="6">SUM(I17:K17)</f>
        <v>116.673086448314</v>
      </c>
      <c r="M17" s="23"/>
      <c r="N17" s="23">
        <f t="shared" ref="N17:N23" si="7">I17/L17</f>
        <v>0.13604293417436386</v>
      </c>
      <c r="O17" s="23">
        <f t="shared" ref="O17:O23" si="8">J17/L17</f>
        <v>0.2080863342641176</v>
      </c>
      <c r="P17" s="23">
        <f t="shared" ref="P17:P23" si="9">K17/L17</f>
        <v>0.65587073156151843</v>
      </c>
      <c r="Q17" s="23"/>
      <c r="R17" s="23">
        <f t="shared" ref="R17:R23" si="10">(11-12*O17+N17)/(3-2*O17+2*N17)</f>
        <v>3.024954303074741</v>
      </c>
      <c r="S17" s="16">
        <v>3.0742733792797696</v>
      </c>
      <c r="T17" s="62">
        <f t="shared" ref="T17:T23" si="11">ABS(R17-S17)</f>
        <v>4.9319076205028622E-2</v>
      </c>
    </row>
    <row r="18" spans="1:20" ht="17.25">
      <c r="A18" s="82"/>
      <c r="B18" s="65" t="s">
        <v>36</v>
      </c>
      <c r="C18" s="235">
        <f t="shared" si="0"/>
        <v>16.510000000000002</v>
      </c>
      <c r="D18" s="235">
        <f t="shared" si="1"/>
        <v>0.96000000000000796</v>
      </c>
      <c r="E18" s="235"/>
      <c r="F18" s="235">
        <f t="shared" si="2"/>
        <v>47.429999999999993</v>
      </c>
      <c r="G18" s="55"/>
      <c r="H18" s="55"/>
      <c r="I18" s="23">
        <f t="shared" si="3"/>
        <v>16.186274509803923</v>
      </c>
      <c r="J18" s="23">
        <f t="shared" si="4"/>
        <v>1.7112299465240783</v>
      </c>
      <c r="K18" s="23">
        <f>100*F18/$R$3</f>
        <v>78.918469217970028</v>
      </c>
      <c r="L18" s="23">
        <f t="shared" si="6"/>
        <v>96.815973674298021</v>
      </c>
      <c r="M18" s="23"/>
      <c r="N18" s="23">
        <f t="shared" si="7"/>
        <v>0.16718599106648177</v>
      </c>
      <c r="O18" s="23">
        <f t="shared" si="8"/>
        <v>1.7675078621642401E-2</v>
      </c>
      <c r="P18" s="23">
        <f t="shared" si="9"/>
        <v>0.8151389303118759</v>
      </c>
      <c r="Q18" s="23"/>
      <c r="R18" s="23">
        <f t="shared" si="10"/>
        <v>3.3207070547261748</v>
      </c>
      <c r="S18" s="16">
        <v>3.3725201987018951</v>
      </c>
      <c r="T18" s="62">
        <f t="shared" si="11"/>
        <v>5.1813143975720344E-2</v>
      </c>
    </row>
    <row r="19" spans="1:20" ht="17.25">
      <c r="A19" s="82"/>
      <c r="B19" s="65" t="s">
        <v>37</v>
      </c>
      <c r="C19" s="235">
        <f t="shared" si="0"/>
        <v>14.26</v>
      </c>
      <c r="D19" s="235">
        <f t="shared" si="1"/>
        <v>10.570000000000007</v>
      </c>
      <c r="E19" s="235"/>
      <c r="F19" s="235">
        <f t="shared" si="2"/>
        <v>45.68</v>
      </c>
      <c r="G19" s="55"/>
      <c r="H19" s="55"/>
      <c r="I19" s="23">
        <f t="shared" si="3"/>
        <v>13.980392156862745</v>
      </c>
      <c r="J19" s="23">
        <f t="shared" si="4"/>
        <v>18.841354723707678</v>
      </c>
      <c r="K19" s="23">
        <f t="shared" si="5"/>
        <v>76.006655574043265</v>
      </c>
      <c r="L19" s="23">
        <f t="shared" si="6"/>
        <v>108.82840245461369</v>
      </c>
      <c r="M19" s="23"/>
      <c r="N19" s="23">
        <f t="shared" si="7"/>
        <v>0.1284627159963429</v>
      </c>
      <c r="O19" s="23">
        <f t="shared" si="8"/>
        <v>0.17312902053823095</v>
      </c>
      <c r="P19" s="23">
        <f t="shared" si="9"/>
        <v>0.69840826346542606</v>
      </c>
      <c r="Q19" s="23"/>
      <c r="R19" s="23">
        <f t="shared" si="10"/>
        <v>3.1095667261000615</v>
      </c>
      <c r="S19" s="16">
        <v>3.1379502418543304</v>
      </c>
      <c r="T19" s="62">
        <f t="shared" si="11"/>
        <v>2.8383515754268895E-2</v>
      </c>
    </row>
    <row r="20" spans="1:20" ht="17.25">
      <c r="A20" s="82"/>
      <c r="B20" s="65" t="s">
        <v>38</v>
      </c>
      <c r="C20" s="235">
        <f t="shared" si="0"/>
        <v>17.149999999999999</v>
      </c>
      <c r="D20" s="235">
        <f t="shared" si="1"/>
        <v>12.339999999999996</v>
      </c>
      <c r="E20" s="235"/>
      <c r="F20" s="235">
        <f t="shared" si="2"/>
        <v>36.22</v>
      </c>
      <c r="G20" s="55"/>
      <c r="H20" s="55"/>
      <c r="I20" s="23">
        <f t="shared" si="3"/>
        <v>16.813725490196077</v>
      </c>
      <c r="J20" s="23">
        <f t="shared" si="4"/>
        <v>21.996434937611401</v>
      </c>
      <c r="K20" s="23">
        <f t="shared" si="5"/>
        <v>60.266222961730449</v>
      </c>
      <c r="L20" s="23">
        <f t="shared" si="6"/>
        <v>99.076383389537924</v>
      </c>
      <c r="M20" s="23"/>
      <c r="N20" s="23">
        <f t="shared" si="7"/>
        <v>0.16970467547336351</v>
      </c>
      <c r="O20" s="23">
        <f t="shared" si="8"/>
        <v>0.22201491601816117</v>
      </c>
      <c r="P20" s="23">
        <f t="shared" si="9"/>
        <v>0.60828040850847531</v>
      </c>
      <c r="Q20" s="23"/>
      <c r="R20" s="23">
        <f t="shared" si="10"/>
        <v>2.937620311155702</v>
      </c>
      <c r="S20" s="16">
        <v>2.994248436673514</v>
      </c>
      <c r="T20" s="62">
        <f t="shared" si="11"/>
        <v>5.6628125517812045E-2</v>
      </c>
    </row>
    <row r="21" spans="1:20" ht="17.25">
      <c r="A21" s="82"/>
      <c r="B21" s="65" t="s">
        <v>39</v>
      </c>
      <c r="C21" s="235">
        <f t="shared" si="0"/>
        <v>9.7799999999999994</v>
      </c>
      <c r="D21" s="235">
        <f t="shared" si="1"/>
        <v>4.8100000000000023</v>
      </c>
      <c r="E21" s="235"/>
      <c r="F21" s="235">
        <f t="shared" si="2"/>
        <v>40.379999999999995</v>
      </c>
      <c r="G21" s="55"/>
      <c r="H21" s="55"/>
      <c r="I21" s="23">
        <f t="shared" si="3"/>
        <v>9.5882352941176467</v>
      </c>
      <c r="J21" s="23">
        <f t="shared" si="4"/>
        <v>8.5739750445632836</v>
      </c>
      <c r="K21" s="23">
        <f t="shared" si="5"/>
        <v>67.188019966722123</v>
      </c>
      <c r="L21" s="23">
        <f t="shared" si="6"/>
        <v>85.350230305403045</v>
      </c>
      <c r="M21" s="23"/>
      <c r="N21" s="23">
        <f t="shared" si="7"/>
        <v>0.11233988777544833</v>
      </c>
      <c r="O21" s="23">
        <f t="shared" si="8"/>
        <v>0.10045637854618084</v>
      </c>
      <c r="P21" s="23">
        <f t="shared" si="9"/>
        <v>0.78720373367837093</v>
      </c>
      <c r="Q21" s="23"/>
      <c r="R21" s="23">
        <f t="shared" si="10"/>
        <v>3.2763315707675225</v>
      </c>
      <c r="S21" s="16">
        <v>3.3036889921198149</v>
      </c>
      <c r="T21" s="62">
        <f t="shared" si="11"/>
        <v>2.7357421352292466E-2</v>
      </c>
    </row>
    <row r="22" spans="1:20" ht="17.25">
      <c r="A22" s="82"/>
      <c r="B22" s="65" t="s">
        <v>40</v>
      </c>
      <c r="C22" s="235">
        <f t="shared" si="0"/>
        <v>15.71</v>
      </c>
      <c r="D22" s="235">
        <f t="shared" si="1"/>
        <v>10.25</v>
      </c>
      <c r="E22" s="235"/>
      <c r="F22" s="235">
        <f t="shared" si="2"/>
        <v>39.1</v>
      </c>
      <c r="G22" s="55"/>
      <c r="H22" s="55"/>
      <c r="I22" s="23">
        <f t="shared" si="3"/>
        <v>15.401960784313726</v>
      </c>
      <c r="J22" s="23">
        <f t="shared" si="4"/>
        <v>18.270944741532976</v>
      </c>
      <c r="K22" s="23">
        <f t="shared" si="5"/>
        <v>65.058236272878531</v>
      </c>
      <c r="L22" s="23">
        <f t="shared" si="6"/>
        <v>98.731141798725233</v>
      </c>
      <c r="M22" s="23"/>
      <c r="N22" s="23">
        <f t="shared" si="7"/>
        <v>0.1559990141278057</v>
      </c>
      <c r="O22" s="23">
        <f t="shared" si="8"/>
        <v>0.18505756551241345</v>
      </c>
      <c r="P22" s="23">
        <f t="shared" si="9"/>
        <v>0.65894342035978082</v>
      </c>
      <c r="Q22" s="23"/>
      <c r="R22" s="23">
        <f t="shared" si="10"/>
        <v>3.0372752893698509</v>
      </c>
      <c r="S22" s="16">
        <v>3.0868412131331509</v>
      </c>
      <c r="T22" s="62">
        <f t="shared" si="11"/>
        <v>4.9565923763299935E-2</v>
      </c>
    </row>
    <row r="23" spans="1:20" ht="17.25">
      <c r="A23" s="82"/>
      <c r="B23" s="42" t="s">
        <v>41</v>
      </c>
      <c r="C23" s="235">
        <f t="shared" si="0"/>
        <v>15.55</v>
      </c>
      <c r="D23" s="235">
        <f t="shared" si="1"/>
        <v>8.8099999999999952</v>
      </c>
      <c r="E23" s="236"/>
      <c r="F23" s="235">
        <f t="shared" si="2"/>
        <v>38.94</v>
      </c>
      <c r="G23" s="56"/>
      <c r="H23" s="56"/>
      <c r="I23" s="50">
        <f t="shared" si="3"/>
        <v>15.245098039215685</v>
      </c>
      <c r="J23" s="50">
        <f t="shared" si="4"/>
        <v>15.704099821746873</v>
      </c>
      <c r="K23" s="50">
        <f t="shared" si="5"/>
        <v>64.792013311148082</v>
      </c>
      <c r="L23" s="50">
        <f t="shared" si="6"/>
        <v>95.741211172110638</v>
      </c>
      <c r="M23" s="50"/>
      <c r="N23" s="50">
        <f t="shared" si="7"/>
        <v>0.15923234992097712</v>
      </c>
      <c r="O23" s="50">
        <f t="shared" si="8"/>
        <v>0.16402654227463406</v>
      </c>
      <c r="P23" s="50">
        <f t="shared" si="9"/>
        <v>0.67674110780438879</v>
      </c>
      <c r="Q23" s="50"/>
      <c r="R23" s="50">
        <f t="shared" si="10"/>
        <v>3.0734611234198974</v>
      </c>
      <c r="S23" s="20">
        <v>3.1206344070633474</v>
      </c>
      <c r="T23" s="63">
        <f t="shared" si="11"/>
        <v>4.717328364344997E-2</v>
      </c>
    </row>
    <row r="24" spans="1:20" ht="17.25">
      <c r="A24" s="57"/>
      <c r="B24" s="1"/>
      <c r="C24" s="55"/>
      <c r="D24" s="55"/>
      <c r="E24" s="55"/>
      <c r="F24" s="55"/>
      <c r="G24" s="55"/>
      <c r="H24" s="55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63">
        <f>AVERAGE(T16:T23)</f>
        <v>4.5088139407019556E-2</v>
      </c>
    </row>
    <row r="25" spans="1:20" ht="17.25">
      <c r="P25" s="23"/>
    </row>
    <row r="27" spans="1:20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</row>
    <row r="28" spans="1:20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</row>
    <row r="29" spans="1:20" ht="17.25">
      <c r="A29" s="100"/>
      <c r="B29" s="100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130"/>
      <c r="N29" s="100"/>
      <c r="O29" s="100"/>
      <c r="P29" s="100"/>
      <c r="Q29" s="100"/>
      <c r="R29" s="100"/>
    </row>
    <row r="30" spans="1:20" ht="17.25">
      <c r="A30" s="100"/>
      <c r="B30" s="100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130"/>
      <c r="N30" s="100"/>
      <c r="O30" s="100"/>
      <c r="P30" s="100"/>
      <c r="Q30" s="100"/>
      <c r="R30" s="100"/>
    </row>
    <row r="31" spans="1:20" ht="17.25">
      <c r="A31" s="100"/>
      <c r="B31" s="100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130"/>
      <c r="N31" s="100"/>
      <c r="O31" s="100"/>
      <c r="P31" s="100"/>
      <c r="Q31" s="100"/>
      <c r="R31" s="100"/>
    </row>
    <row r="32" spans="1:20">
      <c r="A32" s="100"/>
      <c r="B32" s="100"/>
      <c r="C32" s="100"/>
      <c r="D32" s="100"/>
      <c r="E32" s="100"/>
      <c r="F32" s="14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</row>
    <row r="33" spans="1:18">
      <c r="A33" s="100"/>
      <c r="B33" s="100"/>
      <c r="C33" s="100"/>
      <c r="D33" s="100"/>
      <c r="E33" s="100"/>
      <c r="F33" s="14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</row>
    <row r="34" spans="1:18">
      <c r="A34" s="100"/>
      <c r="B34" s="100"/>
      <c r="C34" s="100"/>
      <c r="D34" s="100"/>
      <c r="E34" s="100"/>
      <c r="F34" s="14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</row>
    <row r="35" spans="1:18">
      <c r="A35" s="100"/>
      <c r="B35" s="100"/>
      <c r="C35" s="100"/>
      <c r="D35" s="100"/>
      <c r="E35" s="100"/>
      <c r="F35" s="14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</row>
    <row r="36" spans="1:18">
      <c r="F36" s="139"/>
    </row>
  </sheetData>
  <mergeCells count="5">
    <mergeCell ref="A4:A11"/>
    <mergeCell ref="L2:N2"/>
    <mergeCell ref="A1:J1"/>
    <mergeCell ref="A2:J2"/>
    <mergeCell ref="O9:P11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F79B-55D0-4643-B244-C41C0A9616A7}">
  <dimension ref="A1:AE22"/>
  <sheetViews>
    <sheetView zoomScale="75" zoomScaleNormal="75" workbookViewId="0">
      <selection activeCell="R36" sqref="R36"/>
    </sheetView>
  </sheetViews>
  <sheetFormatPr defaultRowHeight="16.5"/>
  <cols>
    <col min="1" max="1" width="11.875" customWidth="1"/>
    <col min="3" max="3" width="13.25" customWidth="1"/>
    <col min="4" max="4" width="11.5" customWidth="1"/>
    <col min="6" max="6" width="11.625" customWidth="1"/>
    <col min="9" max="9" width="13.25" customWidth="1"/>
    <col min="10" max="10" width="12.25" customWidth="1"/>
    <col min="11" max="11" width="11.5" customWidth="1"/>
    <col min="12" max="12" width="13.125" customWidth="1"/>
    <col min="13" max="13" width="12.5" customWidth="1"/>
    <col min="14" max="14" width="19.75" customWidth="1"/>
    <col min="15" max="15" width="20" customWidth="1"/>
    <col min="16" max="16" width="19.75" customWidth="1"/>
    <col min="17" max="17" width="19.125" customWidth="1"/>
    <col min="18" max="18" width="18.875" customWidth="1"/>
    <col min="19" max="19" width="17.375" customWidth="1"/>
    <col min="20" max="20" width="14.25" customWidth="1"/>
    <col min="22" max="22" width="10.25" customWidth="1"/>
  </cols>
  <sheetData>
    <row r="1" spans="1:31" ht="26.25">
      <c r="A1" s="289" t="s">
        <v>101</v>
      </c>
      <c r="B1" s="289"/>
      <c r="C1" s="289"/>
      <c r="D1" s="289"/>
      <c r="E1" s="289"/>
      <c r="F1" s="289"/>
      <c r="G1" s="289"/>
      <c r="H1" s="289"/>
      <c r="I1" s="289"/>
      <c r="J1" s="289"/>
      <c r="K1" s="1"/>
      <c r="L1" s="1"/>
      <c r="M1" s="1"/>
      <c r="N1" s="220"/>
      <c r="O1" s="220"/>
      <c r="P1" s="220"/>
      <c r="Q1" s="220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34.5">
      <c r="A2" s="284" t="s">
        <v>102</v>
      </c>
      <c r="B2" s="285"/>
      <c r="C2" s="285"/>
      <c r="D2" s="285"/>
      <c r="E2" s="285"/>
      <c r="F2" s="285"/>
      <c r="G2" s="285"/>
      <c r="H2" s="285"/>
      <c r="I2" s="285"/>
      <c r="J2" s="285"/>
      <c r="K2" s="1"/>
      <c r="L2" s="295" t="s">
        <v>122</v>
      </c>
      <c r="M2" s="297"/>
      <c r="N2" s="220"/>
      <c r="O2" s="220"/>
      <c r="P2" s="220"/>
      <c r="Q2" s="220"/>
      <c r="R2" s="1"/>
      <c r="S2" s="44" t="s">
        <v>106</v>
      </c>
      <c r="T2" s="45" t="s">
        <v>105</v>
      </c>
      <c r="U2" s="46" t="s">
        <v>107</v>
      </c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34.5">
      <c r="A3" s="2" t="s">
        <v>116</v>
      </c>
      <c r="B3" s="3" t="s">
        <v>18</v>
      </c>
      <c r="C3" s="4" t="s">
        <v>20</v>
      </c>
      <c r="D3" s="4" t="s">
        <v>22</v>
      </c>
      <c r="E3" s="4" t="s">
        <v>21</v>
      </c>
      <c r="F3" s="4" t="s">
        <v>19</v>
      </c>
      <c r="G3" s="4" t="s">
        <v>23</v>
      </c>
      <c r="H3" s="4" t="s">
        <v>33</v>
      </c>
      <c r="I3" s="5" t="s">
        <v>118</v>
      </c>
      <c r="J3" s="6" t="s">
        <v>117</v>
      </c>
      <c r="K3" s="7"/>
      <c r="L3" s="36" t="s">
        <v>103</v>
      </c>
      <c r="M3" s="37" t="s">
        <v>121</v>
      </c>
      <c r="N3" s="239" t="s">
        <v>226</v>
      </c>
      <c r="O3" s="7"/>
      <c r="P3" s="7"/>
      <c r="Q3" s="7"/>
      <c r="R3" s="7"/>
      <c r="S3" s="42">
        <v>102</v>
      </c>
      <c r="T3" s="22">
        <v>56.1</v>
      </c>
      <c r="U3" s="43">
        <v>60.1</v>
      </c>
      <c r="V3" s="7"/>
      <c r="W3" s="7"/>
      <c r="X3" s="7"/>
      <c r="Y3" s="7"/>
      <c r="Z3" s="7"/>
      <c r="AA3" s="7"/>
      <c r="AB3" s="7"/>
      <c r="AC3" s="7"/>
    </row>
    <row r="4" spans="1:31" ht="17.25">
      <c r="A4" s="214" t="s">
        <v>136</v>
      </c>
      <c r="B4" s="217" t="s">
        <v>42</v>
      </c>
      <c r="C4" s="26">
        <v>27.21</v>
      </c>
      <c r="D4" s="26">
        <v>1.26</v>
      </c>
      <c r="E4" s="26">
        <v>7.98</v>
      </c>
      <c r="F4" s="26">
        <v>55.28</v>
      </c>
      <c r="G4" s="26">
        <v>1.23</v>
      </c>
      <c r="H4" s="26">
        <v>2.46</v>
      </c>
      <c r="I4" s="27">
        <v>67.5</v>
      </c>
      <c r="J4" s="28">
        <v>3.3547387557618151</v>
      </c>
      <c r="K4" s="23"/>
      <c r="L4" s="40">
        <v>14.1</v>
      </c>
      <c r="M4" s="41">
        <v>17.399999999999999</v>
      </c>
      <c r="N4" s="240">
        <v>1.1000000000000001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spans="1:31" ht="17.25">
      <c r="A5" s="99"/>
      <c r="B5" s="220"/>
      <c r="C5" s="220"/>
      <c r="D5" s="220"/>
      <c r="E5" s="220"/>
      <c r="F5" s="220"/>
      <c r="G5" s="220"/>
      <c r="H5" s="220"/>
      <c r="I5" s="220"/>
      <c r="J5" s="220"/>
      <c r="K5" s="23"/>
      <c r="L5" s="294" t="s">
        <v>127</v>
      </c>
      <c r="M5" s="294"/>
      <c r="N5" s="218"/>
      <c r="O5" s="218"/>
      <c r="P5" s="218"/>
      <c r="Q5" s="218"/>
      <c r="R5" s="23"/>
      <c r="S5" s="47"/>
      <c r="T5" s="48" t="s">
        <v>125</v>
      </c>
      <c r="U5" s="49" t="s">
        <v>126</v>
      </c>
      <c r="V5" s="23"/>
      <c r="W5" s="23"/>
      <c r="X5" s="23"/>
      <c r="Y5" s="23"/>
      <c r="Z5" s="23"/>
      <c r="AA5" s="23"/>
      <c r="AB5" s="23"/>
    </row>
    <row r="6" spans="1:31" ht="17.25">
      <c r="A6" s="99"/>
      <c r="B6" s="220"/>
      <c r="C6" s="220"/>
      <c r="D6" s="220"/>
      <c r="E6" s="220"/>
      <c r="F6" s="220"/>
      <c r="G6" s="220"/>
      <c r="H6" s="220"/>
      <c r="I6" s="220"/>
      <c r="J6" s="220"/>
      <c r="K6" s="23"/>
      <c r="L6" s="298"/>
      <c r="M6" s="298"/>
      <c r="N6" s="216"/>
      <c r="O6" s="216"/>
      <c r="P6" s="216"/>
      <c r="Q6" s="216"/>
      <c r="R6" s="23"/>
      <c r="S6" s="38" t="s">
        <v>123</v>
      </c>
      <c r="T6" s="23">
        <v>0.71799999999999997</v>
      </c>
      <c r="U6" s="39">
        <v>0.28199999999999997</v>
      </c>
      <c r="V6" s="23"/>
      <c r="W6" s="23"/>
      <c r="X6" s="23"/>
      <c r="Y6" s="23"/>
      <c r="Z6" s="23"/>
      <c r="AA6" s="23"/>
      <c r="AB6" s="23"/>
      <c r="AC6" s="23"/>
    </row>
    <row r="7" spans="1:31" ht="17.25">
      <c r="B7" s="150"/>
      <c r="C7" s="150"/>
      <c r="D7" s="150"/>
      <c r="E7" s="150"/>
      <c r="F7" s="150"/>
      <c r="G7" s="150"/>
      <c r="H7" s="150"/>
      <c r="I7" s="150"/>
      <c r="J7" s="150"/>
      <c r="K7" s="150"/>
      <c r="S7" s="40" t="s">
        <v>124</v>
      </c>
      <c r="T7" s="50">
        <v>0.77200000000000002</v>
      </c>
      <c r="U7" s="41">
        <v>0.22800000000000001</v>
      </c>
      <c r="V7" s="23"/>
      <c r="W7" s="23"/>
      <c r="X7" s="23"/>
      <c r="Y7" s="23"/>
      <c r="Z7" s="23"/>
      <c r="AA7" s="23"/>
      <c r="AB7" s="23"/>
      <c r="AC7" s="23"/>
    </row>
    <row r="8" spans="1:31" ht="17.25">
      <c r="B8" s="150"/>
      <c r="C8" s="150"/>
      <c r="D8" s="150"/>
      <c r="E8" s="150"/>
      <c r="F8" s="150"/>
      <c r="G8" s="150"/>
      <c r="H8" s="150"/>
      <c r="I8" s="150"/>
      <c r="J8" s="150"/>
      <c r="K8" s="150"/>
      <c r="R8" s="7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 spans="1:31" ht="17.25">
      <c r="L9" s="1"/>
      <c r="M9" s="1"/>
      <c r="N9" s="220"/>
      <c r="O9" s="220"/>
      <c r="P9" s="220"/>
      <c r="Q9" s="220"/>
      <c r="R9" s="1"/>
    </row>
    <row r="12" spans="1:31">
      <c r="A12" s="35"/>
    </row>
    <row r="13" spans="1:31" ht="17.25">
      <c r="A13" s="35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31" ht="17.25">
      <c r="A14" s="35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31" ht="34.5" customHeight="1">
      <c r="A15" s="237"/>
      <c r="B15" s="53"/>
      <c r="C15" s="3" t="s">
        <v>104</v>
      </c>
      <c r="D15" s="3" t="s">
        <v>119</v>
      </c>
      <c r="E15" s="3"/>
      <c r="F15" s="54" t="s">
        <v>120</v>
      </c>
      <c r="G15" s="54"/>
      <c r="H15" s="3"/>
      <c r="I15" s="3" t="s">
        <v>109</v>
      </c>
      <c r="J15" s="3" t="s">
        <v>108</v>
      </c>
      <c r="K15" s="3" t="s">
        <v>110</v>
      </c>
      <c r="L15" s="3" t="s">
        <v>111</v>
      </c>
      <c r="M15" s="3"/>
      <c r="N15" s="3" t="s">
        <v>113</v>
      </c>
      <c r="O15" s="3" t="s">
        <v>112</v>
      </c>
      <c r="P15" s="3" t="s">
        <v>114</v>
      </c>
      <c r="Q15" s="3"/>
      <c r="R15" s="3" t="s">
        <v>115</v>
      </c>
      <c r="S15" s="6" t="s">
        <v>117</v>
      </c>
      <c r="T15" s="59" t="s">
        <v>130</v>
      </c>
      <c r="U15" s="55"/>
    </row>
    <row r="16" spans="1:31" ht="17.25">
      <c r="A16" s="238"/>
      <c r="B16" s="65" t="s">
        <v>42</v>
      </c>
      <c r="C16" s="55">
        <f>C4-M4*$T$6</f>
        <v>14.716800000000003</v>
      </c>
      <c r="D16" s="55">
        <f>D4*I4*0.01</f>
        <v>0.85050000000000003</v>
      </c>
      <c r="E16" s="55"/>
      <c r="F16" s="55">
        <f>F4*(100-L4)*0.01-(M4*$U$6)</f>
        <v>42.578720000000011</v>
      </c>
      <c r="G16" s="55"/>
      <c r="H16" s="55"/>
      <c r="I16" s="23">
        <f>100*C16/$S$3</f>
        <v>14.42823529411765</v>
      </c>
      <c r="J16" s="23">
        <f>100*D16/$T$3</f>
        <v>1.5160427807486629</v>
      </c>
      <c r="K16" s="23">
        <f>100*F16/$U$3</f>
        <v>70.846455906821987</v>
      </c>
      <c r="L16" s="23">
        <f>SUM(I16:K16)</f>
        <v>86.790733981688305</v>
      </c>
      <c r="M16" s="23"/>
      <c r="N16" s="23">
        <f>I16/L16</f>
        <v>0.16624165544171821</v>
      </c>
      <c r="O16" s="23">
        <f>J16/L16</f>
        <v>1.7467795364750894E-2</v>
      </c>
      <c r="P16" s="23">
        <f>K16/L16</f>
        <v>0.81629054919353083</v>
      </c>
      <c r="Q16" s="23"/>
      <c r="R16" s="23">
        <f>(11-12*O16+N16)/(3-2*O16+2*N16)</f>
        <v>3.3226594551157054</v>
      </c>
      <c r="S16" s="16">
        <v>3.3547387557618151</v>
      </c>
      <c r="T16" s="62">
        <f>ABS(R16-S16)</f>
        <v>3.2079300646109754E-2</v>
      </c>
      <c r="U16" s="55"/>
    </row>
    <row r="17" spans="1:20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</row>
    <row r="18" spans="1:20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</row>
    <row r="19" spans="1:20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</row>
    <row r="20" spans="1:20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2" spans="1:20" ht="34.5" customHeight="1"/>
  </sheetData>
  <mergeCells count="4">
    <mergeCell ref="A1:J1"/>
    <mergeCell ref="A2:J2"/>
    <mergeCell ref="L2:M2"/>
    <mergeCell ref="L5:M6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3AB8-7F18-4909-B306-56A97052362F}">
  <dimension ref="A1:AA34"/>
  <sheetViews>
    <sheetView zoomScale="75" zoomScaleNormal="75" workbookViewId="0">
      <selection activeCell="N11" sqref="N11:O12"/>
    </sheetView>
  </sheetViews>
  <sheetFormatPr defaultRowHeight="16.5"/>
  <cols>
    <col min="1" max="1" width="11.25" customWidth="1"/>
    <col min="2" max="3" width="12.375" customWidth="1"/>
    <col min="4" max="4" width="11.5" customWidth="1"/>
    <col min="6" max="6" width="11.625" customWidth="1"/>
    <col min="9" max="9" width="13.25" customWidth="1"/>
    <col min="10" max="10" width="12.25" customWidth="1"/>
    <col min="11" max="11" width="11.5" customWidth="1"/>
    <col min="12" max="12" width="19.875" customWidth="1"/>
    <col min="13" max="13" width="19.125" customWidth="1"/>
    <col min="14" max="14" width="20.25" customWidth="1"/>
    <col min="15" max="15" width="18.75" customWidth="1"/>
    <col min="16" max="16" width="19.75" customWidth="1"/>
    <col min="17" max="17" width="19.125" customWidth="1"/>
    <col min="18" max="18" width="18.875" customWidth="1"/>
    <col min="19" max="19" width="17.375" customWidth="1"/>
    <col min="20" max="20" width="19" customWidth="1"/>
    <col min="22" max="22" width="10.25" customWidth="1"/>
  </cols>
  <sheetData>
    <row r="1" spans="1:27" ht="26.25">
      <c r="A1" s="289" t="s">
        <v>101</v>
      </c>
      <c r="B1" s="289"/>
      <c r="C1" s="289"/>
      <c r="D1" s="289"/>
      <c r="E1" s="289"/>
      <c r="F1" s="289"/>
      <c r="G1" s="289"/>
      <c r="H1" s="289"/>
      <c r="I1" s="289"/>
      <c r="J1" s="28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>
      <c r="A2" s="284" t="s">
        <v>102</v>
      </c>
      <c r="B2" s="285"/>
      <c r="C2" s="285"/>
      <c r="D2" s="285"/>
      <c r="E2" s="285"/>
      <c r="F2" s="285"/>
      <c r="G2" s="285"/>
      <c r="H2" s="285"/>
      <c r="I2" s="285"/>
      <c r="J2" s="285"/>
      <c r="K2" s="1"/>
      <c r="L2" s="295" t="s">
        <v>122</v>
      </c>
      <c r="M2" s="296"/>
      <c r="N2" s="296"/>
      <c r="O2" s="296"/>
      <c r="P2" s="296"/>
      <c r="Q2" s="296"/>
      <c r="R2" s="296"/>
      <c r="S2" s="296"/>
      <c r="T2" s="297"/>
      <c r="U2" s="1"/>
      <c r="V2" s="1"/>
      <c r="W2" s="1"/>
      <c r="X2" s="1"/>
      <c r="Y2" s="1"/>
      <c r="Z2" s="1"/>
      <c r="AA2" s="1"/>
    </row>
    <row r="3" spans="1:27" ht="34.5">
      <c r="A3" s="2" t="s">
        <v>116</v>
      </c>
      <c r="B3" s="3" t="s">
        <v>18</v>
      </c>
      <c r="C3" s="4" t="s">
        <v>20</v>
      </c>
      <c r="D3" s="4" t="s">
        <v>22</v>
      </c>
      <c r="E3" s="4" t="s">
        <v>21</v>
      </c>
      <c r="F3" s="4" t="s">
        <v>19</v>
      </c>
      <c r="G3" s="4" t="s">
        <v>23</v>
      </c>
      <c r="H3" s="4" t="s">
        <v>33</v>
      </c>
      <c r="I3" s="5" t="s">
        <v>118</v>
      </c>
      <c r="J3" s="6" t="s">
        <v>117</v>
      </c>
      <c r="K3" s="7"/>
      <c r="L3" s="36" t="s">
        <v>103</v>
      </c>
      <c r="M3" s="7" t="s">
        <v>121</v>
      </c>
      <c r="N3" s="7" t="s">
        <v>140</v>
      </c>
      <c r="O3" s="1" t="s">
        <v>141</v>
      </c>
      <c r="P3" s="1" t="s">
        <v>142</v>
      </c>
      <c r="Q3" s="84" t="s">
        <v>143</v>
      </c>
      <c r="R3" s="248" t="s">
        <v>147</v>
      </c>
      <c r="S3" s="7" t="s">
        <v>145</v>
      </c>
      <c r="T3" s="37" t="s">
        <v>146</v>
      </c>
      <c r="U3" s="7"/>
      <c r="V3" s="7"/>
      <c r="W3" s="7"/>
      <c r="X3" s="7"/>
      <c r="Y3" s="7"/>
    </row>
    <row r="4" spans="1:27" ht="17.25">
      <c r="A4" s="281" t="s">
        <v>137</v>
      </c>
      <c r="B4" s="21" t="s">
        <v>43</v>
      </c>
      <c r="C4" s="9">
        <v>17.399999999999999</v>
      </c>
      <c r="D4" s="9">
        <v>26.45</v>
      </c>
      <c r="E4" s="9">
        <v>7.15</v>
      </c>
      <c r="F4" s="9">
        <v>35.44</v>
      </c>
      <c r="G4" s="9">
        <v>5.73</v>
      </c>
      <c r="H4" s="9">
        <v>2.2487399999999997</v>
      </c>
      <c r="I4" s="10">
        <v>55</v>
      </c>
      <c r="J4" s="11">
        <v>2.7619854376116524</v>
      </c>
      <c r="K4" s="23"/>
      <c r="L4" s="38">
        <v>10.06</v>
      </c>
      <c r="M4" s="23">
        <v>0.86</v>
      </c>
      <c r="N4" s="23">
        <v>1.1599999999999999</v>
      </c>
      <c r="O4" s="23">
        <v>6.98</v>
      </c>
      <c r="P4" s="23">
        <v>0.43</v>
      </c>
      <c r="Q4" s="23">
        <v>4.5</v>
      </c>
      <c r="R4" s="249">
        <v>4.45</v>
      </c>
      <c r="S4" s="23">
        <v>5.9</v>
      </c>
      <c r="T4" s="39">
        <v>2.13</v>
      </c>
      <c r="U4" s="23"/>
      <c r="V4" s="23"/>
      <c r="W4" s="23"/>
      <c r="X4" s="23"/>
    </row>
    <row r="5" spans="1:27" ht="17.25">
      <c r="A5" s="283"/>
      <c r="B5" s="1" t="s">
        <v>44</v>
      </c>
      <c r="C5" s="14">
        <v>18.03</v>
      </c>
      <c r="D5" s="14">
        <v>25.9</v>
      </c>
      <c r="E5" s="14">
        <v>6.02</v>
      </c>
      <c r="F5" s="14">
        <v>36.08</v>
      </c>
      <c r="G5" s="14">
        <v>5.24</v>
      </c>
      <c r="H5" s="14">
        <v>2.1626799999999999</v>
      </c>
      <c r="I5" s="15">
        <v>57</v>
      </c>
      <c r="J5" s="16">
        <v>2.7575113798619535</v>
      </c>
      <c r="K5" s="23"/>
      <c r="L5" s="38">
        <v>11.1</v>
      </c>
      <c r="M5" s="23">
        <v>0.9</v>
      </c>
      <c r="N5" s="23">
        <v>1.04</v>
      </c>
      <c r="O5" s="23">
        <v>4.1900000000000004</v>
      </c>
      <c r="P5" s="23">
        <v>1.34</v>
      </c>
      <c r="Q5" s="23">
        <v>6.3</v>
      </c>
      <c r="R5" s="249">
        <v>3.27</v>
      </c>
      <c r="S5" s="23">
        <v>5.0599999999999996</v>
      </c>
      <c r="T5" s="39">
        <v>2.73</v>
      </c>
      <c r="U5" s="23"/>
      <c r="V5" s="23"/>
      <c r="W5" s="23"/>
      <c r="X5" s="23"/>
    </row>
    <row r="6" spans="1:27" ht="17.25">
      <c r="A6" s="283"/>
      <c r="B6" s="1" t="s">
        <v>45</v>
      </c>
      <c r="C6" s="14">
        <v>20.440000000000001</v>
      </c>
      <c r="D6" s="14">
        <v>21.35</v>
      </c>
      <c r="E6" s="14">
        <v>6.29</v>
      </c>
      <c r="F6" s="14">
        <v>40.08</v>
      </c>
      <c r="G6" s="14">
        <v>4.5599999999999996</v>
      </c>
      <c r="H6" s="14">
        <v>1.9271799999999999</v>
      </c>
      <c r="I6" s="15">
        <v>59</v>
      </c>
      <c r="J6" s="16">
        <v>2.9598169190297012</v>
      </c>
      <c r="K6" s="23"/>
      <c r="L6" s="38">
        <v>9.81</v>
      </c>
      <c r="M6" s="23">
        <v>1.1399999999999999</v>
      </c>
      <c r="N6" s="23">
        <v>0.33</v>
      </c>
      <c r="O6" s="23">
        <v>3.98</v>
      </c>
      <c r="P6" s="23">
        <v>1.57</v>
      </c>
      <c r="Q6" s="23">
        <v>5.75</v>
      </c>
      <c r="R6" s="249">
        <v>3.76</v>
      </c>
      <c r="S6" s="23">
        <v>6.14</v>
      </c>
      <c r="T6" s="39">
        <v>2.9</v>
      </c>
      <c r="U6" s="23"/>
      <c r="V6" s="23"/>
      <c r="W6" s="23"/>
      <c r="X6" s="23"/>
      <c r="Y6" s="23"/>
    </row>
    <row r="7" spans="1:27" ht="17.25">
      <c r="A7" s="283"/>
      <c r="B7" s="1" t="s">
        <v>46</v>
      </c>
      <c r="C7" s="14">
        <v>15.77</v>
      </c>
      <c r="D7" s="14">
        <v>15.05</v>
      </c>
      <c r="E7" s="14">
        <v>6.28</v>
      </c>
      <c r="F7" s="14">
        <v>50.75</v>
      </c>
      <c r="G7" s="14">
        <v>4.57</v>
      </c>
      <c r="H7" s="14">
        <v>4.6981200000000003</v>
      </c>
      <c r="I7" s="15">
        <v>83</v>
      </c>
      <c r="J7" s="16">
        <v>3.0817671755050515</v>
      </c>
      <c r="K7" s="23"/>
      <c r="L7" s="38">
        <v>6.83</v>
      </c>
      <c r="M7" s="23"/>
      <c r="N7" s="23"/>
      <c r="O7" s="23">
        <v>3.66</v>
      </c>
      <c r="P7" s="23"/>
      <c r="Q7" s="23"/>
      <c r="R7" s="249"/>
      <c r="S7" s="23"/>
      <c r="T7" s="39"/>
      <c r="U7" s="23"/>
      <c r="V7" s="23"/>
      <c r="W7" s="23"/>
      <c r="X7" s="23"/>
      <c r="Y7" s="23"/>
    </row>
    <row r="8" spans="1:27" ht="17.25">
      <c r="A8" s="283"/>
      <c r="B8" s="1" t="s">
        <v>47</v>
      </c>
      <c r="C8" s="14">
        <v>20.45</v>
      </c>
      <c r="D8" s="14">
        <v>12.71</v>
      </c>
      <c r="E8" s="14">
        <v>5.62</v>
      </c>
      <c r="F8" s="14">
        <v>53.97</v>
      </c>
      <c r="G8" s="14">
        <v>2.84</v>
      </c>
      <c r="H8" s="14">
        <v>1.3003800000000001</v>
      </c>
      <c r="I8" s="15">
        <v>75</v>
      </c>
      <c r="J8" s="16">
        <v>2.9957281588511706</v>
      </c>
      <c r="K8" s="23"/>
      <c r="L8" s="38">
        <v>16.64</v>
      </c>
      <c r="M8" s="23">
        <v>5.08</v>
      </c>
      <c r="N8" s="23"/>
      <c r="O8" s="23"/>
      <c r="P8" s="23"/>
      <c r="Q8" s="23"/>
      <c r="R8" s="249"/>
      <c r="S8" s="23"/>
      <c r="T8" s="39"/>
      <c r="U8" s="23"/>
      <c r="V8" s="23"/>
      <c r="W8" s="23"/>
      <c r="X8" s="23"/>
      <c r="Y8" s="23"/>
    </row>
    <row r="9" spans="1:27" ht="17.25">
      <c r="A9" s="283"/>
      <c r="B9" s="1" t="s">
        <v>48</v>
      </c>
      <c r="C9" s="14">
        <v>22.85</v>
      </c>
      <c r="D9" s="14">
        <v>5.2</v>
      </c>
      <c r="E9" s="14">
        <v>4.47</v>
      </c>
      <c r="F9" s="14">
        <v>60.48</v>
      </c>
      <c r="G9" s="14">
        <v>1.19</v>
      </c>
      <c r="H9" s="14">
        <v>3.0019800000000001</v>
      </c>
      <c r="I9" s="15">
        <v>71</v>
      </c>
      <c r="J9" s="16">
        <v>3.2386801978733013</v>
      </c>
      <c r="L9" s="38">
        <v>16.48</v>
      </c>
      <c r="M9" s="23">
        <v>10.17</v>
      </c>
      <c r="N9" s="23"/>
      <c r="O9" s="55"/>
      <c r="P9" s="55"/>
      <c r="Q9" s="55"/>
      <c r="R9" s="250"/>
      <c r="S9" s="100"/>
      <c r="T9" s="145"/>
    </row>
    <row r="10" spans="1:27" ht="17.25">
      <c r="A10" s="282"/>
      <c r="B10" s="22" t="s">
        <v>49</v>
      </c>
      <c r="C10" s="18">
        <v>27.71</v>
      </c>
      <c r="D10" s="18">
        <v>1.64</v>
      </c>
      <c r="E10" s="18">
        <v>6.35</v>
      </c>
      <c r="F10" s="18">
        <v>57.98</v>
      </c>
      <c r="G10" s="18">
        <v>1.07</v>
      </c>
      <c r="H10" s="18">
        <v>2.2700200000000001</v>
      </c>
      <c r="I10" s="19">
        <v>63</v>
      </c>
      <c r="J10" s="20">
        <v>3.3449931791693239</v>
      </c>
      <c r="L10" s="40">
        <v>14.15</v>
      </c>
      <c r="M10" s="50">
        <v>20.010000000000002</v>
      </c>
      <c r="N10" s="50"/>
      <c r="O10" s="56"/>
      <c r="P10" s="56"/>
      <c r="Q10" s="56"/>
      <c r="R10" s="251"/>
      <c r="S10" s="101"/>
      <c r="T10" s="133"/>
    </row>
    <row r="11" spans="1:27" ht="16.5" customHeight="1">
      <c r="L11" s="294" t="s">
        <v>227</v>
      </c>
      <c r="M11" s="294"/>
      <c r="N11" s="308" t="s">
        <v>228</v>
      </c>
      <c r="O11" s="311"/>
      <c r="P11" s="308" t="s">
        <v>148</v>
      </c>
      <c r="Q11" s="311"/>
      <c r="R11" s="309" t="s">
        <v>229</v>
      </c>
      <c r="S11" s="308" t="s">
        <v>149</v>
      </c>
      <c r="T11" s="308"/>
    </row>
    <row r="12" spans="1:27" ht="17.25">
      <c r="A12" s="7"/>
      <c r="B12" s="7"/>
      <c r="C12" s="7"/>
      <c r="D12" s="55"/>
      <c r="L12" s="298"/>
      <c r="M12" s="298"/>
      <c r="N12" s="312"/>
      <c r="O12" s="312"/>
      <c r="P12" s="313"/>
      <c r="Q12" s="313"/>
      <c r="R12" s="310"/>
      <c r="S12" s="294"/>
      <c r="T12" s="294"/>
    </row>
    <row r="13" spans="1:27" ht="17.25">
      <c r="A13" s="1"/>
      <c r="B13" s="1"/>
      <c r="C13" s="1"/>
      <c r="D13" s="55"/>
      <c r="L13" s="1"/>
      <c r="M13" s="1"/>
      <c r="N13" s="1"/>
    </row>
    <row r="14" spans="1:27">
      <c r="A14" s="55"/>
      <c r="B14" s="55"/>
      <c r="C14" s="55"/>
      <c r="D14" s="55"/>
    </row>
    <row r="15" spans="1:27">
      <c r="A15" s="55"/>
      <c r="B15" s="55"/>
      <c r="C15" s="55"/>
      <c r="D15" s="55"/>
      <c r="O15" s="55"/>
    </row>
    <row r="16" spans="1:27" ht="17.25">
      <c r="L16" s="7"/>
      <c r="M16" s="7"/>
      <c r="N16" s="7"/>
    </row>
    <row r="17" spans="1:21" ht="17.25">
      <c r="L17" s="1"/>
      <c r="M17" s="1"/>
      <c r="N17" s="1"/>
    </row>
    <row r="18" spans="1:21" ht="17.25">
      <c r="L18" s="23"/>
      <c r="M18" s="23"/>
      <c r="N18" s="23"/>
    </row>
    <row r="19" spans="1:21" ht="17.25">
      <c r="L19" s="23"/>
      <c r="M19" s="23"/>
      <c r="N19" s="23"/>
      <c r="Q19" s="83"/>
      <c r="R19" s="83"/>
      <c r="U19" s="55"/>
    </row>
    <row r="20" spans="1:21">
      <c r="K20" s="64"/>
      <c r="L20" s="89" t="s">
        <v>138</v>
      </c>
      <c r="M20" s="90" t="s">
        <v>139</v>
      </c>
      <c r="N20" s="89" t="s">
        <v>150</v>
      </c>
      <c r="O20" s="89" t="s">
        <v>151</v>
      </c>
      <c r="P20" s="89" t="s">
        <v>152</v>
      </c>
      <c r="Q20" s="89" t="s">
        <v>144</v>
      </c>
      <c r="R20" s="91" t="s">
        <v>131</v>
      </c>
      <c r="S20" s="83"/>
      <c r="T20" s="80"/>
    </row>
    <row r="21" spans="1:21" ht="34.5">
      <c r="A21" s="44" t="s">
        <v>106</v>
      </c>
      <c r="B21" s="45" t="s">
        <v>105</v>
      </c>
      <c r="C21" s="46" t="s">
        <v>107</v>
      </c>
      <c r="K21" s="92" t="s">
        <v>125</v>
      </c>
      <c r="L21" s="93">
        <v>0.71799999999999997</v>
      </c>
      <c r="M21" s="93">
        <v>0.77200000000000002</v>
      </c>
      <c r="N21" s="93"/>
      <c r="O21" s="93"/>
      <c r="P21" s="93"/>
      <c r="Q21" s="93">
        <v>0.372</v>
      </c>
      <c r="R21" s="94">
        <v>0.377</v>
      </c>
      <c r="S21" s="88"/>
      <c r="T21" s="86"/>
    </row>
    <row r="22" spans="1:21" ht="17.25">
      <c r="A22" s="87">
        <v>102</v>
      </c>
      <c r="B22" s="81">
        <v>56.1</v>
      </c>
      <c r="C22" s="79">
        <v>60.1</v>
      </c>
      <c r="K22" s="92" t="s">
        <v>133</v>
      </c>
      <c r="L22" s="93"/>
      <c r="M22" s="93"/>
      <c r="N22" s="93">
        <v>0.51200000000000001</v>
      </c>
      <c r="O22" s="93">
        <v>0.73699999999999999</v>
      </c>
      <c r="P22" s="93">
        <v>0.65100000000000002</v>
      </c>
      <c r="Q22" s="93">
        <v>0.40899999999999997</v>
      </c>
      <c r="R22" s="94">
        <v>0.623</v>
      </c>
      <c r="S22" s="85"/>
      <c r="T22" s="86"/>
    </row>
    <row r="23" spans="1:21" ht="17.25">
      <c r="A23" s="35"/>
      <c r="I23" s="1"/>
      <c r="J23" s="1"/>
      <c r="K23" s="75" t="s">
        <v>126</v>
      </c>
      <c r="L23" s="95">
        <v>0.28199999999999997</v>
      </c>
      <c r="M23" s="95">
        <v>0.22800000000000001</v>
      </c>
      <c r="N23" s="96">
        <v>0.36599999999999999</v>
      </c>
      <c r="O23" s="96">
        <v>0.26300000000000001</v>
      </c>
      <c r="P23" s="96">
        <v>0.34899999999999998</v>
      </c>
      <c r="Q23" s="96">
        <v>0.219</v>
      </c>
      <c r="R23" s="97"/>
      <c r="S23" s="85"/>
      <c r="T23" s="86"/>
    </row>
    <row r="24" spans="1:21" ht="17.25">
      <c r="A24" s="35"/>
      <c r="I24" s="1"/>
      <c r="J24" s="1"/>
      <c r="K24" s="1"/>
      <c r="L24" s="1"/>
      <c r="M24" s="1"/>
      <c r="N24" s="1"/>
      <c r="O24" s="1"/>
      <c r="P24" s="1"/>
      <c r="Q24" s="1"/>
      <c r="R24" s="1"/>
      <c r="U24" s="55"/>
    </row>
    <row r="25" spans="1:21" ht="34.5" customHeight="1"/>
    <row r="26" spans="1:21" ht="34.5">
      <c r="A26" s="299" t="s">
        <v>153</v>
      </c>
      <c r="B26" s="53"/>
      <c r="C26" s="3" t="s">
        <v>104</v>
      </c>
      <c r="D26" s="3" t="s">
        <v>119</v>
      </c>
      <c r="E26" s="3"/>
      <c r="F26" s="54" t="s">
        <v>120</v>
      </c>
      <c r="G26" s="54"/>
      <c r="H26" s="3"/>
      <c r="I26" s="3" t="s">
        <v>109</v>
      </c>
      <c r="J26" s="3" t="s">
        <v>108</v>
      </c>
      <c r="K26" s="3" t="s">
        <v>110</v>
      </c>
      <c r="L26" s="3" t="s">
        <v>111</v>
      </c>
      <c r="M26" s="3"/>
      <c r="N26" s="3" t="s">
        <v>113</v>
      </c>
      <c r="O26" s="3" t="s">
        <v>112</v>
      </c>
      <c r="P26" s="3" t="s">
        <v>114</v>
      </c>
      <c r="Q26" s="3"/>
      <c r="R26" s="3" t="s">
        <v>115</v>
      </c>
      <c r="S26" s="58" t="s">
        <v>117</v>
      </c>
      <c r="T26" s="61" t="s">
        <v>130</v>
      </c>
    </row>
    <row r="27" spans="1:21" ht="17.25">
      <c r="A27" s="300"/>
      <c r="B27" s="1" t="s">
        <v>43</v>
      </c>
      <c r="C27" s="55">
        <f>C4-M4*$L$21-S4*$R$21-T4*$R$21</f>
        <v>13.755209999999998</v>
      </c>
      <c r="D27" s="55">
        <f>D4*(100-N4)*0.01-(O4*$N$22+P4*$O$22+Q4*$P$22+S4*$R$22+T4*$R$22)</f>
        <v>14.320319999999999</v>
      </c>
      <c r="E27" s="55"/>
      <c r="F27" s="55">
        <f t="shared" ref="F27:F33" si="0">F4*(100-L4)*0.01-(M4*$L$23+O4*$N$23+P4*$O$23+Q4*$P$23)</f>
        <v>27.393946</v>
      </c>
      <c r="G27" s="55"/>
      <c r="H27" s="55"/>
      <c r="I27" s="23">
        <f>100*C27/$A$22</f>
        <v>13.485499999999996</v>
      </c>
      <c r="J27" s="23">
        <f>100*D27/$B$22</f>
        <v>25.526417112299463</v>
      </c>
      <c r="K27" s="23">
        <f>100*F27/$C$22</f>
        <v>45.580608985024959</v>
      </c>
      <c r="L27" s="23">
        <f>SUM(I27:K27)</f>
        <v>84.592526097324424</v>
      </c>
      <c r="M27" s="23"/>
      <c r="N27" s="23">
        <f>I27/L27</f>
        <v>0.15941715683587476</v>
      </c>
      <c r="O27" s="23">
        <f>J27/L27</f>
        <v>0.30175735717988966</v>
      </c>
      <c r="P27" s="23">
        <f>K27/L27</f>
        <v>0.53882548598423552</v>
      </c>
      <c r="Q27" s="23"/>
      <c r="R27" s="23">
        <f>(11-12*O27+N27)/(3-2*O27+2*N27)</f>
        <v>2.7762215809097843</v>
      </c>
      <c r="S27" s="52">
        <v>2.7619854376116524</v>
      </c>
      <c r="T27" s="62">
        <f>ABS(R27-S27)</f>
        <v>1.4236143298131942E-2</v>
      </c>
    </row>
    <row r="28" spans="1:21" ht="17.25">
      <c r="A28" s="300"/>
      <c r="B28" s="1" t="s">
        <v>44</v>
      </c>
      <c r="C28" s="55">
        <f>C5-M5*$L$21-S5*$R$21-T5*$R$21</f>
        <v>14.44697</v>
      </c>
      <c r="D28" s="55">
        <f>D5*(100-N5)*0.01-(O5*$N$22+P5*$O$22+Q5*$P$22+S5*$R$22+T5*$R$22)</f>
        <v>13.54331</v>
      </c>
      <c r="E28" s="55"/>
      <c r="F28" s="55">
        <f t="shared" si="0"/>
        <v>27.736660000000008</v>
      </c>
      <c r="G28" s="55"/>
      <c r="H28" s="55"/>
      <c r="I28" s="23">
        <f t="shared" ref="I28:I33" si="1">100*C28/$A$22</f>
        <v>14.163696078431373</v>
      </c>
      <c r="J28" s="23">
        <f t="shared" ref="J28:J33" si="2">100*D28/$B$22</f>
        <v>24.141372549019607</v>
      </c>
      <c r="K28" s="23">
        <f t="shared" ref="K28:K33" si="3">100*F28/$C$22</f>
        <v>46.150848585690525</v>
      </c>
      <c r="L28" s="23">
        <f t="shared" ref="L28:L33" si="4">SUM(I28:K28)</f>
        <v>84.455917213141504</v>
      </c>
      <c r="M28" s="23"/>
      <c r="N28" s="23">
        <f t="shared" ref="N28:N33" si="5">I28/L28</f>
        <v>0.16770519515745044</v>
      </c>
      <c r="O28" s="23">
        <f t="shared" ref="O28:O33" si="6">J28/L28</f>
        <v>0.28584583941103847</v>
      </c>
      <c r="P28" s="23">
        <f t="shared" ref="P28:P33" si="7">K28/L28</f>
        <v>0.54644896543151111</v>
      </c>
      <c r="Q28" s="23"/>
      <c r="R28" s="23">
        <f t="shared" ref="R28:R33" si="8">(11-12*O28+N28)/(3-2*O28+2*N28)</f>
        <v>2.7996898128773555</v>
      </c>
      <c r="S28" s="52">
        <v>2.7575113798619535</v>
      </c>
      <c r="T28" s="62">
        <f t="shared" ref="T28:T33" si="9">ABS(R28-S28)</f>
        <v>4.2178433015402028E-2</v>
      </c>
    </row>
    <row r="29" spans="1:21" ht="17.25">
      <c r="A29" s="300"/>
      <c r="B29" s="1" t="s">
        <v>45</v>
      </c>
      <c r="C29" s="55">
        <f>C6-M6*$L$21-S6*$R$21-T6*$R$21</f>
        <v>16.213400000000004</v>
      </c>
      <c r="D29" s="55">
        <f>D6*(100-N6)*0.01-(O6*$N$22+P6*$O$22+Q6*$P$22+S6*$R$22+T6*$R$22)</f>
        <v>8.7095250000000028</v>
      </c>
      <c r="E29" s="55"/>
      <c r="F29" s="55">
        <f t="shared" si="0"/>
        <v>31.950331999999996</v>
      </c>
      <c r="G29" s="55"/>
      <c r="H29" s="55"/>
      <c r="I29" s="23">
        <f t="shared" si="1"/>
        <v>15.895490196078436</v>
      </c>
      <c r="J29" s="23">
        <f t="shared" si="2"/>
        <v>15.525000000000006</v>
      </c>
      <c r="K29" s="23">
        <f t="shared" si="3"/>
        <v>53.161950083194661</v>
      </c>
      <c r="L29" s="23">
        <f t="shared" si="4"/>
        <v>84.582440279273101</v>
      </c>
      <c r="M29" s="23"/>
      <c r="N29" s="23">
        <f t="shared" si="5"/>
        <v>0.18792896189321248</v>
      </c>
      <c r="O29" s="23">
        <f t="shared" si="6"/>
        <v>0.18354873598751445</v>
      </c>
      <c r="P29" s="23">
        <f t="shared" si="7"/>
        <v>0.62852230211927307</v>
      </c>
      <c r="Q29" s="23"/>
      <c r="R29" s="23">
        <f t="shared" si="8"/>
        <v>2.986393989801845</v>
      </c>
      <c r="S29" s="52">
        <v>2.9598169190297012</v>
      </c>
      <c r="T29" s="62">
        <f t="shared" si="9"/>
        <v>2.6577070772143774E-2</v>
      </c>
    </row>
    <row r="30" spans="1:21" ht="17.25">
      <c r="A30" s="300"/>
      <c r="B30" s="1" t="s">
        <v>46</v>
      </c>
      <c r="C30" s="55">
        <f>C7*I7*0.01</f>
        <v>13.089099999999998</v>
      </c>
      <c r="D30" s="55">
        <f>D7*(100-N7)*0.01-(O7*$N$22+P7*$O$22+Q7*$P$22+S7*$R$22+T7*$R$22)</f>
        <v>13.176080000000001</v>
      </c>
      <c r="E30" s="55"/>
      <c r="F30" s="55">
        <f t="shared" si="0"/>
        <v>45.944215000000007</v>
      </c>
      <c r="G30" s="55"/>
      <c r="H30" s="55"/>
      <c r="I30" s="23">
        <f t="shared" si="1"/>
        <v>12.832450980392155</v>
      </c>
      <c r="J30" s="23">
        <f t="shared" si="2"/>
        <v>23.486773618538326</v>
      </c>
      <c r="K30" s="23">
        <f t="shared" si="3"/>
        <v>76.446281198003334</v>
      </c>
      <c r="L30" s="23">
        <f t="shared" si="4"/>
        <v>112.76550579693381</v>
      </c>
      <c r="M30" s="23"/>
      <c r="N30" s="23">
        <f t="shared" si="5"/>
        <v>0.11379766258930823</v>
      </c>
      <c r="O30" s="23">
        <f t="shared" si="6"/>
        <v>0.20827977006402035</v>
      </c>
      <c r="P30" s="23">
        <f t="shared" si="7"/>
        <v>0.67792256734667145</v>
      </c>
      <c r="Q30" s="23"/>
      <c r="R30" s="23">
        <f t="shared" si="8"/>
        <v>3.0645075625268405</v>
      </c>
      <c r="S30" s="52">
        <v>3.0817671755050515</v>
      </c>
      <c r="T30" s="62">
        <f t="shared" si="9"/>
        <v>1.7259612978210992E-2</v>
      </c>
    </row>
    <row r="31" spans="1:21" ht="17.25">
      <c r="A31" s="300"/>
      <c r="B31" s="65" t="s">
        <v>47</v>
      </c>
      <c r="C31" s="55">
        <f>C8-M8*$L$21-S8*$R$21-T8*$R$21</f>
        <v>16.80256</v>
      </c>
      <c r="D31" s="55">
        <f>D8*I8*0.01</f>
        <v>9.5325000000000006</v>
      </c>
      <c r="E31" s="55"/>
      <c r="F31" s="55">
        <f t="shared" si="0"/>
        <v>43.556832</v>
      </c>
      <c r="G31" s="55"/>
      <c r="H31" s="55"/>
      <c r="I31" s="23">
        <f t="shared" si="1"/>
        <v>16.473098039215685</v>
      </c>
      <c r="J31" s="23">
        <f t="shared" si="2"/>
        <v>16.991978609625669</v>
      </c>
      <c r="K31" s="23">
        <f t="shared" si="3"/>
        <v>72.473930116472545</v>
      </c>
      <c r="L31" s="23">
        <f t="shared" si="4"/>
        <v>105.93900676531391</v>
      </c>
      <c r="M31" s="23"/>
      <c r="N31" s="23">
        <f t="shared" si="5"/>
        <v>0.15549605893236706</v>
      </c>
      <c r="O31" s="23">
        <f t="shared" si="6"/>
        <v>0.16039397695381366</v>
      </c>
      <c r="P31" s="23">
        <f t="shared" si="7"/>
        <v>0.68410996411381919</v>
      </c>
      <c r="Q31" s="23"/>
      <c r="R31" s="23">
        <f t="shared" si="8"/>
        <v>3.0870027026084412</v>
      </c>
      <c r="S31" s="52">
        <v>2.9957281588511706</v>
      </c>
      <c r="T31" s="62">
        <f t="shared" si="9"/>
        <v>9.1274543757270621E-2</v>
      </c>
    </row>
    <row r="32" spans="1:21" ht="17.25">
      <c r="A32" s="300"/>
      <c r="B32" s="65" t="s">
        <v>48</v>
      </c>
      <c r="C32" s="55">
        <f>C9-M9*$L$21-S9*$R$21-T9*$R$21</f>
        <v>15.547940000000001</v>
      </c>
      <c r="D32" s="55">
        <f>D9*I9*0.01</f>
        <v>3.6920000000000002</v>
      </c>
      <c r="E32" s="55"/>
      <c r="F32" s="55">
        <f t="shared" si="0"/>
        <v>47.644955999999993</v>
      </c>
      <c r="G32" s="55"/>
      <c r="H32" s="55"/>
      <c r="I32" s="23">
        <f t="shared" si="1"/>
        <v>15.243078431372551</v>
      </c>
      <c r="J32" s="23">
        <f t="shared" si="2"/>
        <v>6.5811051693404643</v>
      </c>
      <c r="K32" s="23">
        <f t="shared" si="3"/>
        <v>79.276133111480846</v>
      </c>
      <c r="L32" s="23">
        <f t="shared" si="4"/>
        <v>101.10031671219386</v>
      </c>
      <c r="M32" s="23"/>
      <c r="N32" s="23">
        <f t="shared" si="5"/>
        <v>0.15077181681602053</v>
      </c>
      <c r="O32" s="23">
        <f t="shared" si="6"/>
        <v>6.509480270052119E-2</v>
      </c>
      <c r="P32" s="23">
        <f t="shared" si="7"/>
        <v>0.78413338048345826</v>
      </c>
      <c r="Q32" s="23"/>
      <c r="R32" s="23">
        <f t="shared" si="8"/>
        <v>3.269781327502566</v>
      </c>
      <c r="S32" s="52">
        <v>3.2386801978733013</v>
      </c>
      <c r="T32" s="62">
        <f t="shared" si="9"/>
        <v>3.1101129629264701E-2</v>
      </c>
    </row>
    <row r="33" spans="1:20" ht="17.25">
      <c r="A33" s="301"/>
      <c r="B33" s="42" t="s">
        <v>49</v>
      </c>
      <c r="C33" s="56">
        <f>C10-M10*$L$21-S10*$R$21-T10*$R$21</f>
        <v>13.34282</v>
      </c>
      <c r="D33" s="56">
        <f>D10*I10*0.01</f>
        <v>1.0331999999999999</v>
      </c>
      <c r="E33" s="56"/>
      <c r="F33" s="56">
        <f t="shared" si="0"/>
        <v>44.133009999999999</v>
      </c>
      <c r="G33" s="56"/>
      <c r="H33" s="56"/>
      <c r="I33" s="50">
        <f t="shared" si="1"/>
        <v>13.081196078431372</v>
      </c>
      <c r="J33" s="50">
        <f t="shared" si="2"/>
        <v>1.8417112299465239</v>
      </c>
      <c r="K33" s="50">
        <f t="shared" si="3"/>
        <v>73.432628951747077</v>
      </c>
      <c r="L33" s="50">
        <f t="shared" si="4"/>
        <v>88.355536260124978</v>
      </c>
      <c r="M33" s="50"/>
      <c r="N33" s="50">
        <f t="shared" si="5"/>
        <v>0.14805179881336922</v>
      </c>
      <c r="O33" s="50">
        <f t="shared" si="6"/>
        <v>2.0844321792404669E-2</v>
      </c>
      <c r="P33" s="50">
        <f t="shared" si="7"/>
        <v>0.83110387939422603</v>
      </c>
      <c r="Q33" s="50"/>
      <c r="R33" s="50">
        <f t="shared" si="8"/>
        <v>3.3486571599511237</v>
      </c>
      <c r="S33" s="60">
        <v>3.3449931791693239</v>
      </c>
      <c r="T33" s="63">
        <f t="shared" si="9"/>
        <v>3.6639807817997472E-3</v>
      </c>
    </row>
    <row r="34" spans="1:20">
      <c r="T34" s="78">
        <f>AVERAGE(T27:T33)</f>
        <v>3.2327273461746256E-2</v>
      </c>
    </row>
  </sheetData>
  <mergeCells count="10">
    <mergeCell ref="A26:A33"/>
    <mergeCell ref="S11:T12"/>
    <mergeCell ref="R11:R12"/>
    <mergeCell ref="A1:J1"/>
    <mergeCell ref="A2:J2"/>
    <mergeCell ref="L11:M12"/>
    <mergeCell ref="A4:A10"/>
    <mergeCell ref="L2:T2"/>
    <mergeCell ref="N11:O12"/>
    <mergeCell ref="P11:Q12"/>
  </mergeCells>
  <phoneticPr fontId="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0FED-4E71-416E-B32A-85807FF0FB74}">
  <dimension ref="A1:AA25"/>
  <sheetViews>
    <sheetView zoomScale="75" zoomScaleNormal="75" workbookViewId="0">
      <selection activeCell="F18" sqref="F18"/>
    </sheetView>
  </sheetViews>
  <sheetFormatPr defaultRowHeight="16.5"/>
  <cols>
    <col min="1" max="1" width="11.25" customWidth="1"/>
    <col min="2" max="3" width="12.375" customWidth="1"/>
    <col min="4" max="4" width="11.5" customWidth="1"/>
    <col min="6" max="6" width="11.625" customWidth="1"/>
    <col min="9" max="9" width="13.25" customWidth="1"/>
    <col min="10" max="10" width="12.25" customWidth="1"/>
    <col min="11" max="11" width="11.5" customWidth="1"/>
    <col min="12" max="12" width="19.875" customWidth="1"/>
    <col min="13" max="13" width="19.125" customWidth="1"/>
    <col min="14" max="14" width="20.25" customWidth="1"/>
    <col min="15" max="15" width="19.875" customWidth="1"/>
    <col min="16" max="16" width="19.75" customWidth="1"/>
    <col min="17" max="17" width="19.125" customWidth="1"/>
    <col min="18" max="18" width="18.875" customWidth="1"/>
    <col min="19" max="19" width="17.375" customWidth="1"/>
    <col min="20" max="20" width="19" customWidth="1"/>
    <col min="22" max="22" width="10.25" customWidth="1"/>
  </cols>
  <sheetData>
    <row r="1" spans="1:27" ht="26.25">
      <c r="A1" s="289" t="s">
        <v>101</v>
      </c>
      <c r="B1" s="289"/>
      <c r="C1" s="289"/>
      <c r="D1" s="289"/>
      <c r="E1" s="289"/>
      <c r="F1" s="289"/>
      <c r="G1" s="289"/>
      <c r="H1" s="289"/>
      <c r="I1" s="289"/>
      <c r="J1" s="289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 spans="1:27" ht="20.25">
      <c r="A2" s="284" t="s">
        <v>102</v>
      </c>
      <c r="B2" s="285"/>
      <c r="C2" s="285"/>
      <c r="D2" s="285"/>
      <c r="E2" s="285"/>
      <c r="F2" s="285"/>
      <c r="G2" s="285"/>
      <c r="H2" s="285"/>
      <c r="I2" s="285"/>
      <c r="J2" s="285"/>
      <c r="K2" s="67"/>
      <c r="L2" s="314" t="s">
        <v>122</v>
      </c>
      <c r="M2" s="315"/>
      <c r="N2" s="316"/>
      <c r="O2" s="102"/>
      <c r="P2" s="102"/>
      <c r="Q2" s="102"/>
      <c r="R2" s="102"/>
      <c r="S2" s="102"/>
      <c r="T2" s="102"/>
      <c r="U2" s="67"/>
      <c r="V2" s="67"/>
      <c r="W2" s="67"/>
      <c r="X2" s="67"/>
      <c r="Y2" s="67"/>
      <c r="Z2" s="67"/>
      <c r="AA2" s="67"/>
    </row>
    <row r="3" spans="1:27" ht="34.5">
      <c r="A3" s="2" t="s">
        <v>116</v>
      </c>
      <c r="B3" s="3" t="s">
        <v>18</v>
      </c>
      <c r="C3" s="4" t="s">
        <v>20</v>
      </c>
      <c r="D3" s="4" t="s">
        <v>22</v>
      </c>
      <c r="E3" s="4" t="s">
        <v>21</v>
      </c>
      <c r="F3" s="4" t="s">
        <v>19</v>
      </c>
      <c r="G3" s="4" t="s">
        <v>23</v>
      </c>
      <c r="H3" s="4" t="s">
        <v>33</v>
      </c>
      <c r="I3" s="5" t="s">
        <v>118</v>
      </c>
      <c r="J3" s="6" t="s">
        <v>117</v>
      </c>
      <c r="K3" s="7"/>
      <c r="L3" s="36" t="s">
        <v>103</v>
      </c>
      <c r="M3" s="7" t="s">
        <v>121</v>
      </c>
      <c r="N3" s="37" t="s">
        <v>155</v>
      </c>
      <c r="O3" s="67"/>
      <c r="P3" s="67"/>
      <c r="Q3" s="84"/>
      <c r="R3" s="7"/>
      <c r="S3" s="7"/>
      <c r="T3" s="7"/>
      <c r="U3" s="7"/>
      <c r="V3" s="7"/>
      <c r="W3" s="7"/>
      <c r="X3" s="7"/>
      <c r="Y3" s="7"/>
    </row>
    <row r="4" spans="1:27" ht="17.25">
      <c r="A4" s="51" t="s">
        <v>154</v>
      </c>
      <c r="B4" s="74" t="s">
        <v>64</v>
      </c>
      <c r="C4" s="26">
        <v>20.419999999999998</v>
      </c>
      <c r="D4" s="26">
        <v>9.9</v>
      </c>
      <c r="E4" s="26">
        <v>8.18</v>
      </c>
      <c r="F4" s="26">
        <v>55.110000000000007</v>
      </c>
      <c r="G4" s="26">
        <v>2.7199999999999998</v>
      </c>
      <c r="H4" s="26">
        <v>1.46</v>
      </c>
      <c r="I4" s="27">
        <v>77.3</v>
      </c>
      <c r="J4" s="28">
        <v>3.0703398169423055</v>
      </c>
      <c r="K4" s="23"/>
      <c r="L4" s="40">
        <v>10.06</v>
      </c>
      <c r="M4" s="50">
        <v>0.86</v>
      </c>
      <c r="N4" s="41">
        <v>1.1599999999999999</v>
      </c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7" ht="17.25">
      <c r="A5" s="99"/>
      <c r="B5" s="67"/>
      <c r="C5" s="67"/>
      <c r="D5" s="67"/>
      <c r="E5" s="67"/>
      <c r="F5" s="67"/>
      <c r="G5" s="67"/>
      <c r="H5" s="67"/>
      <c r="I5" s="67"/>
      <c r="J5" s="67"/>
      <c r="K5" s="23"/>
      <c r="L5" s="303" t="s">
        <v>156</v>
      </c>
      <c r="M5" s="304"/>
      <c r="N5" s="304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7" ht="17.25">
      <c r="A6" s="99"/>
      <c r="B6" s="67"/>
      <c r="C6" s="67"/>
      <c r="D6" s="67"/>
      <c r="E6" s="67"/>
      <c r="F6" s="67"/>
      <c r="G6" s="67"/>
      <c r="H6" s="67"/>
      <c r="I6" s="67"/>
      <c r="J6" s="67"/>
      <c r="K6" s="23"/>
      <c r="L6" s="305"/>
      <c r="M6" s="305"/>
      <c r="N6" s="305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7" ht="17.25">
      <c r="A7" s="99"/>
      <c r="B7" s="67"/>
      <c r="C7" s="67"/>
      <c r="D7" s="67"/>
      <c r="E7" s="67"/>
      <c r="F7" s="67"/>
      <c r="G7" s="67"/>
      <c r="H7" s="67"/>
      <c r="I7" s="67"/>
      <c r="J7" s="67"/>
      <c r="K7" s="23"/>
      <c r="L7" s="305"/>
      <c r="M7" s="305"/>
      <c r="N7" s="305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1:27" ht="17.25">
      <c r="A8" s="99"/>
      <c r="B8" s="67"/>
      <c r="C8" s="67"/>
      <c r="D8" s="67"/>
      <c r="E8" s="67"/>
      <c r="F8" s="67"/>
      <c r="G8" s="67"/>
      <c r="H8" s="67"/>
      <c r="I8" s="67"/>
      <c r="J8" s="67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7" ht="17.25">
      <c r="A9" s="99"/>
      <c r="B9" s="67"/>
      <c r="C9" s="67"/>
      <c r="D9" s="67"/>
      <c r="E9" s="67"/>
      <c r="F9" s="67"/>
      <c r="G9" s="67"/>
      <c r="H9" s="67"/>
      <c r="I9" s="67"/>
      <c r="J9" s="67"/>
      <c r="L9" s="23"/>
      <c r="M9" s="23"/>
      <c r="N9" s="23"/>
      <c r="O9" s="55"/>
      <c r="P9" s="55"/>
      <c r="Q9" s="55"/>
      <c r="R9" s="100"/>
      <c r="S9" s="100"/>
      <c r="T9" s="100"/>
    </row>
    <row r="10" spans="1:27" ht="17.25">
      <c r="L10" s="23"/>
      <c r="M10" s="23"/>
      <c r="N10" s="23"/>
      <c r="Q10" s="83"/>
      <c r="R10" s="83"/>
    </row>
    <row r="11" spans="1:27">
      <c r="K11" s="64"/>
      <c r="L11" s="89" t="s">
        <v>138</v>
      </c>
      <c r="M11" s="90" t="s">
        <v>139</v>
      </c>
      <c r="N11" s="91" t="s">
        <v>157</v>
      </c>
      <c r="O11" s="80"/>
      <c r="P11" s="80"/>
      <c r="Q11" s="80"/>
      <c r="R11" s="80"/>
      <c r="S11" s="83"/>
      <c r="T11" s="80"/>
    </row>
    <row r="12" spans="1:27" ht="34.5">
      <c r="A12" s="44" t="s">
        <v>106</v>
      </c>
      <c r="B12" s="45" t="s">
        <v>105</v>
      </c>
      <c r="C12" s="46" t="s">
        <v>107</v>
      </c>
      <c r="K12" s="92" t="s">
        <v>125</v>
      </c>
      <c r="L12" s="93">
        <v>0.71799999999999997</v>
      </c>
      <c r="M12" s="93">
        <v>0.77200000000000002</v>
      </c>
      <c r="N12" s="94">
        <v>8.1000000000000003E-2</v>
      </c>
      <c r="O12" s="93"/>
      <c r="P12" s="93"/>
      <c r="Q12" s="93"/>
      <c r="R12" s="93"/>
      <c r="S12" s="88"/>
      <c r="T12" s="86"/>
    </row>
    <row r="13" spans="1:27" ht="17.25">
      <c r="A13" s="87">
        <v>102</v>
      </c>
      <c r="B13" s="81">
        <v>56.1</v>
      </c>
      <c r="C13" s="79">
        <v>60.1</v>
      </c>
      <c r="K13" s="92" t="s">
        <v>133</v>
      </c>
      <c r="L13" s="93"/>
      <c r="M13" s="93"/>
      <c r="N13" s="94">
        <v>0.13400000000000001</v>
      </c>
      <c r="O13" s="93"/>
      <c r="P13" s="93"/>
      <c r="Q13" s="93"/>
      <c r="R13" s="93"/>
      <c r="S13" s="85"/>
      <c r="T13" s="86"/>
    </row>
    <row r="14" spans="1:27" ht="17.25">
      <c r="A14" s="35"/>
      <c r="I14" s="67"/>
      <c r="J14" s="67"/>
      <c r="K14" s="75" t="s">
        <v>126</v>
      </c>
      <c r="L14" s="95">
        <v>0.28199999999999997</v>
      </c>
      <c r="M14" s="95">
        <v>0.22800000000000001</v>
      </c>
      <c r="N14" s="104"/>
      <c r="O14" s="103"/>
      <c r="P14" s="103"/>
      <c r="Q14" s="103"/>
      <c r="R14" s="93"/>
      <c r="S14" s="85"/>
      <c r="T14" s="86"/>
    </row>
    <row r="15" spans="1:27" ht="17.25">
      <c r="A15" s="35"/>
      <c r="I15" s="67"/>
      <c r="J15" s="67"/>
      <c r="K15" s="67"/>
      <c r="L15" s="67"/>
      <c r="M15" s="67"/>
      <c r="N15" s="67"/>
      <c r="O15" s="67"/>
      <c r="P15" s="67"/>
      <c r="Q15" s="67"/>
      <c r="R15" s="67"/>
    </row>
    <row r="16" spans="1:27" ht="34.5">
      <c r="A16" s="317" t="s">
        <v>129</v>
      </c>
      <c r="B16" s="64"/>
      <c r="C16" s="3" t="s">
        <v>104</v>
      </c>
      <c r="D16" s="3" t="s">
        <v>119</v>
      </c>
      <c r="E16" s="3"/>
      <c r="F16" s="54" t="s">
        <v>120</v>
      </c>
      <c r="G16" s="54"/>
      <c r="H16" s="3"/>
      <c r="I16" s="3" t="s">
        <v>109</v>
      </c>
      <c r="J16" s="3" t="s">
        <v>108</v>
      </c>
      <c r="K16" s="3" t="s">
        <v>110</v>
      </c>
      <c r="L16" s="3" t="s">
        <v>111</v>
      </c>
      <c r="M16" s="3"/>
      <c r="N16" s="3" t="s">
        <v>113</v>
      </c>
      <c r="O16" s="3" t="s">
        <v>112</v>
      </c>
      <c r="P16" s="3" t="s">
        <v>114</v>
      </c>
      <c r="Q16" s="3"/>
      <c r="R16" s="3" t="s">
        <v>115</v>
      </c>
      <c r="S16" s="6" t="s">
        <v>117</v>
      </c>
      <c r="T16" s="61" t="s">
        <v>130</v>
      </c>
    </row>
    <row r="17" spans="1:21" ht="17.25">
      <c r="A17" s="318"/>
      <c r="B17" s="42" t="s">
        <v>64</v>
      </c>
      <c r="C17" s="56">
        <f>C4-M4*$L$12-N4*$N$12</f>
        <v>19.708559999999999</v>
      </c>
      <c r="D17" s="56">
        <f>D4-(N4*$N$13)</f>
        <v>9.7445599999999999</v>
      </c>
      <c r="E17" s="56"/>
      <c r="F17" s="56">
        <f>F4*(100-L4)*0.01-(M4*$L$14)</f>
        <v>49.323414000000007</v>
      </c>
      <c r="G17" s="56"/>
      <c r="H17" s="56"/>
      <c r="I17" s="50">
        <f>100*C17/$A$13</f>
        <v>19.322117647058821</v>
      </c>
      <c r="J17" s="50">
        <f>100*D17/$B$13</f>
        <v>17.369982174688058</v>
      </c>
      <c r="K17" s="50">
        <f>100*F17/$C$13</f>
        <v>82.068908485856909</v>
      </c>
      <c r="L17" s="50">
        <f>SUM(I17:K17)</f>
        <v>118.76100830760379</v>
      </c>
      <c r="M17" s="50"/>
      <c r="N17" s="50">
        <f>I17/L17</f>
        <v>0.16269748735218262</v>
      </c>
      <c r="O17" s="50">
        <f>J17/L17</f>
        <v>0.14625997557799389</v>
      </c>
      <c r="P17" s="50">
        <f>K17/L17</f>
        <v>0.69104253706982355</v>
      </c>
      <c r="Q17" s="50"/>
      <c r="R17" s="50">
        <f>(11-12*O17+N17)/(3-2*O17+2*N17)</f>
        <v>3.1018679330247036</v>
      </c>
      <c r="S17" s="20">
        <v>3.0703398169423055</v>
      </c>
      <c r="T17" s="106">
        <f>ABS(R17-S17)</f>
        <v>3.1528116082398139E-2</v>
      </c>
    </row>
    <row r="18" spans="1:21">
      <c r="A18" s="105"/>
      <c r="T18" s="78">
        <f>AVERAGE(T17:T17)</f>
        <v>3.1528116082398139E-2</v>
      </c>
    </row>
    <row r="19" spans="1:21">
      <c r="A19" s="105"/>
      <c r="U19" s="55"/>
    </row>
    <row r="24" spans="1:21">
      <c r="U24" s="55"/>
    </row>
    <row r="25" spans="1:21" ht="34.5" customHeight="1"/>
  </sheetData>
  <mergeCells count="5">
    <mergeCell ref="A1:J1"/>
    <mergeCell ref="A2:J2"/>
    <mergeCell ref="L2:N2"/>
    <mergeCell ref="L5:N7"/>
    <mergeCell ref="A16:A17"/>
  </mergeCells>
  <phoneticPr fontId="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2A52-5247-4328-802F-5D8052A07AE8}">
  <dimension ref="A1:AA32"/>
  <sheetViews>
    <sheetView zoomScale="75" zoomScaleNormal="75" workbookViewId="0">
      <selection activeCell="N26" sqref="N26"/>
    </sheetView>
  </sheetViews>
  <sheetFormatPr defaultRowHeight="16.5"/>
  <cols>
    <col min="1" max="1" width="11.25" customWidth="1"/>
    <col min="2" max="3" width="12.375" customWidth="1"/>
    <col min="4" max="4" width="11.5" customWidth="1"/>
    <col min="6" max="6" width="11.625" customWidth="1"/>
    <col min="8" max="8" width="12.375" customWidth="1"/>
    <col min="9" max="9" width="13.25" customWidth="1"/>
    <col min="10" max="10" width="12.25" customWidth="1"/>
    <col min="11" max="11" width="11.5" customWidth="1"/>
    <col min="12" max="12" width="19.875" customWidth="1"/>
    <col min="13" max="13" width="19.125" customWidth="1"/>
    <col min="14" max="14" width="20.625" customWidth="1"/>
    <col min="15" max="15" width="19.875" customWidth="1"/>
    <col min="16" max="16" width="19.75" customWidth="1"/>
    <col min="17" max="17" width="19.125" customWidth="1"/>
    <col min="18" max="18" width="18.875" customWidth="1"/>
    <col min="19" max="19" width="14.875" customWidth="1"/>
    <col min="20" max="20" width="19" customWidth="1"/>
    <col min="21" max="21" width="14.25" customWidth="1"/>
    <col min="22" max="22" width="10.25" customWidth="1"/>
    <col min="25" max="25" width="11.875" bestFit="1" customWidth="1"/>
  </cols>
  <sheetData>
    <row r="1" spans="1:27" ht="26.25">
      <c r="A1" s="289" t="s">
        <v>101</v>
      </c>
      <c r="B1" s="289"/>
      <c r="C1" s="289"/>
      <c r="D1" s="289"/>
      <c r="E1" s="289"/>
      <c r="F1" s="289"/>
      <c r="G1" s="289"/>
      <c r="H1" s="289"/>
      <c r="I1" s="289"/>
      <c r="J1" s="289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 spans="1:27" ht="20.25">
      <c r="A2" s="284" t="s">
        <v>102</v>
      </c>
      <c r="B2" s="285"/>
      <c r="C2" s="285"/>
      <c r="D2" s="285"/>
      <c r="E2" s="285"/>
      <c r="F2" s="285"/>
      <c r="G2" s="285"/>
      <c r="H2" s="285"/>
      <c r="I2" s="285"/>
      <c r="J2" s="285"/>
      <c r="K2" s="67"/>
      <c r="L2" s="314" t="s">
        <v>122</v>
      </c>
      <c r="M2" s="315"/>
      <c r="N2" s="315"/>
      <c r="O2" s="315"/>
      <c r="P2" s="315"/>
      <c r="Q2" s="316"/>
      <c r="R2" s="102"/>
      <c r="S2" s="102"/>
      <c r="T2" s="102"/>
      <c r="U2" s="67"/>
      <c r="V2" s="67"/>
      <c r="W2" s="67"/>
      <c r="X2" s="67"/>
      <c r="Y2" s="67"/>
      <c r="Z2" s="67"/>
      <c r="AA2" s="67"/>
    </row>
    <row r="3" spans="1:27" ht="34.5">
      <c r="A3" s="2" t="s">
        <v>116</v>
      </c>
      <c r="B3" s="3" t="s">
        <v>18</v>
      </c>
      <c r="C3" s="4" t="s">
        <v>20</v>
      </c>
      <c r="D3" s="4" t="s">
        <v>22</v>
      </c>
      <c r="E3" s="4" t="s">
        <v>21</v>
      </c>
      <c r="F3" s="4" t="s">
        <v>19</v>
      </c>
      <c r="G3" s="4" t="s">
        <v>23</v>
      </c>
      <c r="H3" s="4" t="s">
        <v>33</v>
      </c>
      <c r="I3" s="5" t="s">
        <v>118</v>
      </c>
      <c r="J3" s="6" t="s">
        <v>117</v>
      </c>
      <c r="K3" s="7"/>
      <c r="L3" s="36" t="s">
        <v>103</v>
      </c>
      <c r="M3" s="7" t="s">
        <v>121</v>
      </c>
      <c r="N3" s="7" t="s">
        <v>159</v>
      </c>
      <c r="O3" s="98" t="s">
        <v>131</v>
      </c>
      <c r="P3" s="98" t="s">
        <v>152</v>
      </c>
      <c r="Q3" s="132" t="s">
        <v>160</v>
      </c>
      <c r="R3" s="7"/>
      <c r="S3" s="7"/>
      <c r="T3" s="7"/>
      <c r="U3" s="7"/>
      <c r="V3" s="7"/>
      <c r="W3" s="7"/>
      <c r="X3" s="7"/>
      <c r="Y3" s="7"/>
    </row>
    <row r="4" spans="1:27" ht="17.25">
      <c r="A4" s="322" t="s">
        <v>158</v>
      </c>
      <c r="B4" s="107" t="s">
        <v>51</v>
      </c>
      <c r="C4" s="108">
        <v>19.8</v>
      </c>
      <c r="D4" s="108">
        <v>20.7</v>
      </c>
      <c r="E4" s="108">
        <v>8.1999999999999993</v>
      </c>
      <c r="F4" s="108">
        <v>42.3</v>
      </c>
      <c r="G4" s="108">
        <v>2.2000000000000002</v>
      </c>
      <c r="H4" s="109">
        <v>1.2870000000000001</v>
      </c>
      <c r="I4" s="110">
        <v>89.7</v>
      </c>
      <c r="J4" s="111">
        <v>2.9777650399941882</v>
      </c>
      <c r="K4" s="23"/>
      <c r="L4" s="36">
        <v>1.3</v>
      </c>
      <c r="M4" s="7"/>
      <c r="N4" s="7">
        <v>1.7</v>
      </c>
      <c r="O4" s="23">
        <v>1</v>
      </c>
      <c r="P4" s="23">
        <v>2.5</v>
      </c>
      <c r="Q4" s="39">
        <v>2</v>
      </c>
      <c r="R4" s="23"/>
      <c r="S4" s="23"/>
      <c r="T4" s="23"/>
      <c r="U4" s="23"/>
      <c r="V4" s="23"/>
      <c r="W4" s="23"/>
      <c r="X4" s="23"/>
    </row>
    <row r="5" spans="1:27" ht="17.25">
      <c r="A5" s="323"/>
      <c r="B5" s="112" t="s">
        <v>52</v>
      </c>
      <c r="C5" s="113">
        <v>18.2</v>
      </c>
      <c r="D5" s="113">
        <v>26.5</v>
      </c>
      <c r="E5" s="113">
        <v>6.4</v>
      </c>
      <c r="F5" s="113">
        <v>33.6</v>
      </c>
      <c r="G5" s="113">
        <v>6.4</v>
      </c>
      <c r="H5" s="114">
        <v>2.1631999999999998</v>
      </c>
      <c r="I5" s="115">
        <v>85.9</v>
      </c>
      <c r="J5" s="116">
        <v>2.6802958783333795</v>
      </c>
      <c r="K5" s="23"/>
      <c r="L5" s="36">
        <v>3.5</v>
      </c>
      <c r="M5" s="7"/>
      <c r="N5" s="7">
        <v>0.6</v>
      </c>
      <c r="O5" s="23">
        <v>4</v>
      </c>
      <c r="P5" s="23">
        <v>0.5</v>
      </c>
      <c r="Q5" s="39">
        <v>1.5</v>
      </c>
      <c r="R5" s="23"/>
      <c r="S5" s="23"/>
      <c r="T5" s="23"/>
      <c r="U5" s="23"/>
      <c r="V5" s="23"/>
      <c r="W5" s="23"/>
      <c r="X5" s="23"/>
    </row>
    <row r="6" spans="1:27" ht="17.25">
      <c r="A6" s="323"/>
      <c r="B6" s="112" t="s">
        <v>53</v>
      </c>
      <c r="C6" s="113">
        <v>18</v>
      </c>
      <c r="D6" s="113">
        <v>27.5</v>
      </c>
      <c r="E6" s="113">
        <v>5.7</v>
      </c>
      <c r="F6" s="113">
        <v>33.700000000000003</v>
      </c>
      <c r="G6" s="113">
        <v>6.2</v>
      </c>
      <c r="H6" s="114">
        <v>2.3632</v>
      </c>
      <c r="I6" s="115">
        <v>75.099999999999994</v>
      </c>
      <c r="J6" s="116">
        <v>2.7565767093660769</v>
      </c>
      <c r="K6" s="23"/>
      <c r="L6" s="36">
        <v>5.5</v>
      </c>
      <c r="M6" s="7"/>
      <c r="N6" s="7">
        <v>1.1000000000000001</v>
      </c>
      <c r="O6" s="23">
        <v>8.6</v>
      </c>
      <c r="P6" s="23">
        <v>2.6</v>
      </c>
      <c r="Q6" s="39">
        <v>2.7</v>
      </c>
      <c r="R6" s="23"/>
      <c r="S6" s="23"/>
      <c r="T6" s="23"/>
      <c r="U6" s="23"/>
      <c r="V6" s="23"/>
      <c r="W6" s="23"/>
      <c r="X6" s="23"/>
      <c r="Y6" s="23"/>
    </row>
    <row r="7" spans="1:27" ht="17.25">
      <c r="A7" s="324"/>
      <c r="B7" s="112" t="s">
        <v>54</v>
      </c>
      <c r="C7" s="113">
        <v>23.3</v>
      </c>
      <c r="D7" s="113">
        <v>1.6</v>
      </c>
      <c r="E7" s="113">
        <v>6.5</v>
      </c>
      <c r="F7" s="113">
        <v>59.7</v>
      </c>
      <c r="G7" s="113">
        <v>1</v>
      </c>
      <c r="H7" s="114">
        <v>1.8160000000000001</v>
      </c>
      <c r="I7" s="115">
        <v>71.7</v>
      </c>
      <c r="J7" s="116">
        <v>3.3836184544496457</v>
      </c>
      <c r="K7" s="23"/>
      <c r="L7" s="36">
        <v>13.2</v>
      </c>
      <c r="M7" s="7">
        <v>13.3</v>
      </c>
      <c r="N7" s="7"/>
      <c r="O7" s="23"/>
      <c r="P7" s="23"/>
      <c r="Q7" s="39"/>
      <c r="R7" s="23"/>
      <c r="S7" s="23"/>
      <c r="T7" s="23"/>
      <c r="U7" s="23"/>
      <c r="V7" s="23"/>
      <c r="W7" s="23"/>
      <c r="X7" s="23"/>
      <c r="Y7" s="23"/>
    </row>
    <row r="8" spans="1:27" ht="17.25">
      <c r="A8" s="230"/>
      <c r="B8" s="252"/>
      <c r="C8" s="252"/>
      <c r="D8" s="252"/>
      <c r="E8" s="252"/>
      <c r="F8" s="252"/>
      <c r="G8" s="252"/>
      <c r="H8" s="253"/>
      <c r="I8" s="253"/>
      <c r="J8" s="253"/>
      <c r="K8" s="23"/>
      <c r="L8" s="303" t="s">
        <v>127</v>
      </c>
      <c r="M8" s="303"/>
      <c r="N8" s="303" t="s">
        <v>161</v>
      </c>
      <c r="O8" s="304"/>
      <c r="P8" s="303" t="s">
        <v>162</v>
      </c>
      <c r="Q8" s="320"/>
      <c r="R8" s="23"/>
      <c r="S8" s="23"/>
      <c r="T8" s="23"/>
      <c r="U8" s="23"/>
      <c r="V8" s="23"/>
      <c r="W8" s="23"/>
      <c r="X8" s="23"/>
      <c r="Y8" s="23"/>
    </row>
    <row r="9" spans="1:27" ht="17.25">
      <c r="A9" s="99"/>
      <c r="B9" s="112"/>
      <c r="C9" s="112"/>
      <c r="D9" s="112"/>
      <c r="E9" s="112"/>
      <c r="F9" s="112"/>
      <c r="G9" s="112"/>
      <c r="H9" s="149"/>
      <c r="I9" s="149"/>
      <c r="J9" s="149"/>
      <c r="L9" s="319"/>
      <c r="M9" s="319"/>
      <c r="N9" s="305"/>
      <c r="O9" s="305"/>
      <c r="P9" s="321"/>
      <c r="Q9" s="321"/>
      <c r="R9" s="100"/>
      <c r="S9" s="100"/>
      <c r="T9" s="100"/>
    </row>
    <row r="10" spans="1:27" ht="17.25" customHeight="1">
      <c r="A10" s="99"/>
      <c r="B10" s="220"/>
      <c r="C10" s="220"/>
      <c r="D10" s="220"/>
      <c r="E10" s="220"/>
      <c r="F10" s="220"/>
      <c r="G10" s="220"/>
      <c r="H10" s="220"/>
      <c r="I10" s="220"/>
      <c r="J10" s="220"/>
      <c r="L10" s="126"/>
      <c r="M10" s="126"/>
      <c r="N10" s="126"/>
      <c r="O10" s="68"/>
      <c r="P10" s="68"/>
      <c r="Q10" s="68"/>
      <c r="R10" s="100"/>
      <c r="S10" s="100"/>
      <c r="T10" s="100"/>
    </row>
    <row r="11" spans="1:27" ht="16.5" customHeight="1">
      <c r="L11" s="23"/>
      <c r="M11" s="23"/>
      <c r="N11" s="23"/>
      <c r="R11" s="68"/>
      <c r="S11" s="68"/>
      <c r="T11" s="68"/>
    </row>
    <row r="12" spans="1:27" ht="17.25">
      <c r="A12" s="7"/>
      <c r="B12" s="7"/>
      <c r="C12" s="7"/>
      <c r="D12" s="55"/>
      <c r="L12" s="23"/>
      <c r="M12" s="23"/>
      <c r="N12" s="23"/>
      <c r="R12" s="68"/>
      <c r="S12" s="68"/>
      <c r="T12" s="68"/>
    </row>
    <row r="13" spans="1:27" ht="17.25">
      <c r="A13" s="67"/>
      <c r="B13" s="67"/>
      <c r="C13" s="67"/>
      <c r="D13" s="55"/>
      <c r="O13" s="55"/>
    </row>
    <row r="14" spans="1:27">
      <c r="A14" s="55"/>
      <c r="B14" s="55"/>
      <c r="C14" s="55"/>
      <c r="D14" s="55"/>
    </row>
    <row r="15" spans="1:27">
      <c r="A15" s="55"/>
      <c r="B15" s="55"/>
      <c r="C15" s="55"/>
      <c r="D15" s="55"/>
    </row>
    <row r="17" spans="1:21" ht="17.25">
      <c r="L17" s="7"/>
      <c r="M17" s="7"/>
      <c r="N17" s="7"/>
    </row>
    <row r="18" spans="1:21" ht="17.25">
      <c r="L18" s="67"/>
      <c r="M18" s="67"/>
      <c r="N18" s="67"/>
    </row>
    <row r="19" spans="1:21" ht="17.25">
      <c r="L19" s="23"/>
      <c r="M19" s="23"/>
      <c r="N19" s="23"/>
      <c r="Q19" s="83"/>
      <c r="R19" s="83"/>
      <c r="U19" s="55"/>
    </row>
    <row r="20" spans="1:21">
      <c r="K20" s="64"/>
      <c r="L20" s="89" t="s">
        <v>138</v>
      </c>
      <c r="M20" s="90" t="s">
        <v>139</v>
      </c>
      <c r="N20" s="89" t="s">
        <v>131</v>
      </c>
      <c r="O20" s="89" t="s">
        <v>152</v>
      </c>
      <c r="P20" s="91" t="s">
        <v>160</v>
      </c>
      <c r="Q20" s="80"/>
      <c r="R20" s="80"/>
      <c r="S20" s="83"/>
      <c r="T20" s="80"/>
    </row>
    <row r="21" spans="1:21" ht="34.5">
      <c r="A21" s="44" t="s">
        <v>106</v>
      </c>
      <c r="B21" s="45" t="s">
        <v>105</v>
      </c>
      <c r="C21" s="46" t="s">
        <v>107</v>
      </c>
      <c r="K21" s="92" t="s">
        <v>125</v>
      </c>
      <c r="L21" s="93">
        <v>0.71799999999999997</v>
      </c>
      <c r="M21" s="93">
        <v>0.77200000000000002</v>
      </c>
      <c r="N21" s="93">
        <v>0.377</v>
      </c>
      <c r="O21" s="93"/>
      <c r="P21" s="94">
        <v>0.21</v>
      </c>
      <c r="Q21" s="93"/>
      <c r="R21" s="93"/>
      <c r="S21" s="88"/>
      <c r="T21" s="86"/>
    </row>
    <row r="22" spans="1:21" ht="17.25">
      <c r="A22" s="146">
        <v>102</v>
      </c>
      <c r="B22" s="147">
        <v>56.1</v>
      </c>
      <c r="C22" s="148">
        <v>60.1</v>
      </c>
      <c r="K22" s="92" t="s">
        <v>133</v>
      </c>
      <c r="L22" s="93"/>
      <c r="M22" s="93"/>
      <c r="N22" s="93">
        <v>0.623</v>
      </c>
      <c r="O22" s="93">
        <v>0.65100000000000002</v>
      </c>
      <c r="P22" s="94">
        <v>0.46200000000000002</v>
      </c>
      <c r="Q22" s="93"/>
      <c r="R22" s="93"/>
      <c r="S22" s="85"/>
      <c r="T22" s="86"/>
    </row>
    <row r="23" spans="1:21" ht="17.25">
      <c r="A23" s="35"/>
      <c r="I23" s="67"/>
      <c r="J23" s="67"/>
      <c r="K23" s="75" t="s">
        <v>126</v>
      </c>
      <c r="L23" s="95">
        <v>0.28199999999999997</v>
      </c>
      <c r="M23" s="95">
        <v>0.22800000000000001</v>
      </c>
      <c r="N23" s="95"/>
      <c r="O23" s="96">
        <v>0.34899999999999998</v>
      </c>
      <c r="P23" s="104"/>
      <c r="Q23" s="103"/>
      <c r="R23" s="93"/>
      <c r="S23" s="85"/>
      <c r="T23" s="86"/>
    </row>
    <row r="24" spans="1:21" ht="17.25">
      <c r="A24" s="35"/>
      <c r="I24" s="67"/>
      <c r="J24" s="67"/>
      <c r="K24" s="67"/>
      <c r="L24" s="67"/>
      <c r="M24" s="67"/>
      <c r="N24" s="67"/>
      <c r="O24" s="67"/>
      <c r="P24" s="67"/>
      <c r="Q24" s="67"/>
      <c r="R24" s="67"/>
      <c r="U24" s="55"/>
    </row>
    <row r="25" spans="1:21" ht="34.5" customHeight="1">
      <c r="A25" s="299" t="s">
        <v>129</v>
      </c>
      <c r="B25" s="53"/>
      <c r="C25" s="3" t="s">
        <v>104</v>
      </c>
      <c r="D25" s="3" t="s">
        <v>119</v>
      </c>
      <c r="E25" s="3"/>
      <c r="F25" s="54" t="s">
        <v>120</v>
      </c>
      <c r="G25" s="54"/>
      <c r="H25" s="3"/>
      <c r="I25" s="3" t="s">
        <v>109</v>
      </c>
      <c r="J25" s="3" t="s">
        <v>108</v>
      </c>
      <c r="K25" s="3" t="s">
        <v>110</v>
      </c>
      <c r="L25" s="3" t="s">
        <v>111</v>
      </c>
      <c r="M25" s="3"/>
      <c r="N25" s="3" t="s">
        <v>113</v>
      </c>
      <c r="O25" s="3" t="s">
        <v>112</v>
      </c>
      <c r="P25" s="3" t="s">
        <v>114</v>
      </c>
      <c r="Q25" s="3"/>
      <c r="R25" s="3" t="s">
        <v>115</v>
      </c>
      <c r="S25" s="58" t="s">
        <v>117</v>
      </c>
      <c r="T25" s="59" t="s">
        <v>130</v>
      </c>
    </row>
    <row r="26" spans="1:21" ht="17.25">
      <c r="A26" s="300"/>
      <c r="B26" s="123" t="s">
        <v>51</v>
      </c>
      <c r="C26" s="32">
        <f>C4-M4*$L$21-O4*$N$21-Q4*$P$21</f>
        <v>19.003</v>
      </c>
      <c r="D26" s="32">
        <f>D4*(100-N4)*0.01-(O4*$N$22+P4*$O$22+Q4*$P$22)</f>
        <v>17.1736</v>
      </c>
      <c r="E26" s="32"/>
      <c r="F26" s="32">
        <f>F4*(100-L4)*0.01-(M4*$L$23+P4*$O$23)</f>
        <v>40.877600000000001</v>
      </c>
      <c r="G26" s="32"/>
      <c r="H26" s="32"/>
      <c r="I26" s="23">
        <f>100*C26/$A$22</f>
        <v>18.630392156862744</v>
      </c>
      <c r="J26" s="23">
        <f>100*D26/$B$22</f>
        <v>30.612477718360072</v>
      </c>
      <c r="K26" s="23">
        <f>100*F26/$C$22</f>
        <v>68.01597337770383</v>
      </c>
      <c r="L26" s="23">
        <f>SUM(I26:K26)</f>
        <v>117.25884325292665</v>
      </c>
      <c r="M26" s="23"/>
      <c r="N26" s="23">
        <f>I26/L26</f>
        <v>0.15888261934050546</v>
      </c>
      <c r="O26" s="23">
        <f>J26/L26</f>
        <v>0.26106753971919316</v>
      </c>
      <c r="P26" s="23">
        <f>K26/L26</f>
        <v>0.58004984094030132</v>
      </c>
      <c r="Q26" s="23"/>
      <c r="R26" s="23">
        <f>(11-12*O26+N26)/(3-2*O26+2*N26)</f>
        <v>2.8709348824898075</v>
      </c>
      <c r="S26" s="122">
        <v>2.9777650399941882</v>
      </c>
      <c r="T26" s="129">
        <f>ABS(R26-S26)</f>
        <v>0.10683015750438063</v>
      </c>
    </row>
    <row r="27" spans="1:21" ht="17.25">
      <c r="A27" s="300"/>
      <c r="B27" s="112" t="s">
        <v>52</v>
      </c>
      <c r="C27" s="32">
        <f>C5-M5*$L$21-O5*$N$21-Q5*$P$21</f>
        <v>16.376999999999999</v>
      </c>
      <c r="D27" s="32">
        <f>D5*(100-N5)*0.01-(O5*$N$22+P5*$O$22+Q5*$P$22)</f>
        <v>22.830500000000004</v>
      </c>
      <c r="E27" s="32"/>
      <c r="F27" s="32">
        <f>F5*(100-L5)*0.01-(M5*$L$23+P5*$O$23)</f>
        <v>32.249499999999998</v>
      </c>
      <c r="G27" s="32"/>
      <c r="H27" s="32"/>
      <c r="I27" s="23">
        <f t="shared" ref="I27:I29" si="0">100*C27/$A$22</f>
        <v>16.055882352941175</v>
      </c>
      <c r="J27" s="23">
        <f t="shared" ref="J27:J29" si="1">100*D27/$B$22</f>
        <v>40.696078431372563</v>
      </c>
      <c r="K27" s="23">
        <f>100*F27/$C$22</f>
        <v>53.659733777038262</v>
      </c>
      <c r="L27" s="23">
        <f>SUM(I27:K27)</f>
        <v>110.41169456135199</v>
      </c>
      <c r="M27" s="32"/>
      <c r="N27" s="23">
        <f>I27/L27</f>
        <v>0.14541831294890117</v>
      </c>
      <c r="O27" s="23">
        <f>J27/L27</f>
        <v>0.368584855010618</v>
      </c>
      <c r="P27" s="23">
        <f>K27/L27</f>
        <v>0.48599683204048089</v>
      </c>
      <c r="Q27" s="23"/>
      <c r="R27" s="23">
        <f>(11-12*O27+N27)/(3-2*O27+2*N27)</f>
        <v>2.6324498355784853</v>
      </c>
      <c r="S27" s="122">
        <v>2.6802958783333795</v>
      </c>
      <c r="T27" s="129">
        <f t="shared" ref="T27:T29" si="2">ABS(R27-S27)</f>
        <v>4.7846042754894125E-2</v>
      </c>
    </row>
    <row r="28" spans="1:21" ht="17.25">
      <c r="A28" s="300"/>
      <c r="B28" s="128" t="s">
        <v>53</v>
      </c>
      <c r="C28" s="32">
        <f>C6-M6*$L$21-O6*$N$21-Q6*$P$21</f>
        <v>14.190799999999999</v>
      </c>
      <c r="D28" s="32">
        <f>D6*(100-N6)*0.01-(O6*$N$22+P6*$O$22+Q6*$P$22)</f>
        <v>18.899700000000003</v>
      </c>
      <c r="E28" s="32"/>
      <c r="F28" s="32">
        <f>F6*(100-L6)*0.01-(M6*$L$23+P6*$O$23)</f>
        <v>30.939100000000003</v>
      </c>
      <c r="G28" s="32"/>
      <c r="H28" s="32"/>
      <c r="I28" s="23">
        <f t="shared" si="0"/>
        <v>13.912549019607843</v>
      </c>
      <c r="J28" s="23">
        <f t="shared" si="1"/>
        <v>33.68930481283423</v>
      </c>
      <c r="K28" s="23">
        <f>100*F28/$C$22</f>
        <v>51.479367720465895</v>
      </c>
      <c r="L28" s="23">
        <f>SUM(I28:K28)</f>
        <v>99.081221552907977</v>
      </c>
      <c r="M28" s="32"/>
      <c r="N28" s="23">
        <f>I28/L28</f>
        <v>0.14041559845100152</v>
      </c>
      <c r="O28" s="23">
        <f>J28/L28</f>
        <v>0.34001705151409156</v>
      </c>
      <c r="P28" s="23">
        <f>K28/L28</f>
        <v>0.51956735003490684</v>
      </c>
      <c r="Q28" s="23"/>
      <c r="R28" s="23">
        <f>(11-12*O28+N28)/(3-2*O28+2*N28)</f>
        <v>2.7146335240500834</v>
      </c>
      <c r="S28" s="122">
        <v>2.7565767093660769</v>
      </c>
      <c r="T28" s="129">
        <f t="shared" si="2"/>
        <v>4.1943185315993503E-2</v>
      </c>
    </row>
    <row r="29" spans="1:21" ht="17.25">
      <c r="A29" s="300"/>
      <c r="B29" s="125" t="s">
        <v>54</v>
      </c>
      <c r="C29" s="33">
        <f>C7-M7*$L$21-O7*$N$21-Q7*$P$21</f>
        <v>13.7506</v>
      </c>
      <c r="D29" s="33">
        <f>D7*I7*0.01</f>
        <v>1.1472000000000002</v>
      </c>
      <c r="E29" s="33"/>
      <c r="F29" s="33">
        <f>F7*(100-L7)*0.01-(M7*$L$23+P7*$O$23)</f>
        <v>48.069000000000003</v>
      </c>
      <c r="G29" s="33"/>
      <c r="H29" s="33"/>
      <c r="I29" s="50">
        <f t="shared" si="0"/>
        <v>13.480980392156862</v>
      </c>
      <c r="J29" s="50">
        <f t="shared" si="1"/>
        <v>2.0449197860962571</v>
      </c>
      <c r="K29" s="50">
        <f>100*F29/$C$22</f>
        <v>79.981697171381043</v>
      </c>
      <c r="L29" s="50">
        <f>SUM(I29:K29)</f>
        <v>95.507597349634167</v>
      </c>
      <c r="M29" s="33"/>
      <c r="N29" s="50">
        <f>I29/L29</f>
        <v>0.14115086931572254</v>
      </c>
      <c r="O29" s="50">
        <f>J29/L29</f>
        <v>2.1411069305934016E-2</v>
      </c>
      <c r="P29" s="50">
        <f>K29/L29</f>
        <v>0.83743806137834342</v>
      </c>
      <c r="Q29" s="50"/>
      <c r="R29" s="50">
        <f>(11-12*O29+N29)/(3-2*O29+2*N29)</f>
        <v>3.3598662073929213</v>
      </c>
      <c r="S29" s="124">
        <v>3.3836184544496457</v>
      </c>
      <c r="T29" s="144">
        <f t="shared" si="2"/>
        <v>2.3752247056724407E-2</v>
      </c>
    </row>
    <row r="30" spans="1:21">
      <c r="A30" s="254"/>
    </row>
    <row r="31" spans="1:21">
      <c r="A31" s="105"/>
    </row>
    <row r="32" spans="1:21" ht="17.25">
      <c r="F32" s="131"/>
    </row>
  </sheetData>
  <mergeCells count="8">
    <mergeCell ref="A25:A29"/>
    <mergeCell ref="A1:J1"/>
    <mergeCell ref="A2:J2"/>
    <mergeCell ref="L2:Q2"/>
    <mergeCell ref="L8:M9"/>
    <mergeCell ref="N8:O9"/>
    <mergeCell ref="P8:Q9"/>
    <mergeCell ref="A4:A7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Supporting information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domst_1</vt:lpstr>
      <vt:lpstr>domst_2</vt:lpstr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Yunney</dc:creator>
  <cp:lastModifiedBy>박우영</cp:lastModifiedBy>
  <dcterms:created xsi:type="dcterms:W3CDTF">2020-03-04T22:56:10Z</dcterms:created>
  <dcterms:modified xsi:type="dcterms:W3CDTF">2022-01-26T05:58:46Z</dcterms:modified>
</cp:coreProperties>
</file>