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paul/Documents/"/>
    </mc:Choice>
  </mc:AlternateContent>
  <bookViews>
    <workbookView xWindow="260" yWindow="1140" windowWidth="28480" windowHeight="18660" tabRatio="500" activeTab="4"/>
  </bookViews>
  <sheets>
    <sheet name="Raw Data" sheetId="1" r:id="rId1"/>
    <sheet name="Returns" sheetId="2" r:id="rId2"/>
    <sheet name="MarketModel" sheetId="3" r:id="rId3"/>
    <sheet name="Efficient Portfolio" sheetId="4" r:id="rId4"/>
    <sheet name="CAPM" sheetId="5" r:id="rId5"/>
  </sheets>
  <definedNames>
    <definedName name="k">MarketModel!$H$7</definedName>
    <definedName name="N">MarketModel!$H$6</definedName>
    <definedName name="Rf">CAPM!$F$4</definedName>
    <definedName name="Rm">CAPM!$F$5</definedName>
    <definedName name="row">'Efficient Portfolio'!$B$11</definedName>
    <definedName name="RR">MarketModel!$H$3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9" i="1" l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I3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43" i="2"/>
  <c r="B5" i="4"/>
  <c r="F3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43" i="2"/>
  <c r="C5" i="4"/>
  <c r="C6" i="4"/>
  <c r="H3" i="4"/>
  <c r="E4" i="4"/>
  <c r="F4" i="4"/>
  <c r="H4" i="4"/>
  <c r="E5" i="4"/>
  <c r="F5" i="4"/>
  <c r="H5" i="4"/>
  <c r="E6" i="4"/>
  <c r="F6" i="4"/>
  <c r="H6" i="4"/>
  <c r="E7" i="4"/>
  <c r="F7" i="4"/>
  <c r="H7" i="4"/>
  <c r="E8" i="4"/>
  <c r="F8" i="4"/>
  <c r="H8" i="4"/>
  <c r="E9" i="4"/>
  <c r="F9" i="4"/>
  <c r="H9" i="4"/>
  <c r="E10" i="4"/>
  <c r="F10" i="4"/>
  <c r="H10" i="4"/>
  <c r="E11" i="4"/>
  <c r="F11" i="4"/>
  <c r="H11" i="4"/>
  <c r="E12" i="4"/>
  <c r="F12" i="4"/>
  <c r="H12" i="4"/>
  <c r="E13" i="4"/>
  <c r="F13" i="4"/>
  <c r="H13" i="4"/>
  <c r="E14" i="4"/>
  <c r="F14" i="4"/>
  <c r="H14" i="4"/>
  <c r="E15" i="4"/>
  <c r="F15" i="4"/>
  <c r="H15" i="4"/>
  <c r="E16" i="4"/>
  <c r="F16" i="4"/>
  <c r="H16" i="4"/>
  <c r="E17" i="4"/>
  <c r="F17" i="4"/>
  <c r="H17" i="4"/>
  <c r="E18" i="4"/>
  <c r="F18" i="4"/>
  <c r="H18" i="4"/>
  <c r="E19" i="4"/>
  <c r="F19" i="4"/>
  <c r="H19" i="4"/>
  <c r="E20" i="4"/>
  <c r="F20" i="4"/>
  <c r="H20" i="4"/>
  <c r="E21" i="4"/>
  <c r="F21" i="4"/>
  <c r="H21" i="4"/>
  <c r="E22" i="4"/>
  <c r="F22" i="4"/>
  <c r="H22" i="4"/>
  <c r="E23" i="4"/>
  <c r="F23" i="4"/>
  <c r="H23" i="4"/>
  <c r="E24" i="4"/>
  <c r="F24" i="4"/>
  <c r="H24" i="4"/>
  <c r="E25" i="4"/>
  <c r="F25" i="4"/>
  <c r="H25" i="4"/>
  <c r="E26" i="4"/>
  <c r="F26" i="4"/>
  <c r="H26" i="4"/>
  <c r="E27" i="4"/>
  <c r="F27" i="4"/>
  <c r="H27" i="4"/>
  <c r="E28" i="4"/>
  <c r="F28" i="4"/>
  <c r="H28" i="4"/>
  <c r="E29" i="4"/>
  <c r="F29" i="4"/>
  <c r="H29" i="4"/>
  <c r="E30" i="4"/>
  <c r="F30" i="4"/>
  <c r="H30" i="4"/>
  <c r="E31" i="4"/>
  <c r="F31" i="4"/>
  <c r="H31" i="4"/>
  <c r="E32" i="4"/>
  <c r="F32" i="4"/>
  <c r="H32" i="4"/>
  <c r="E33" i="4"/>
  <c r="F33" i="4"/>
  <c r="H33" i="4"/>
  <c r="E34" i="4"/>
  <c r="F34" i="4"/>
  <c r="H34" i="4"/>
  <c r="E35" i="4"/>
  <c r="F35" i="4"/>
  <c r="H35" i="4"/>
  <c r="E36" i="4"/>
  <c r="F36" i="4"/>
  <c r="H36" i="4"/>
  <c r="E37" i="4"/>
  <c r="F37" i="4"/>
  <c r="H37" i="4"/>
  <c r="E38" i="4"/>
  <c r="F38" i="4"/>
  <c r="H38" i="4"/>
  <c r="E39" i="4"/>
  <c r="F39" i="4"/>
  <c r="H39" i="4"/>
  <c r="E40" i="4"/>
  <c r="F40" i="4"/>
  <c r="H40" i="4"/>
  <c r="E41" i="4"/>
  <c r="F41" i="4"/>
  <c r="H41" i="4"/>
  <c r="E42" i="4"/>
  <c r="F42" i="4"/>
  <c r="H42" i="4"/>
  <c r="E43" i="4"/>
  <c r="F43" i="4"/>
  <c r="H43" i="4"/>
  <c r="E44" i="4"/>
  <c r="F44" i="4"/>
  <c r="H44" i="4"/>
  <c r="E45" i="4"/>
  <c r="F45" i="4"/>
  <c r="H45" i="4"/>
  <c r="E46" i="4"/>
  <c r="F46" i="4"/>
  <c r="H46" i="4"/>
  <c r="E47" i="4"/>
  <c r="F47" i="4"/>
  <c r="H47" i="4"/>
  <c r="E48" i="4"/>
  <c r="F48" i="4"/>
  <c r="H48" i="4"/>
  <c r="E49" i="4"/>
  <c r="F49" i="4"/>
  <c r="H49" i="4"/>
  <c r="E50" i="4"/>
  <c r="F50" i="4"/>
  <c r="H50" i="4"/>
  <c r="E51" i="4"/>
  <c r="F51" i="4"/>
  <c r="H51" i="4"/>
  <c r="E52" i="4"/>
  <c r="F52" i="4"/>
  <c r="H52" i="4"/>
  <c r="E53" i="4"/>
  <c r="F53" i="4"/>
  <c r="H53" i="4"/>
  <c r="E54" i="4"/>
  <c r="F54" i="4"/>
  <c r="H54" i="4"/>
  <c r="E55" i="4"/>
  <c r="F55" i="4"/>
  <c r="H55" i="4"/>
  <c r="E56" i="4"/>
  <c r="F56" i="4"/>
  <c r="H56" i="4"/>
  <c r="E57" i="4"/>
  <c r="F57" i="4"/>
  <c r="H57" i="4"/>
  <c r="E58" i="4"/>
  <c r="F58" i="4"/>
  <c r="H58" i="4"/>
  <c r="E59" i="4"/>
  <c r="F59" i="4"/>
  <c r="H59" i="4"/>
  <c r="E60" i="4"/>
  <c r="F60" i="4"/>
  <c r="H60" i="4"/>
  <c r="E61" i="4"/>
  <c r="F61" i="4"/>
  <c r="H61" i="4"/>
  <c r="E62" i="4"/>
  <c r="F62" i="4"/>
  <c r="H62" i="4"/>
  <c r="E63" i="4"/>
  <c r="F63" i="4"/>
  <c r="H63" i="4"/>
  <c r="E64" i="4"/>
  <c r="F64" i="4"/>
  <c r="H64" i="4"/>
  <c r="E65" i="4"/>
  <c r="F65" i="4"/>
  <c r="H65" i="4"/>
  <c r="E66" i="4"/>
  <c r="F66" i="4"/>
  <c r="H66" i="4"/>
  <c r="E67" i="4"/>
  <c r="F67" i="4"/>
  <c r="H67" i="4"/>
  <c r="E68" i="4"/>
  <c r="F68" i="4"/>
  <c r="H68" i="4"/>
  <c r="E69" i="4"/>
  <c r="F69" i="4"/>
  <c r="H69" i="4"/>
  <c r="E70" i="4"/>
  <c r="F70" i="4"/>
  <c r="H70" i="4"/>
  <c r="E71" i="4"/>
  <c r="F71" i="4"/>
  <c r="H71" i="4"/>
  <c r="E72" i="4"/>
  <c r="F72" i="4"/>
  <c r="H72" i="4"/>
  <c r="E73" i="4"/>
  <c r="F73" i="4"/>
  <c r="H73" i="4"/>
  <c r="E74" i="4"/>
  <c r="F74" i="4"/>
  <c r="H74" i="4"/>
  <c r="E75" i="4"/>
  <c r="F75" i="4"/>
  <c r="H75" i="4"/>
  <c r="E76" i="4"/>
  <c r="F76" i="4"/>
  <c r="H76" i="4"/>
  <c r="E77" i="4"/>
  <c r="F77" i="4"/>
  <c r="H77" i="4"/>
  <c r="E78" i="4"/>
  <c r="F78" i="4"/>
  <c r="H78" i="4"/>
  <c r="E79" i="4"/>
  <c r="F79" i="4"/>
  <c r="H79" i="4"/>
  <c r="E80" i="4"/>
  <c r="F80" i="4"/>
  <c r="H80" i="4"/>
  <c r="E81" i="4"/>
  <c r="F81" i="4"/>
  <c r="H81" i="4"/>
  <c r="E82" i="4"/>
  <c r="F82" i="4"/>
  <c r="H82" i="4"/>
  <c r="E83" i="4"/>
  <c r="F83" i="4"/>
  <c r="H83" i="4"/>
  <c r="E84" i="4"/>
  <c r="F84" i="4"/>
  <c r="H84" i="4"/>
  <c r="E85" i="4"/>
  <c r="F85" i="4"/>
  <c r="H85" i="4"/>
  <c r="E86" i="4"/>
  <c r="F86" i="4"/>
  <c r="H86" i="4"/>
  <c r="E87" i="4"/>
  <c r="F87" i="4"/>
  <c r="H87" i="4"/>
  <c r="E88" i="4"/>
  <c r="F88" i="4"/>
  <c r="H88" i="4"/>
  <c r="E89" i="4"/>
  <c r="F89" i="4"/>
  <c r="H89" i="4"/>
  <c r="E90" i="4"/>
  <c r="F90" i="4"/>
  <c r="H90" i="4"/>
  <c r="E91" i="4"/>
  <c r="F91" i="4"/>
  <c r="H91" i="4"/>
  <c r="E92" i="4"/>
  <c r="F92" i="4"/>
  <c r="H92" i="4"/>
  <c r="E93" i="4"/>
  <c r="F93" i="4"/>
  <c r="H93" i="4"/>
  <c r="E94" i="4"/>
  <c r="F94" i="4"/>
  <c r="H94" i="4"/>
  <c r="E95" i="4"/>
  <c r="F95" i="4"/>
  <c r="H95" i="4"/>
  <c r="E96" i="4"/>
  <c r="F96" i="4"/>
  <c r="H96" i="4"/>
  <c r="E97" i="4"/>
  <c r="F97" i="4"/>
  <c r="H97" i="4"/>
  <c r="E98" i="4"/>
  <c r="F98" i="4"/>
  <c r="H98" i="4"/>
  <c r="E99" i="4"/>
  <c r="F99" i="4"/>
  <c r="H99" i="4"/>
  <c r="E100" i="4"/>
  <c r="F100" i="4"/>
  <c r="H100" i="4"/>
  <c r="E101" i="4"/>
  <c r="F101" i="4"/>
  <c r="H101" i="4"/>
  <c r="E102" i="4"/>
  <c r="F102" i="4"/>
  <c r="H102" i="4"/>
  <c r="E103" i="4"/>
  <c r="F103" i="4"/>
  <c r="H103" i="4"/>
  <c r="B10" i="4"/>
  <c r="B13" i="4"/>
  <c r="B12" i="4"/>
  <c r="H45" i="2"/>
  <c r="H4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42" i="2"/>
  <c r="E42" i="2"/>
  <c r="B4" i="4"/>
  <c r="F42" i="2"/>
  <c r="C4" i="4"/>
  <c r="G103" i="4"/>
  <c r="I103" i="4"/>
  <c r="G102" i="4"/>
  <c r="I102" i="4"/>
  <c r="G101" i="4"/>
  <c r="I101" i="4"/>
  <c r="G100" i="4"/>
  <c r="I100" i="4"/>
  <c r="G99" i="4"/>
  <c r="I99" i="4"/>
  <c r="G98" i="4"/>
  <c r="I98" i="4"/>
  <c r="G97" i="4"/>
  <c r="I97" i="4"/>
  <c r="G96" i="4"/>
  <c r="I96" i="4"/>
  <c r="G95" i="4"/>
  <c r="I95" i="4"/>
  <c r="G94" i="4"/>
  <c r="I94" i="4"/>
  <c r="G93" i="4"/>
  <c r="I93" i="4"/>
  <c r="G92" i="4"/>
  <c r="I92" i="4"/>
  <c r="G91" i="4"/>
  <c r="I91" i="4"/>
  <c r="G90" i="4"/>
  <c r="I90" i="4"/>
  <c r="G89" i="4"/>
  <c r="I89" i="4"/>
  <c r="G88" i="4"/>
  <c r="I88" i="4"/>
  <c r="G87" i="4"/>
  <c r="I87" i="4"/>
  <c r="G86" i="4"/>
  <c r="I86" i="4"/>
  <c r="G85" i="4"/>
  <c r="I85" i="4"/>
  <c r="G84" i="4"/>
  <c r="I84" i="4"/>
  <c r="G83" i="4"/>
  <c r="I83" i="4"/>
  <c r="G82" i="4"/>
  <c r="I82" i="4"/>
  <c r="G81" i="4"/>
  <c r="I81" i="4"/>
  <c r="G80" i="4"/>
  <c r="I80" i="4"/>
  <c r="G79" i="4"/>
  <c r="I79" i="4"/>
  <c r="G78" i="4"/>
  <c r="I78" i="4"/>
  <c r="G77" i="4"/>
  <c r="I77" i="4"/>
  <c r="G76" i="4"/>
  <c r="I76" i="4"/>
  <c r="G75" i="4"/>
  <c r="I75" i="4"/>
  <c r="G74" i="4"/>
  <c r="I74" i="4"/>
  <c r="G73" i="4"/>
  <c r="I73" i="4"/>
  <c r="G72" i="4"/>
  <c r="I72" i="4"/>
  <c r="G71" i="4"/>
  <c r="I71" i="4"/>
  <c r="G70" i="4"/>
  <c r="I70" i="4"/>
  <c r="G69" i="4"/>
  <c r="I69" i="4"/>
  <c r="G68" i="4"/>
  <c r="I68" i="4"/>
  <c r="G67" i="4"/>
  <c r="I67" i="4"/>
  <c r="G66" i="4"/>
  <c r="I66" i="4"/>
  <c r="G65" i="4"/>
  <c r="I65" i="4"/>
  <c r="G64" i="4"/>
  <c r="I64" i="4"/>
  <c r="G63" i="4"/>
  <c r="I63" i="4"/>
  <c r="G62" i="4"/>
  <c r="I62" i="4"/>
  <c r="G61" i="4"/>
  <c r="I61" i="4"/>
  <c r="G60" i="4"/>
  <c r="I60" i="4"/>
  <c r="G59" i="4"/>
  <c r="I59" i="4"/>
  <c r="G58" i="4"/>
  <c r="I58" i="4"/>
  <c r="G57" i="4"/>
  <c r="I57" i="4"/>
  <c r="G56" i="4"/>
  <c r="I56" i="4"/>
  <c r="G55" i="4"/>
  <c r="I55" i="4"/>
  <c r="G54" i="4"/>
  <c r="I54" i="4"/>
  <c r="G53" i="4"/>
  <c r="I53" i="4"/>
  <c r="G52" i="4"/>
  <c r="I52" i="4"/>
  <c r="G51" i="4"/>
  <c r="I51" i="4"/>
  <c r="G50" i="4"/>
  <c r="I50" i="4"/>
  <c r="G49" i="4"/>
  <c r="I49" i="4"/>
  <c r="G48" i="4"/>
  <c r="I48" i="4"/>
  <c r="G47" i="4"/>
  <c r="I47" i="4"/>
  <c r="G46" i="4"/>
  <c r="I46" i="4"/>
  <c r="G45" i="4"/>
  <c r="I45" i="4"/>
  <c r="G44" i="4"/>
  <c r="I44" i="4"/>
  <c r="G43" i="4"/>
  <c r="I43" i="4"/>
  <c r="G42" i="4"/>
  <c r="I42" i="4"/>
  <c r="G41" i="4"/>
  <c r="I41" i="4"/>
  <c r="G40" i="4"/>
  <c r="I40" i="4"/>
  <c r="G39" i="4"/>
  <c r="I39" i="4"/>
  <c r="G38" i="4"/>
  <c r="I38" i="4"/>
  <c r="G37" i="4"/>
  <c r="I37" i="4"/>
  <c r="G36" i="4"/>
  <c r="I36" i="4"/>
  <c r="G35" i="4"/>
  <c r="I35" i="4"/>
  <c r="G34" i="4"/>
  <c r="I34" i="4"/>
  <c r="G33" i="4"/>
  <c r="I33" i="4"/>
  <c r="G32" i="4"/>
  <c r="I32" i="4"/>
  <c r="G31" i="4"/>
  <c r="I31" i="4"/>
  <c r="G30" i="4"/>
  <c r="I30" i="4"/>
  <c r="G29" i="4"/>
  <c r="I29" i="4"/>
  <c r="G28" i="4"/>
  <c r="I28" i="4"/>
  <c r="G27" i="4"/>
  <c r="I27" i="4"/>
  <c r="G26" i="4"/>
  <c r="I26" i="4"/>
  <c r="G25" i="4"/>
  <c r="I25" i="4"/>
  <c r="G24" i="4"/>
  <c r="I24" i="4"/>
  <c r="G23" i="4"/>
  <c r="I23" i="4"/>
  <c r="G22" i="4"/>
  <c r="I22" i="4"/>
  <c r="G21" i="4"/>
  <c r="I21" i="4"/>
  <c r="G20" i="4"/>
  <c r="I20" i="4"/>
  <c r="G19" i="4"/>
  <c r="I19" i="4"/>
  <c r="G18" i="4"/>
  <c r="I18" i="4"/>
  <c r="G17" i="4"/>
  <c r="I17" i="4"/>
  <c r="G16" i="4"/>
  <c r="I16" i="4"/>
  <c r="G15" i="4"/>
  <c r="I15" i="4"/>
  <c r="G14" i="4"/>
  <c r="I14" i="4"/>
  <c r="G13" i="4"/>
  <c r="I13" i="4"/>
  <c r="G12" i="4"/>
  <c r="I12" i="4"/>
  <c r="G11" i="4"/>
  <c r="I11" i="4"/>
  <c r="G10" i="4"/>
  <c r="I10" i="4"/>
  <c r="G9" i="4"/>
  <c r="I9" i="4"/>
  <c r="G8" i="4"/>
  <c r="I8" i="4"/>
  <c r="G7" i="4"/>
  <c r="I7" i="4"/>
  <c r="G6" i="4"/>
  <c r="I6" i="4"/>
  <c r="G5" i="4"/>
  <c r="I5" i="4"/>
  <c r="G4" i="4"/>
  <c r="I4" i="4"/>
  <c r="G3" i="4"/>
  <c r="I3" i="4"/>
  <c r="H4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42" i="2"/>
  <c r="F4" i="5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42" i="2"/>
  <c r="F5" i="5"/>
  <c r="E4" i="5"/>
  <c r="E5" i="5"/>
  <c r="F9" i="5"/>
  <c r="B4" i="5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42" i="2"/>
  <c r="F8" i="5"/>
  <c r="F7" i="5"/>
  <c r="F6" i="5"/>
  <c r="B5" i="5"/>
  <c r="G5" i="5"/>
  <c r="G4" i="5"/>
  <c r="A9" i="5"/>
  <c r="A8" i="5"/>
  <c r="A7" i="5"/>
  <c r="A6" i="5"/>
  <c r="A5" i="5"/>
  <c r="A4" i="5"/>
  <c r="B9" i="5"/>
  <c r="B8" i="5"/>
  <c r="B7" i="5"/>
  <c r="B6" i="5"/>
  <c r="H41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G16" i="3"/>
  <c r="G17" i="3"/>
  <c r="G15" i="3"/>
  <c r="F41" i="2"/>
  <c r="C3" i="4"/>
  <c r="E41" i="2"/>
  <c r="B3" i="4"/>
  <c r="G43" i="2"/>
  <c r="G41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H6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B43" i="2"/>
  <c r="B41" i="2"/>
  <c r="C43" i="2"/>
  <c r="C41" i="2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H5" i="3"/>
  <c r="H2" i="3"/>
  <c r="H3" i="3"/>
  <c r="H4" i="3"/>
  <c r="H11" i="3"/>
  <c r="H10" i="3"/>
  <c r="H15" i="3"/>
  <c r="H16" i="3"/>
  <c r="H17" i="3"/>
  <c r="D6" i="5"/>
  <c r="E6" i="5"/>
  <c r="G6" i="5"/>
  <c r="D7" i="5"/>
  <c r="E7" i="5"/>
  <c r="G7" i="5"/>
  <c r="D8" i="5"/>
  <c r="E8" i="5"/>
  <c r="G8" i="5"/>
  <c r="D9" i="5"/>
  <c r="E9" i="5"/>
  <c r="G9" i="5"/>
</calcChain>
</file>

<file path=xl/sharedStrings.xml><?xml version="1.0" encoding="utf-8"?>
<sst xmlns="http://schemas.openxmlformats.org/spreadsheetml/2006/main" count="94" uniqueCount="66">
  <si>
    <t>Close</t>
  </si>
  <si>
    <t>Date</t>
  </si>
  <si>
    <t>Open</t>
  </si>
  <si>
    <t>High</t>
  </si>
  <si>
    <t>Low</t>
  </si>
  <si>
    <t>Volume</t>
  </si>
  <si>
    <t>Div</t>
  </si>
  <si>
    <t>Returns</t>
  </si>
  <si>
    <t>Month</t>
  </si>
  <si>
    <t>n =</t>
  </si>
  <si>
    <t>μ =</t>
  </si>
  <si>
    <t>σ=</t>
  </si>
  <si>
    <t>Split</t>
  </si>
  <si>
    <t>Rate</t>
  </si>
  <si>
    <t>Simpson MFG</t>
  </si>
  <si>
    <t>RiskFree</t>
  </si>
  <si>
    <t>S&amp;P 500</t>
  </si>
  <si>
    <t>Simp MFG</t>
  </si>
  <si>
    <t>Regression Coefficients</t>
  </si>
  <si>
    <t>Beta</t>
  </si>
  <si>
    <t>Alpha</t>
  </si>
  <si>
    <t>β</t>
  </si>
  <si>
    <t>α</t>
  </si>
  <si>
    <t>T-Bill</t>
  </si>
  <si>
    <t>Simpson Manufacturing Co</t>
  </si>
  <si>
    <t>3 month T-Bill</t>
  </si>
  <si>
    <t>Regression Statistics</t>
  </si>
  <si>
    <t>Multiple R</t>
  </si>
  <si>
    <t>R Square</t>
  </si>
  <si>
    <t>Adjusted R Square</t>
  </si>
  <si>
    <t>Standard Error</t>
  </si>
  <si>
    <t>Observations</t>
  </si>
  <si>
    <t>Independent Variables</t>
  </si>
  <si>
    <t>Se</t>
  </si>
  <si>
    <t>N</t>
  </si>
  <si>
    <t>k</t>
  </si>
  <si>
    <t>RR</t>
  </si>
  <si>
    <t>Simpson Manufacturing</t>
  </si>
  <si>
    <t xml:space="preserve">Close </t>
  </si>
  <si>
    <t xml:space="preserve">Div </t>
  </si>
  <si>
    <t>Tyson</t>
  </si>
  <si>
    <t>50/50 Portfolio</t>
  </si>
  <si>
    <t>Inputs</t>
  </si>
  <si>
    <t>SSD</t>
  </si>
  <si>
    <t>TSN</t>
  </si>
  <si>
    <t>σ</t>
  </si>
  <si>
    <t>σ =</t>
  </si>
  <si>
    <t>Portfolios</t>
  </si>
  <si>
    <t>E[R]</t>
  </si>
  <si>
    <t>EPF</t>
  </si>
  <si>
    <t>ρ =</t>
  </si>
  <si>
    <t>MVP</t>
  </si>
  <si>
    <t>row =</t>
  </si>
  <si>
    <t>Characteristic Line</t>
  </si>
  <si>
    <t>Min</t>
  </si>
  <si>
    <t>Mean</t>
  </si>
  <si>
    <t>Max</t>
  </si>
  <si>
    <t>Rm</t>
  </si>
  <si>
    <t>Capital  Asset  Pricing  Model</t>
  </si>
  <si>
    <t>Observed Monthly Returns</t>
  </si>
  <si>
    <t>Observed</t>
  </si>
  <si>
    <t>Abnormal Returns</t>
  </si>
  <si>
    <t>SML Calculations</t>
  </si>
  <si>
    <t xml:space="preserve">Asset </t>
  </si>
  <si>
    <t>Predicted</t>
  </si>
  <si>
    <t>Tyson Foods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</si>
</sst>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mm\-yy;@"/>
    <numFmt numFmtId="165" formatCode="[$-409]mmmm\-yy;@"/>
    <numFmt numFmtId="166" formatCode="0.000%"/>
    <numFmt numFmtId="167" formatCode="0.000000%"/>
    <numFmt numFmtId="168" formatCode="0.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indexed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12"/>
      <color indexed="12"/>
      <name val="Calibri"/>
      <family val="2"/>
      <scheme val="minor"/>
    </font>
    <font>
      <sz val="12"/>
      <color indexed="17"/>
      <name val="Calibri"/>
      <family val="2"/>
      <scheme val="minor"/>
    </font>
    <font>
      <sz val="12"/>
      <color indexed="17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16"/>
      </top>
      <bottom style="medium">
        <color indexed="16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16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16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2" xfId="0" applyFont="1" applyFill="1" applyBorder="1"/>
    <xf numFmtId="165" fontId="0" fillId="0" borderId="0" xfId="0" applyNumberFormat="1"/>
    <xf numFmtId="0" fontId="4" fillId="0" borderId="0" xfId="0" applyFont="1"/>
    <xf numFmtId="0" fontId="5" fillId="2" borderId="3" xfId="0" applyFont="1" applyFill="1" applyBorder="1"/>
    <xf numFmtId="0" fontId="3" fillId="0" borderId="0" xfId="0" applyFont="1" applyFill="1" applyBorder="1"/>
    <xf numFmtId="0" fontId="6" fillId="0" borderId="0" xfId="0" applyFont="1" applyFill="1"/>
    <xf numFmtId="165" fontId="6" fillId="0" borderId="0" xfId="0" applyNumberFormat="1" applyFont="1" applyFill="1"/>
    <xf numFmtId="164" fontId="6" fillId="0" borderId="0" xfId="0" applyNumberFormat="1" applyFont="1" applyFill="1" applyBorder="1"/>
    <xf numFmtId="0" fontId="6" fillId="0" borderId="0" xfId="0" applyFont="1" applyFill="1" applyBorder="1"/>
    <xf numFmtId="164" fontId="6" fillId="0" borderId="1" xfId="0" applyNumberFormat="1" applyFont="1" applyFill="1" applyBorder="1"/>
    <xf numFmtId="0" fontId="6" fillId="0" borderId="1" xfId="0" applyFont="1" applyFill="1" applyBorder="1"/>
    <xf numFmtId="14" fontId="6" fillId="0" borderId="0" xfId="0" applyNumberFormat="1" applyFont="1" applyFill="1"/>
    <xf numFmtId="10" fontId="0" fillId="0" borderId="0" xfId="0" applyNumberFormat="1"/>
    <xf numFmtId="166" fontId="0" fillId="0" borderId="0" xfId="0" applyNumberFormat="1"/>
    <xf numFmtId="0" fontId="3" fillId="0" borderId="4" xfId="0" applyFont="1" applyFill="1" applyBorder="1"/>
    <xf numFmtId="0" fontId="5" fillId="2" borderId="5" xfId="0" applyFont="1" applyFill="1" applyBorder="1"/>
    <xf numFmtId="10" fontId="7" fillId="0" borderId="0" xfId="0" applyNumberFormat="1" applyFont="1" applyFill="1"/>
    <xf numFmtId="166" fontId="7" fillId="0" borderId="0" xfId="0" applyNumberFormat="1" applyFont="1" applyFill="1"/>
    <xf numFmtId="0" fontId="5" fillId="2" borderId="0" xfId="0" applyFont="1" applyFill="1" applyBorder="1"/>
    <xf numFmtId="0" fontId="0" fillId="0" borderId="0" xfId="0" applyFont="1" applyFill="1" applyBorder="1" applyAlignment="1"/>
    <xf numFmtId="0" fontId="5" fillId="2" borderId="5" xfId="0" applyFont="1" applyFill="1" applyBorder="1" applyAlignment="1"/>
    <xf numFmtId="0" fontId="7" fillId="0" borderId="0" xfId="0" applyFont="1" applyFill="1"/>
    <xf numFmtId="0" fontId="5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right"/>
    </xf>
    <xf numFmtId="167" fontId="0" fillId="0" borderId="0" xfId="0" applyNumberFormat="1"/>
    <xf numFmtId="10" fontId="6" fillId="0" borderId="0" xfId="0" applyNumberFormat="1" applyFont="1" applyFill="1"/>
    <xf numFmtId="10" fontId="8" fillId="0" borderId="0" xfId="0" applyNumberFormat="1" applyFont="1" applyFill="1"/>
    <xf numFmtId="168" fontId="6" fillId="0" borderId="0" xfId="0" applyNumberFormat="1" applyFont="1" applyFill="1"/>
    <xf numFmtId="168" fontId="0" fillId="0" borderId="0" xfId="0" applyNumberFormat="1"/>
    <xf numFmtId="0" fontId="3" fillId="0" borderId="6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1FB714"/>
      <rgbColor rgb="000000FF"/>
      <rgbColor rgb="00FCF305"/>
      <rgbColor rgb="00F20884"/>
      <rgbColor rgb="0000ABEA"/>
      <rgbColor rgb="00800000"/>
      <rgbColor rgb="00008000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MarketModel!$J$1</c:f>
              <c:strCache>
                <c:ptCount val="1"/>
                <c:pt idx="0">
                  <c:v>Simpson Manufacturing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MarketModel!$C$3:$C$38</c:f>
              <c:numCache>
                <c:formatCode>0.00%</c:formatCode>
                <c:ptCount val="36"/>
                <c:pt idx="0">
                  <c:v>-0.00121924313604803</c:v>
                </c:pt>
                <c:pt idx="1">
                  <c:v>0.0356098011252543</c:v>
                </c:pt>
                <c:pt idx="2">
                  <c:v>0.000910921120978111</c:v>
                </c:pt>
                <c:pt idx="3">
                  <c:v>0.0153246023575726</c:v>
                </c:pt>
                <c:pt idx="4">
                  <c:v>0.00269939848087326</c:v>
                </c:pt>
                <c:pt idx="5">
                  <c:v>0.0659911145773651</c:v>
                </c:pt>
                <c:pt idx="6">
                  <c:v>-0.00412836043029912</c:v>
                </c:pt>
                <c:pt idx="7">
                  <c:v>-0.0507353219729464</c:v>
                </c:pt>
                <c:pt idx="8">
                  <c:v>-0.0175301851763144</c:v>
                </c:pt>
                <c:pt idx="9">
                  <c:v>0.000504869260724018</c:v>
                </c:pt>
                <c:pt idx="10">
                  <c:v>0.0829831177603941</c:v>
                </c:pt>
                <c:pt idx="11">
                  <c:v>-0.0264428315732271</c:v>
                </c:pt>
                <c:pt idx="12">
                  <c:v>-0.0625808181672028</c:v>
                </c:pt>
                <c:pt idx="13">
                  <c:v>0.0197420296967213</c:v>
                </c:pt>
                <c:pt idx="14">
                  <c:v>-0.0210116723759005</c:v>
                </c:pt>
                <c:pt idx="15">
                  <c:v>0.0104913823933169</c:v>
                </c:pt>
                <c:pt idx="16">
                  <c:v>0.00852081973012474</c:v>
                </c:pt>
                <c:pt idx="17">
                  <c:v>-0.0173961069137562</c:v>
                </c:pt>
                <c:pt idx="18">
                  <c:v>0.054892511014554</c:v>
                </c:pt>
                <c:pt idx="19">
                  <c:v>-0.0310408057904702</c:v>
                </c:pt>
                <c:pt idx="20">
                  <c:v>-0.00418858787792041</c:v>
                </c:pt>
                <c:pt idx="21">
                  <c:v>0.0245335887603648</c:v>
                </c:pt>
                <c:pt idx="22">
                  <c:v>0.0232014607867722</c:v>
                </c:pt>
                <c:pt idx="23">
                  <c:v>-0.0155138372230637</c:v>
                </c:pt>
                <c:pt idx="24">
                  <c:v>0.0376552954897352</c:v>
                </c:pt>
                <c:pt idx="25">
                  <c:v>-0.0150798305819198</c:v>
                </c:pt>
                <c:pt idx="26">
                  <c:v>0.0190583316589206</c:v>
                </c:pt>
                <c:pt idx="27">
                  <c:v>0.021030280012996</c:v>
                </c:pt>
                <c:pt idx="28">
                  <c:v>0.00620078896505275</c:v>
                </c:pt>
                <c:pt idx="29">
                  <c:v>0.00693216560793571</c:v>
                </c:pt>
                <c:pt idx="30">
                  <c:v>0.0431170299765953</c:v>
                </c:pt>
                <c:pt idx="31">
                  <c:v>-0.0355829056751626</c:v>
                </c:pt>
                <c:pt idx="32">
                  <c:v>0.0235627915504928</c:v>
                </c:pt>
                <c:pt idx="33">
                  <c:v>0.0280494716351865</c:v>
                </c:pt>
                <c:pt idx="34">
                  <c:v>0.0445957526180061</c:v>
                </c:pt>
                <c:pt idx="35">
                  <c:v>0.0297495231772391</c:v>
                </c:pt>
              </c:numCache>
            </c:numRef>
          </c:xVal>
          <c:yVal>
            <c:numRef>
              <c:f>MarketModel!$B$3:$B$38</c:f>
              <c:numCache>
                <c:formatCode>0.00%</c:formatCode>
                <c:ptCount val="36"/>
                <c:pt idx="0">
                  <c:v>0.0754902469482904</c:v>
                </c:pt>
                <c:pt idx="1">
                  <c:v>0.0252689010440604</c:v>
                </c:pt>
                <c:pt idx="2">
                  <c:v>0.0101086934546374</c:v>
                </c:pt>
                <c:pt idx="3">
                  <c:v>0.0523936729996635</c:v>
                </c:pt>
                <c:pt idx="4">
                  <c:v>-0.0107414205261421</c:v>
                </c:pt>
                <c:pt idx="5">
                  <c:v>0.124631677213662</c:v>
                </c:pt>
                <c:pt idx="6">
                  <c:v>0.0401470413684633</c:v>
                </c:pt>
                <c:pt idx="7">
                  <c:v>-0.0398243314890583</c:v>
                </c:pt>
                <c:pt idx="8">
                  <c:v>-0.0802585219429431</c:v>
                </c:pt>
                <c:pt idx="9">
                  <c:v>-0.0223801737756713</c:v>
                </c:pt>
                <c:pt idx="10">
                  <c:v>0.134069803877587</c:v>
                </c:pt>
                <c:pt idx="11">
                  <c:v>-0.0360927527928961</c:v>
                </c:pt>
                <c:pt idx="12">
                  <c:v>-0.0254048017867114</c:v>
                </c:pt>
                <c:pt idx="13">
                  <c:v>0.0535294117647059</c:v>
                </c:pt>
                <c:pt idx="14">
                  <c:v>0.0070755310775666</c:v>
                </c:pt>
                <c:pt idx="15">
                  <c:v>0.0347772737882025</c:v>
                </c:pt>
                <c:pt idx="16">
                  <c:v>-0.122825799379872</c:v>
                </c:pt>
                <c:pt idx="17">
                  <c:v>0.0361877890555859</c:v>
                </c:pt>
                <c:pt idx="18">
                  <c:v>0.109068692067055</c:v>
                </c:pt>
                <c:pt idx="19">
                  <c:v>-0.0526011302081577</c:v>
                </c:pt>
                <c:pt idx="20">
                  <c:v>0.0421685830672113</c:v>
                </c:pt>
                <c:pt idx="21">
                  <c:v>0.00362753907935072</c:v>
                </c:pt>
                <c:pt idx="22">
                  <c:v>0.134819965694683</c:v>
                </c:pt>
                <c:pt idx="23">
                  <c:v>-0.09375</c:v>
                </c:pt>
                <c:pt idx="24">
                  <c:v>0.0628082867477803</c:v>
                </c:pt>
                <c:pt idx="25">
                  <c:v>-0.159791002205968</c:v>
                </c:pt>
                <c:pt idx="26">
                  <c:v>0.0932051469155227</c:v>
                </c:pt>
                <c:pt idx="27">
                  <c:v>0.0143335463759213</c:v>
                </c:pt>
                <c:pt idx="28">
                  <c:v>-0.0683555296713542</c:v>
                </c:pt>
                <c:pt idx="29">
                  <c:v>-0.000565657740631244</c:v>
                </c:pt>
                <c:pt idx="30">
                  <c:v>0.0843558333960634</c:v>
                </c:pt>
                <c:pt idx="31">
                  <c:v>-0.112442199836646</c:v>
                </c:pt>
                <c:pt idx="32">
                  <c:v>0.0152892841677488</c:v>
                </c:pt>
                <c:pt idx="33">
                  <c:v>0.0239773759103702</c:v>
                </c:pt>
                <c:pt idx="34">
                  <c:v>0.092262849247774</c:v>
                </c:pt>
                <c:pt idx="35">
                  <c:v>0.0415733930284618</c:v>
                </c:pt>
              </c:numCache>
            </c:numRef>
          </c:yVal>
          <c:smooth val="0"/>
        </c:ser>
        <c:ser>
          <c:idx val="1"/>
          <c:order val="1"/>
          <c:tx>
            <c:v>Characteristic Line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MarketModel!$G$15:$G$17</c:f>
              <c:numCache>
                <c:formatCode>0.00%</c:formatCode>
                <c:ptCount val="3"/>
                <c:pt idx="0">
                  <c:v>-0.0625808181672028</c:v>
                </c:pt>
                <c:pt idx="1">
                  <c:v>0.00841407057952622</c:v>
                </c:pt>
                <c:pt idx="2">
                  <c:v>0.0829831177603941</c:v>
                </c:pt>
              </c:numCache>
            </c:numRef>
          </c:xVal>
          <c:yVal>
            <c:numRef>
              <c:f>MarketModel!$H$15:$H$17</c:f>
              <c:numCache>
                <c:formatCode>0.00%</c:formatCode>
                <c:ptCount val="3"/>
                <c:pt idx="0">
                  <c:v>-0.0999662450688322</c:v>
                </c:pt>
                <c:pt idx="1">
                  <c:v>0.0135038115815088</c:v>
                </c:pt>
                <c:pt idx="2">
                  <c:v>0.132686391586113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9448592"/>
        <c:axId val="-1519443776"/>
      </c:scatterChart>
      <c:valAx>
        <c:axId val="-15194485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443776"/>
        <c:crosses val="autoZero"/>
        <c:crossBetween val="midCat"/>
      </c:valAx>
      <c:valAx>
        <c:axId val="-15194437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44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Efficient</a:t>
            </a:r>
            <a:r>
              <a:rPr lang="en-US" baseline="0"/>
              <a:t> Portfolio Frontier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'Efficient Portfolio'!$H$3:$H$103</c:f>
              <c:numCache>
                <c:formatCode>0.000000%</c:formatCode>
                <c:ptCount val="101"/>
                <c:pt idx="0">
                  <c:v>0.0729233695987906</c:v>
                </c:pt>
                <c:pt idx="1">
                  <c:v>0.0721607557839385</c:v>
                </c:pt>
                <c:pt idx="2">
                  <c:v>0.0714043202653291</c:v>
                </c:pt>
                <c:pt idx="3">
                  <c:v>0.0706542614806444</c:v>
                </c:pt>
                <c:pt idx="4">
                  <c:v>0.0699107846742828</c:v>
                </c:pt>
                <c:pt idx="5">
                  <c:v>0.0691741020740399</c:v>
                </c:pt>
                <c:pt idx="6">
                  <c:v>0.0684444330629054</c:v>
                </c:pt>
                <c:pt idx="7">
                  <c:v>0.0677220043444705</c:v>
                </c:pt>
                <c:pt idx="8">
                  <c:v>0.0670070501002656</c:v>
                </c:pt>
                <c:pt idx="9">
                  <c:v>0.066299812137167</c:v>
                </c:pt>
                <c:pt idx="10">
                  <c:v>0.0656005400228142</c:v>
                </c:pt>
                <c:pt idx="11">
                  <c:v>0.0649094912067808</c:v>
                </c:pt>
                <c:pt idx="12">
                  <c:v>0.0642269311250238</c:v>
                </c:pt>
                <c:pt idx="13">
                  <c:v>0.0635531332849218</c:v>
                </c:pt>
                <c:pt idx="14">
                  <c:v>0.0628883793279857</c:v>
                </c:pt>
                <c:pt idx="15">
                  <c:v>0.0622329590670996</c:v>
                </c:pt>
                <c:pt idx="16">
                  <c:v>0.0615871704949258</c:v>
                </c:pt>
                <c:pt idx="17">
                  <c:v>0.0609513197598864</c:v>
                </c:pt>
                <c:pt idx="18">
                  <c:v>0.0603257211059252</c:v>
                </c:pt>
                <c:pt idx="19">
                  <c:v>0.05971069677206</c:v>
                </c:pt>
                <c:pt idx="20">
                  <c:v>0.0591065768475644</c:v>
                </c:pt>
                <c:pt idx="21">
                  <c:v>0.0585136990784744</c:v>
                </c:pt>
                <c:pt idx="22">
                  <c:v>0.0579324086210177</c:v>
                </c:pt>
                <c:pt idx="23">
                  <c:v>0.0573630577375019</c:v>
                </c:pt>
                <c:pt idx="24">
                  <c:v>0.0568060054302049</c:v>
                </c:pt>
                <c:pt idx="25">
                  <c:v>0.0562616170088814</c:v>
                </c:pt>
                <c:pt idx="26">
                  <c:v>0.0557302635876481</c:v>
                </c:pt>
                <c:pt idx="27">
                  <c:v>0.0552123215072551</c:v>
                </c:pt>
                <c:pt idx="28">
                  <c:v>0.0547081716790953</c:v>
                </c:pt>
                <c:pt idx="29">
                  <c:v>0.0542181988477607</c:v>
                </c:pt>
                <c:pt idx="30">
                  <c:v>0.0537427907695383</c:v>
                </c:pt>
                <c:pt idx="31">
                  <c:v>0.0532823373049504</c:v>
                </c:pt>
                <c:pt idx="32">
                  <c:v>0.0528372294242964</c:v>
                </c:pt>
                <c:pt idx="33">
                  <c:v>0.0524078581261442</c:v>
                </c:pt>
                <c:pt idx="34">
                  <c:v>0.051994613269852</c:v>
                </c:pt>
                <c:pt idx="35">
                  <c:v>0.0515978823244711</c:v>
                </c:pt>
                <c:pt idx="36">
                  <c:v>0.0512180490377715</c:v>
                </c:pt>
                <c:pt idx="37">
                  <c:v>0.0508554920306377</c:v>
                </c:pt>
                <c:pt idx="38">
                  <c:v>0.0505105833236762</c:v>
                </c:pt>
                <c:pt idx="39">
                  <c:v>0.0501836868045274</c:v>
                </c:pt>
                <c:pt idx="40">
                  <c:v>0.0498751566460584</c:v>
                </c:pt>
                <c:pt idx="41">
                  <c:v>0.0495853356872767</c:v>
                </c:pt>
                <c:pt idx="42">
                  <c:v>0.0493145537904183</c:v>
                </c:pt>
                <c:pt idx="43">
                  <c:v>0.0490631261891585</c:v>
                </c:pt>
                <c:pt idx="44">
                  <c:v>0.0488313518442365</c:v>
                </c:pt>
                <c:pt idx="45">
                  <c:v>0.0486195118239071</c:v>
                </c:pt>
                <c:pt idx="46">
                  <c:v>0.0484278677274929</c:v>
                </c:pt>
                <c:pt idx="47">
                  <c:v>0.0482566601708526</c:v>
                </c:pt>
                <c:pt idx="48">
                  <c:v>0.048106107352766</c:v>
                </c:pt>
                <c:pt idx="49">
                  <c:v>0.0479764037210338</c:v>
                </c:pt>
                <c:pt idx="50">
                  <c:v>0.04786771875647</c:v>
                </c:pt>
                <c:pt idx="51">
                  <c:v>0.0477801958919224</c:v>
                </c:pt>
                <c:pt idx="52">
                  <c:v>0.047713951582001</c:v>
                </c:pt>
                <c:pt idx="53">
                  <c:v>0.0476690745373317</c:v>
                </c:pt>
                <c:pt idx="54">
                  <c:v>0.0476456251349369</c:v>
                </c:pt>
                <c:pt idx="55">
                  <c:v>0.0476436350138113</c:v>
                </c:pt>
                <c:pt idx="56">
                  <c:v>0.0476631068619817</c:v>
                </c:pt>
                <c:pt idx="57">
                  <c:v>0.0477040143983838</c:v>
                </c:pt>
                <c:pt idx="58">
                  <c:v>0.0477663025498396</c:v>
                </c:pt>
                <c:pt idx="59">
                  <c:v>0.047849887820365</c:v>
                </c:pt>
                <c:pt idx="60">
                  <c:v>0.0479546588470537</c:v>
                </c:pt>
                <c:pt idx="61">
                  <c:v>0.0480804771339698</c:v>
                </c:pt>
                <c:pt idx="62">
                  <c:v>0.0482271779528946</c:v>
                </c:pt>
                <c:pt idx="63">
                  <c:v>0.0483945713974949</c:v>
                </c:pt>
                <c:pt idx="64">
                  <c:v>0.0485824435755489</c:v>
                </c:pt>
                <c:pt idx="65">
                  <c:v>0.0487905579223341</c:v>
                </c:pt>
                <c:pt idx="66">
                  <c:v>0.0490186566171593</c:v>
                </c:pt>
                <c:pt idx="67">
                  <c:v>0.0492664620843268</c:v>
                </c:pt>
                <c:pt idx="68">
                  <c:v>0.0495336785595309</c:v>
                </c:pt>
                <c:pt idx="69">
                  <c:v>0.0498199937028152</c:v>
                </c:pt>
                <c:pt idx="70">
                  <c:v>0.050125080239689</c:v>
                </c:pt>
                <c:pt idx="71">
                  <c:v>0.0504485976128084</c:v>
                </c:pt>
                <c:pt idx="72">
                  <c:v>0.0507901936277068</c:v>
                </c:pt>
                <c:pt idx="73">
                  <c:v>0.0511495060773604</c:v>
                </c:pt>
                <c:pt idx="74">
                  <c:v>0.0515261643318519</c:v>
                </c:pt>
                <c:pt idx="75">
                  <c:v>0.0519197908809846</c:v>
                </c:pt>
                <c:pt idx="76">
                  <c:v>0.0523300028193619</c:v>
                </c:pt>
                <c:pt idx="77">
                  <c:v>0.0527564132651261</c:v>
                </c:pt>
                <c:pt idx="78">
                  <c:v>0.0531986327052135</c:v>
                </c:pt>
                <c:pt idx="79">
                  <c:v>0.0536562702615896</c:v>
                </c:pt>
                <c:pt idx="80">
                  <c:v>0.0541289348744492</c:v>
                </c:pt>
                <c:pt idx="81">
                  <c:v>0.0546162363997839</c:v>
                </c:pt>
                <c:pt idx="82">
                  <c:v>0.0551177866200094</c:v>
                </c:pt>
                <c:pt idx="83">
                  <c:v>0.0556332001675059</c:v>
                </c:pt>
                <c:pt idx="84">
                  <c:v>0.0561620953619411</c:v>
                </c:pt>
                <c:pt idx="85">
                  <c:v>0.0567040949631228</c:v>
                </c:pt>
                <c:pt idx="86">
                  <c:v>0.057258826841868</c:v>
                </c:pt>
                <c:pt idx="87">
                  <c:v>0.0578259245719797</c:v>
                </c:pt>
                <c:pt idx="88">
                  <c:v>0.058405027946904</c:v>
                </c:pt>
                <c:pt idx="89">
                  <c:v>0.0589957834250049</c:v>
                </c:pt>
                <c:pt idx="90">
                  <c:v>0.059597844507655</c:v>
                </c:pt>
                <c:pt idx="91">
                  <c:v>0.0602108720545073</c:v>
                </c:pt>
                <c:pt idx="92">
                  <c:v>0.0608345345403988</c:v>
                </c:pt>
                <c:pt idx="93">
                  <c:v>0.0614685082583496</c:v>
                </c:pt>
                <c:pt idx="94">
                  <c:v>0.0621124774730786</c:v>
                </c:pt>
                <c:pt idx="95">
                  <c:v>0.0627661345293598</c:v>
                </c:pt>
                <c:pt idx="96">
                  <c:v>0.0634291799194091</c:v>
                </c:pt>
                <c:pt idx="97">
                  <c:v>0.0641013223133264</c:v>
                </c:pt>
                <c:pt idx="98">
                  <c:v>0.0647822785564249</c:v>
                </c:pt>
                <c:pt idx="99">
                  <c:v>0.0654717736370765</c:v>
                </c:pt>
                <c:pt idx="100">
                  <c:v>0.0661695406284798</c:v>
                </c:pt>
              </c:numCache>
            </c:numRef>
          </c:xVal>
          <c:yVal>
            <c:numRef>
              <c:f>'Efficient Portfolio'!$G$3:$G$103</c:f>
              <c:numCache>
                <c:formatCode>0.00%</c:formatCode>
                <c:ptCount val="101"/>
                <c:pt idx="0">
                  <c:v>0.0135038115815088</c:v>
                </c:pt>
                <c:pt idx="1">
                  <c:v>0.0136670108053779</c:v>
                </c:pt>
                <c:pt idx="2">
                  <c:v>0.0138302100292471</c:v>
                </c:pt>
                <c:pt idx="3">
                  <c:v>0.0139934092531162</c:v>
                </c:pt>
                <c:pt idx="4">
                  <c:v>0.0141566084769854</c:v>
                </c:pt>
                <c:pt idx="5">
                  <c:v>0.0143198077008545</c:v>
                </c:pt>
                <c:pt idx="6">
                  <c:v>0.0144830069247237</c:v>
                </c:pt>
                <c:pt idx="7">
                  <c:v>0.0146462061485928</c:v>
                </c:pt>
                <c:pt idx="8">
                  <c:v>0.014809405372462</c:v>
                </c:pt>
                <c:pt idx="9">
                  <c:v>0.0149726045963311</c:v>
                </c:pt>
                <c:pt idx="10">
                  <c:v>0.0151358038202003</c:v>
                </c:pt>
                <c:pt idx="11">
                  <c:v>0.0152990030440694</c:v>
                </c:pt>
                <c:pt idx="12">
                  <c:v>0.0154622022679386</c:v>
                </c:pt>
                <c:pt idx="13">
                  <c:v>0.0156254014918077</c:v>
                </c:pt>
                <c:pt idx="14">
                  <c:v>0.0157886007156769</c:v>
                </c:pt>
                <c:pt idx="15">
                  <c:v>0.015951799939546</c:v>
                </c:pt>
                <c:pt idx="16">
                  <c:v>0.0161149991634152</c:v>
                </c:pt>
                <c:pt idx="17">
                  <c:v>0.0162781983872843</c:v>
                </c:pt>
                <c:pt idx="18">
                  <c:v>0.0164413976111535</c:v>
                </c:pt>
                <c:pt idx="19">
                  <c:v>0.0166045968350226</c:v>
                </c:pt>
                <c:pt idx="20">
                  <c:v>0.0167677960588918</c:v>
                </c:pt>
                <c:pt idx="21">
                  <c:v>0.0169309952827609</c:v>
                </c:pt>
                <c:pt idx="22">
                  <c:v>0.0170941945066301</c:v>
                </c:pt>
                <c:pt idx="23">
                  <c:v>0.0172573937304992</c:v>
                </c:pt>
                <c:pt idx="24">
                  <c:v>0.0174205929543684</c:v>
                </c:pt>
                <c:pt idx="25">
                  <c:v>0.0175837921782375</c:v>
                </c:pt>
                <c:pt idx="26">
                  <c:v>0.0177469914021067</c:v>
                </c:pt>
                <c:pt idx="27">
                  <c:v>0.0179101906259758</c:v>
                </c:pt>
                <c:pt idx="28">
                  <c:v>0.018073389849845</c:v>
                </c:pt>
                <c:pt idx="29">
                  <c:v>0.0182365890737141</c:v>
                </c:pt>
                <c:pt idx="30">
                  <c:v>0.0183997882975833</c:v>
                </c:pt>
                <c:pt idx="31">
                  <c:v>0.0185629875214524</c:v>
                </c:pt>
                <c:pt idx="32">
                  <c:v>0.0187261867453216</c:v>
                </c:pt>
                <c:pt idx="33">
                  <c:v>0.0188893859691907</c:v>
                </c:pt>
                <c:pt idx="34">
                  <c:v>0.0190525851930599</c:v>
                </c:pt>
                <c:pt idx="35">
                  <c:v>0.019215784416929</c:v>
                </c:pt>
                <c:pt idx="36">
                  <c:v>0.0193789836407982</c:v>
                </c:pt>
                <c:pt idx="37">
                  <c:v>0.0195421828646673</c:v>
                </c:pt>
                <c:pt idx="38">
                  <c:v>0.0197053820885365</c:v>
                </c:pt>
                <c:pt idx="39">
                  <c:v>0.0198685813124056</c:v>
                </c:pt>
                <c:pt idx="40">
                  <c:v>0.0200317805362748</c:v>
                </c:pt>
                <c:pt idx="41">
                  <c:v>0.0201949797601439</c:v>
                </c:pt>
                <c:pt idx="42">
                  <c:v>0.0203581789840131</c:v>
                </c:pt>
                <c:pt idx="43">
                  <c:v>0.0205213782078822</c:v>
                </c:pt>
                <c:pt idx="44">
                  <c:v>0.0206845774317514</c:v>
                </c:pt>
                <c:pt idx="45">
                  <c:v>0.0208477766556205</c:v>
                </c:pt>
                <c:pt idx="46">
                  <c:v>0.0210109758794897</c:v>
                </c:pt>
                <c:pt idx="47">
                  <c:v>0.0211741751033588</c:v>
                </c:pt>
                <c:pt idx="48">
                  <c:v>0.021337374327228</c:v>
                </c:pt>
                <c:pt idx="49">
                  <c:v>0.0215005735510971</c:v>
                </c:pt>
                <c:pt idx="50">
                  <c:v>0.0216637727749663</c:v>
                </c:pt>
                <c:pt idx="51">
                  <c:v>0.0218269719988354</c:v>
                </c:pt>
                <c:pt idx="52">
                  <c:v>0.0219901712227046</c:v>
                </c:pt>
                <c:pt idx="53">
                  <c:v>0.0221533704465737</c:v>
                </c:pt>
                <c:pt idx="54">
                  <c:v>0.0223165696704429</c:v>
                </c:pt>
                <c:pt idx="55">
                  <c:v>0.022479768894312</c:v>
                </c:pt>
                <c:pt idx="56">
                  <c:v>0.0226429681181812</c:v>
                </c:pt>
                <c:pt idx="57">
                  <c:v>0.0228061673420503</c:v>
                </c:pt>
                <c:pt idx="58">
                  <c:v>0.0229693665659195</c:v>
                </c:pt>
                <c:pt idx="59">
                  <c:v>0.0231325657897886</c:v>
                </c:pt>
                <c:pt idx="60">
                  <c:v>0.0232957650136578</c:v>
                </c:pt>
                <c:pt idx="61">
                  <c:v>0.0234589642375269</c:v>
                </c:pt>
                <c:pt idx="62">
                  <c:v>0.0236221634613961</c:v>
                </c:pt>
                <c:pt idx="63">
                  <c:v>0.0237853626852652</c:v>
                </c:pt>
                <c:pt idx="64">
                  <c:v>0.0239485619091344</c:v>
                </c:pt>
                <c:pt idx="65">
                  <c:v>0.0241117611330035</c:v>
                </c:pt>
                <c:pt idx="66">
                  <c:v>0.0242749603568727</c:v>
                </c:pt>
                <c:pt idx="67">
                  <c:v>0.0244381595807418</c:v>
                </c:pt>
                <c:pt idx="68">
                  <c:v>0.024601358804611</c:v>
                </c:pt>
                <c:pt idx="69">
                  <c:v>0.0247645580284801</c:v>
                </c:pt>
                <c:pt idx="70">
                  <c:v>0.0249277572523493</c:v>
                </c:pt>
                <c:pt idx="71">
                  <c:v>0.0250909564762184</c:v>
                </c:pt>
                <c:pt idx="72">
                  <c:v>0.0252541557000876</c:v>
                </c:pt>
                <c:pt idx="73">
                  <c:v>0.0254173549239567</c:v>
                </c:pt>
                <c:pt idx="74">
                  <c:v>0.0255805541478259</c:v>
                </c:pt>
                <c:pt idx="75">
                  <c:v>0.025743753371695</c:v>
                </c:pt>
                <c:pt idx="76">
                  <c:v>0.0259069525955642</c:v>
                </c:pt>
                <c:pt idx="77">
                  <c:v>0.0260701518194333</c:v>
                </c:pt>
                <c:pt idx="78">
                  <c:v>0.0262333510433025</c:v>
                </c:pt>
                <c:pt idx="79">
                  <c:v>0.0263965502671716</c:v>
                </c:pt>
                <c:pt idx="80">
                  <c:v>0.0265597494910408</c:v>
                </c:pt>
                <c:pt idx="81">
                  <c:v>0.0267229487149099</c:v>
                </c:pt>
                <c:pt idx="82">
                  <c:v>0.0268861479387791</c:v>
                </c:pt>
                <c:pt idx="83">
                  <c:v>0.0270493471626482</c:v>
                </c:pt>
                <c:pt idx="84">
                  <c:v>0.0272125463865174</c:v>
                </c:pt>
                <c:pt idx="85">
                  <c:v>0.0273757456103865</c:v>
                </c:pt>
                <c:pt idx="86">
                  <c:v>0.0275389448342557</c:v>
                </c:pt>
                <c:pt idx="87">
                  <c:v>0.0277021440581248</c:v>
                </c:pt>
                <c:pt idx="88">
                  <c:v>0.027865343281994</c:v>
                </c:pt>
                <c:pt idx="89">
                  <c:v>0.0280285425058631</c:v>
                </c:pt>
                <c:pt idx="90">
                  <c:v>0.0281917417297323</c:v>
                </c:pt>
                <c:pt idx="91">
                  <c:v>0.0283549409536014</c:v>
                </c:pt>
                <c:pt idx="92">
                  <c:v>0.0285181401774706</c:v>
                </c:pt>
                <c:pt idx="93">
                  <c:v>0.0286813394013397</c:v>
                </c:pt>
                <c:pt idx="94">
                  <c:v>0.0288445386252089</c:v>
                </c:pt>
                <c:pt idx="95">
                  <c:v>0.029007737849078</c:v>
                </c:pt>
                <c:pt idx="96">
                  <c:v>0.0291709370729472</c:v>
                </c:pt>
                <c:pt idx="97">
                  <c:v>0.0293341362968163</c:v>
                </c:pt>
                <c:pt idx="98">
                  <c:v>0.0294973355206855</c:v>
                </c:pt>
                <c:pt idx="99">
                  <c:v>0.0296605347445546</c:v>
                </c:pt>
                <c:pt idx="100">
                  <c:v>0.0298237339684238</c:v>
                </c:pt>
              </c:numCache>
            </c:numRef>
          </c:yVal>
          <c:smooth val="1"/>
        </c:ser>
        <c:ser>
          <c:idx val="1"/>
          <c:order val="1"/>
          <c:tx>
            <c:v>EPF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'Efficient Portfolio'!$H$59:$H$103</c:f>
              <c:numCache>
                <c:formatCode>0.000000%</c:formatCode>
                <c:ptCount val="45"/>
                <c:pt idx="0">
                  <c:v>0.0476631068619817</c:v>
                </c:pt>
                <c:pt idx="1">
                  <c:v>0.0477040143983838</c:v>
                </c:pt>
                <c:pt idx="2">
                  <c:v>0.0477663025498396</c:v>
                </c:pt>
                <c:pt idx="3">
                  <c:v>0.047849887820365</c:v>
                </c:pt>
                <c:pt idx="4">
                  <c:v>0.0479546588470537</c:v>
                </c:pt>
                <c:pt idx="5">
                  <c:v>0.0480804771339698</c:v>
                </c:pt>
                <c:pt idx="6">
                  <c:v>0.0482271779528946</c:v>
                </c:pt>
                <c:pt idx="7">
                  <c:v>0.0483945713974949</c:v>
                </c:pt>
                <c:pt idx="8">
                  <c:v>0.0485824435755489</c:v>
                </c:pt>
                <c:pt idx="9">
                  <c:v>0.0487905579223341</c:v>
                </c:pt>
                <c:pt idx="10">
                  <c:v>0.0490186566171593</c:v>
                </c:pt>
                <c:pt idx="11">
                  <c:v>0.0492664620843268</c:v>
                </c:pt>
                <c:pt idx="12">
                  <c:v>0.0495336785595309</c:v>
                </c:pt>
                <c:pt idx="13">
                  <c:v>0.0498199937028152</c:v>
                </c:pt>
                <c:pt idx="14">
                  <c:v>0.050125080239689</c:v>
                </c:pt>
                <c:pt idx="15">
                  <c:v>0.0504485976128084</c:v>
                </c:pt>
                <c:pt idx="16">
                  <c:v>0.0507901936277068</c:v>
                </c:pt>
                <c:pt idx="17">
                  <c:v>0.0511495060773604</c:v>
                </c:pt>
                <c:pt idx="18">
                  <c:v>0.0515261643318519</c:v>
                </c:pt>
                <c:pt idx="19">
                  <c:v>0.0519197908809846</c:v>
                </c:pt>
                <c:pt idx="20">
                  <c:v>0.0523300028193619</c:v>
                </c:pt>
                <c:pt idx="21">
                  <c:v>0.0527564132651261</c:v>
                </c:pt>
                <c:pt idx="22">
                  <c:v>0.0531986327052135</c:v>
                </c:pt>
                <c:pt idx="23">
                  <c:v>0.0536562702615896</c:v>
                </c:pt>
                <c:pt idx="24">
                  <c:v>0.0541289348744492</c:v>
                </c:pt>
                <c:pt idx="25">
                  <c:v>0.0546162363997839</c:v>
                </c:pt>
                <c:pt idx="26">
                  <c:v>0.0551177866200094</c:v>
                </c:pt>
                <c:pt idx="27">
                  <c:v>0.0556332001675059</c:v>
                </c:pt>
                <c:pt idx="28">
                  <c:v>0.0561620953619411</c:v>
                </c:pt>
                <c:pt idx="29">
                  <c:v>0.0567040949631228</c:v>
                </c:pt>
                <c:pt idx="30">
                  <c:v>0.057258826841868</c:v>
                </c:pt>
                <c:pt idx="31">
                  <c:v>0.0578259245719797</c:v>
                </c:pt>
                <c:pt idx="32">
                  <c:v>0.058405027946904</c:v>
                </c:pt>
                <c:pt idx="33">
                  <c:v>0.0589957834250049</c:v>
                </c:pt>
                <c:pt idx="34">
                  <c:v>0.059597844507655</c:v>
                </c:pt>
                <c:pt idx="35">
                  <c:v>0.0602108720545073</c:v>
                </c:pt>
                <c:pt idx="36">
                  <c:v>0.0608345345403988</c:v>
                </c:pt>
                <c:pt idx="37">
                  <c:v>0.0614685082583496</c:v>
                </c:pt>
                <c:pt idx="38">
                  <c:v>0.0621124774730786</c:v>
                </c:pt>
                <c:pt idx="39">
                  <c:v>0.0627661345293598</c:v>
                </c:pt>
                <c:pt idx="40">
                  <c:v>0.0634291799194091</c:v>
                </c:pt>
                <c:pt idx="41">
                  <c:v>0.0641013223133264</c:v>
                </c:pt>
                <c:pt idx="42">
                  <c:v>0.0647822785564249</c:v>
                </c:pt>
                <c:pt idx="43">
                  <c:v>0.0654717736370765</c:v>
                </c:pt>
                <c:pt idx="44">
                  <c:v>0.0661695406284798</c:v>
                </c:pt>
              </c:numCache>
            </c:numRef>
          </c:xVal>
          <c:yVal>
            <c:numRef>
              <c:f>'Efficient Portfolio'!$G$59:$G$103</c:f>
              <c:numCache>
                <c:formatCode>0.00%</c:formatCode>
                <c:ptCount val="45"/>
                <c:pt idx="0">
                  <c:v>0.0226429681181812</c:v>
                </c:pt>
                <c:pt idx="1">
                  <c:v>0.0228061673420503</c:v>
                </c:pt>
                <c:pt idx="2">
                  <c:v>0.0229693665659195</c:v>
                </c:pt>
                <c:pt idx="3">
                  <c:v>0.0231325657897886</c:v>
                </c:pt>
                <c:pt idx="4">
                  <c:v>0.0232957650136578</c:v>
                </c:pt>
                <c:pt idx="5">
                  <c:v>0.0234589642375269</c:v>
                </c:pt>
                <c:pt idx="6">
                  <c:v>0.0236221634613961</c:v>
                </c:pt>
                <c:pt idx="7">
                  <c:v>0.0237853626852652</c:v>
                </c:pt>
                <c:pt idx="8">
                  <c:v>0.0239485619091344</c:v>
                </c:pt>
                <c:pt idx="9">
                  <c:v>0.0241117611330035</c:v>
                </c:pt>
                <c:pt idx="10">
                  <c:v>0.0242749603568727</c:v>
                </c:pt>
                <c:pt idx="11">
                  <c:v>0.0244381595807418</c:v>
                </c:pt>
                <c:pt idx="12">
                  <c:v>0.024601358804611</c:v>
                </c:pt>
                <c:pt idx="13">
                  <c:v>0.0247645580284801</c:v>
                </c:pt>
                <c:pt idx="14">
                  <c:v>0.0249277572523493</c:v>
                </c:pt>
                <c:pt idx="15">
                  <c:v>0.0250909564762184</c:v>
                </c:pt>
                <c:pt idx="16">
                  <c:v>0.0252541557000876</c:v>
                </c:pt>
                <c:pt idx="17">
                  <c:v>0.0254173549239567</c:v>
                </c:pt>
                <c:pt idx="18">
                  <c:v>0.0255805541478259</c:v>
                </c:pt>
                <c:pt idx="19">
                  <c:v>0.025743753371695</c:v>
                </c:pt>
                <c:pt idx="20">
                  <c:v>0.0259069525955642</c:v>
                </c:pt>
                <c:pt idx="21">
                  <c:v>0.0260701518194333</c:v>
                </c:pt>
                <c:pt idx="22">
                  <c:v>0.0262333510433025</c:v>
                </c:pt>
                <c:pt idx="23">
                  <c:v>0.0263965502671716</c:v>
                </c:pt>
                <c:pt idx="24">
                  <c:v>0.0265597494910408</c:v>
                </c:pt>
                <c:pt idx="25">
                  <c:v>0.0267229487149099</c:v>
                </c:pt>
                <c:pt idx="26">
                  <c:v>0.0268861479387791</c:v>
                </c:pt>
                <c:pt idx="27">
                  <c:v>0.0270493471626482</c:v>
                </c:pt>
                <c:pt idx="28">
                  <c:v>0.0272125463865174</c:v>
                </c:pt>
                <c:pt idx="29">
                  <c:v>0.0273757456103865</c:v>
                </c:pt>
                <c:pt idx="30">
                  <c:v>0.0275389448342557</c:v>
                </c:pt>
                <c:pt idx="31">
                  <c:v>0.0277021440581248</c:v>
                </c:pt>
                <c:pt idx="32">
                  <c:v>0.027865343281994</c:v>
                </c:pt>
                <c:pt idx="33">
                  <c:v>0.0280285425058631</c:v>
                </c:pt>
                <c:pt idx="34">
                  <c:v>0.0281917417297323</c:v>
                </c:pt>
                <c:pt idx="35">
                  <c:v>0.0283549409536014</c:v>
                </c:pt>
                <c:pt idx="36">
                  <c:v>0.0285181401774706</c:v>
                </c:pt>
                <c:pt idx="37">
                  <c:v>0.0286813394013397</c:v>
                </c:pt>
                <c:pt idx="38">
                  <c:v>0.0288445386252089</c:v>
                </c:pt>
                <c:pt idx="39">
                  <c:v>0.029007737849078</c:v>
                </c:pt>
                <c:pt idx="40">
                  <c:v>0.0291709370729472</c:v>
                </c:pt>
                <c:pt idx="41">
                  <c:v>0.0293341362968163</c:v>
                </c:pt>
                <c:pt idx="42">
                  <c:v>0.0294973355206855</c:v>
                </c:pt>
                <c:pt idx="43">
                  <c:v>0.0296605347445546</c:v>
                </c:pt>
                <c:pt idx="44">
                  <c:v>0.0298237339684238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9431456"/>
        <c:axId val="-1509427264"/>
      </c:scatterChart>
      <c:valAx>
        <c:axId val="-1509431456"/>
        <c:scaling>
          <c:orientation val="minMax"/>
        </c:scaling>
        <c:delete val="0"/>
        <c:axPos val="b"/>
        <c:numFmt formatCode="0%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9427264"/>
        <c:crosses val="autoZero"/>
        <c:crossBetween val="midCat"/>
      </c:valAx>
      <c:valAx>
        <c:axId val="-1509427264"/>
        <c:scaling>
          <c:orientation val="minMax"/>
        </c:scaling>
        <c:delete val="0"/>
        <c:axPos val="l"/>
        <c:numFmt formatCode="0%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94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SML</a:t>
            </a:r>
            <a:r>
              <a:rPr lang="en-US" baseline="0"/>
              <a:t> Line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SML Line</c:v>
          </c:tx>
          <c:spPr>
            <a:ln w="4762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CAPM!$D$4:$D$9</c:f>
              <c:numCache>
                <c:formatCode>0.000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1.598284871677737</c:v>
                </c:pt>
                <c:pt idx="3">
                  <c:v>0.268760534218989</c:v>
                </c:pt>
                <c:pt idx="4">
                  <c:v>0.933522702948363</c:v>
                </c:pt>
                <c:pt idx="5">
                  <c:v>0.867046486075425</c:v>
                </c:pt>
              </c:numCache>
            </c:numRef>
          </c:xVal>
          <c:yVal>
            <c:numRef>
              <c:f>CAPM!$E$4:$E$9</c:f>
              <c:numCache>
                <c:formatCode>0.000%</c:formatCode>
                <c:ptCount val="6"/>
                <c:pt idx="0">
                  <c:v>0.00096111111111111</c:v>
                </c:pt>
                <c:pt idx="1">
                  <c:v>0.100968846954315</c:v>
                </c:pt>
                <c:pt idx="2">
                  <c:v>0.160801962360047</c:v>
                </c:pt>
                <c:pt idx="3">
                  <c:v>0.027839243622362</c:v>
                </c:pt>
                <c:pt idx="4">
                  <c:v>0.0943206029912044</c:v>
                </c:pt>
                <c:pt idx="5">
                  <c:v>0.0876724670543201</c:v>
                </c:pt>
              </c:numCache>
            </c:numRef>
          </c:yVal>
          <c:smooth val="0"/>
        </c:ser>
        <c:ser>
          <c:idx val="1"/>
          <c:order val="1"/>
          <c:tx>
            <c:v>Observed Returns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CAPM!$G$6:$G$9</c:f>
                <c:numCache>
                  <c:formatCode>General</c:formatCode>
                  <c:ptCount val="4"/>
                  <c:pt idx="0">
                    <c:v>0.0012437766180588</c:v>
                  </c:pt>
                  <c:pt idx="1">
                    <c:v>0.330045563998723</c:v>
                  </c:pt>
                  <c:pt idx="2">
                    <c:v>0.165644670308391</c:v>
                  </c:pt>
                  <c:pt idx="3">
                    <c:v>0.182084759677424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CAPM!$D$6:$D$9</c:f>
              <c:numCache>
                <c:formatCode>0.000</c:formatCode>
                <c:ptCount val="4"/>
                <c:pt idx="0">
                  <c:v>1.598284871677737</c:v>
                </c:pt>
                <c:pt idx="1">
                  <c:v>0.268760534218989</c:v>
                </c:pt>
                <c:pt idx="2">
                  <c:v>0.933522702948363</c:v>
                </c:pt>
                <c:pt idx="3">
                  <c:v>0.867046486075425</c:v>
                </c:pt>
              </c:numCache>
            </c:numRef>
          </c:xVal>
          <c:yVal>
            <c:numRef>
              <c:f>CAPM!$F$6:$F$9</c:f>
              <c:numCache>
                <c:formatCode>0.000%</c:formatCode>
                <c:ptCount val="4"/>
                <c:pt idx="0">
                  <c:v>0.162045738978106</c:v>
                </c:pt>
                <c:pt idx="1">
                  <c:v>0.357884807621085</c:v>
                </c:pt>
                <c:pt idx="2">
                  <c:v>0.259965273299595</c:v>
                </c:pt>
                <c:pt idx="3">
                  <c:v>0.269757226731744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9398928"/>
        <c:axId val="-1509394384"/>
      </c:scatterChart>
      <c:valAx>
        <c:axId val="-1509398928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9394384"/>
        <c:crosses val="autoZero"/>
        <c:crossBetween val="midCat"/>
      </c:valAx>
      <c:valAx>
        <c:axId val="-1509394384"/>
        <c:scaling>
          <c:orientation val="minMax"/>
        </c:scaling>
        <c:delete val="0"/>
        <c:axPos val="l"/>
        <c:numFmt formatCode="0.0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939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178517397882"/>
          <c:y val="0.437669977901264"/>
          <c:w val="0.13571860816944"/>
          <c:h val="0.1137608616361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812800</xdr:colOff>
      <xdr:row>2</xdr:row>
      <xdr:rowOff>12700</xdr:rowOff>
    </xdr:from>
    <xdr:to>
      <xdr:col>18</xdr:col>
      <xdr:colOff>774700</xdr:colOff>
      <xdr:row>28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128256</xdr:colOff>
      <xdr:row>1</xdr:row>
      <xdr:rowOff>124737</xdr:rowOff>
    </xdr:from>
    <xdr:to>
      <xdr:col>19</xdr:col>
      <xdr:colOff>88020</xdr:colOff>
      <xdr:row>30</xdr:row>
      <xdr:rowOff>138316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2413000</xdr:colOff>
      <xdr:row>10</xdr:row>
      <xdr:rowOff>177800</xdr:rowOff>
    </xdr:from>
    <xdr:to>
      <xdr:col>11</xdr:col>
      <xdr:colOff>0</xdr:colOff>
      <xdr:row>33</xdr:row>
      <xdr:rowOff>165100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D39"/>
  <sheetViews>
    <sheetView topLeftCell="G2" workbookViewId="0">
      <selection activeCell="AC3" sqref="AC3:AC39"/>
    </sheetView>
  </sheetViews>
  <sheetFormatPr baseColWidth="10" defaultRowHeight="16" x14ac:dyDescent="0.2"/>
  <cols>
    <col min="1" max="1" width="12.6640625" bestFit="1" customWidth="1"/>
    <col min="12" max="12" width="12.6640625" bestFit="1" customWidth="1"/>
    <col min="13" max="16" width="11" bestFit="1" customWidth="1"/>
    <col min="17" max="17" width="11.1640625" bestFit="1" customWidth="1"/>
  </cols>
  <sheetData>
    <row r="1" spans="1:30" ht="17" thickBot="1" x14ac:dyDescent="0.25">
      <c r="A1" s="16" t="s">
        <v>24</v>
      </c>
      <c r="B1" s="16"/>
      <c r="C1" s="16"/>
      <c r="D1" s="16"/>
      <c r="E1" s="16"/>
      <c r="F1" s="16"/>
      <c r="G1" s="16"/>
      <c r="H1" s="16"/>
      <c r="I1" s="16"/>
      <c r="J1" s="4"/>
      <c r="L1" s="16" t="s">
        <v>16</v>
      </c>
      <c r="M1" s="16"/>
      <c r="N1" s="16"/>
      <c r="O1" s="16"/>
      <c r="P1" s="16"/>
      <c r="Q1" s="16"/>
      <c r="S1" s="16" t="s">
        <v>25</v>
      </c>
      <c r="T1" s="16"/>
      <c r="V1" s="4" t="s">
        <v>65</v>
      </c>
      <c r="W1" s="4"/>
      <c r="X1" s="4"/>
      <c r="Y1" s="4"/>
      <c r="Z1" s="4"/>
      <c r="AA1" s="4"/>
      <c r="AB1" s="4"/>
      <c r="AC1" s="4"/>
      <c r="AD1" s="4"/>
    </row>
    <row r="2" spans="1:30" ht="17" thickBot="1" x14ac:dyDescent="0.25">
      <c r="B2" s="15" t="s">
        <v>1</v>
      </c>
      <c r="C2" s="15" t="s">
        <v>2</v>
      </c>
      <c r="D2" s="15" t="s">
        <v>3</v>
      </c>
      <c r="E2" s="15" t="s">
        <v>4</v>
      </c>
      <c r="F2" s="15" t="s">
        <v>0</v>
      </c>
      <c r="G2" s="15" t="s">
        <v>5</v>
      </c>
      <c r="H2" s="15" t="s">
        <v>6</v>
      </c>
      <c r="I2" s="15">
        <v>1</v>
      </c>
      <c r="J2" s="1" t="s">
        <v>12</v>
      </c>
      <c r="K2" s="5"/>
      <c r="L2" s="15" t="s">
        <v>1</v>
      </c>
      <c r="M2" s="15" t="s">
        <v>2</v>
      </c>
      <c r="N2" s="15" t="s">
        <v>3</v>
      </c>
      <c r="O2" s="15" t="s">
        <v>4</v>
      </c>
      <c r="P2" s="15" t="s">
        <v>0</v>
      </c>
      <c r="Q2" s="15" t="s">
        <v>5</v>
      </c>
      <c r="S2" s="15" t="s">
        <v>1</v>
      </c>
      <c r="T2" s="15" t="s">
        <v>13</v>
      </c>
      <c r="V2" s="1" t="s">
        <v>1</v>
      </c>
      <c r="W2" s="1" t="s">
        <v>2</v>
      </c>
      <c r="X2" s="1" t="s">
        <v>3</v>
      </c>
      <c r="Y2" s="1" t="s">
        <v>4</v>
      </c>
      <c r="Z2" s="1" t="s">
        <v>38</v>
      </c>
      <c r="AA2" s="1" t="s">
        <v>5</v>
      </c>
      <c r="AB2" s="1" t="s">
        <v>39</v>
      </c>
      <c r="AC2" s="1">
        <v>1</v>
      </c>
      <c r="AD2" s="1" t="s">
        <v>12</v>
      </c>
    </row>
    <row r="3" spans="1:30" x14ac:dyDescent="0.2">
      <c r="A3" s="2">
        <v>42583</v>
      </c>
      <c r="B3" s="8">
        <v>42583</v>
      </c>
      <c r="C3" s="9">
        <v>40.889999000000003</v>
      </c>
      <c r="D3" s="9">
        <v>44.549999</v>
      </c>
      <c r="E3" s="9">
        <v>40.099997999999999</v>
      </c>
      <c r="F3" s="9">
        <v>43.880001</v>
      </c>
      <c r="G3" s="9">
        <v>129100</v>
      </c>
      <c r="H3" s="9"/>
      <c r="I3">
        <f>IF($J3&gt;0,$I$2*$J3,$I$2)</f>
        <v>1</v>
      </c>
      <c r="L3" s="7">
        <v>42583</v>
      </c>
      <c r="M3" s="6">
        <v>2173.1499020000001</v>
      </c>
      <c r="N3" s="6">
        <v>2193.8100589999999</v>
      </c>
      <c r="O3" s="6">
        <v>2147.580078</v>
      </c>
      <c r="P3" s="6">
        <v>2170.9499510000001</v>
      </c>
      <c r="Q3" s="6">
        <v>3451160800</v>
      </c>
      <c r="S3" s="12">
        <v>42583</v>
      </c>
      <c r="T3" s="6">
        <v>0.3</v>
      </c>
      <c r="V3" s="12">
        <v>42583</v>
      </c>
      <c r="W3" s="6">
        <v>73.709998999999996</v>
      </c>
      <c r="X3" s="6">
        <v>76.230002999999996</v>
      </c>
      <c r="Y3" s="6">
        <v>72.599997999999999</v>
      </c>
      <c r="Z3" s="6">
        <v>75.569999999999993</v>
      </c>
      <c r="AA3" s="6">
        <v>2364900</v>
      </c>
      <c r="AB3" s="6">
        <v>0.15</v>
      </c>
      <c r="AC3">
        <f>IF($AD3&gt;0,AC2*AD3,$AC$2)</f>
        <v>1</v>
      </c>
    </row>
    <row r="4" spans="1:30" x14ac:dyDescent="0.2">
      <c r="A4" s="2">
        <f>EDATE(A3,-1)</f>
        <v>42552</v>
      </c>
      <c r="B4" s="8">
        <v>42552</v>
      </c>
      <c r="C4" s="9">
        <v>39.869999</v>
      </c>
      <c r="D4" s="9">
        <v>41.709999000000003</v>
      </c>
      <c r="E4" s="9">
        <v>38.979999999999997</v>
      </c>
      <c r="F4" s="9">
        <v>40.799999</v>
      </c>
      <c r="G4" s="9">
        <v>126300</v>
      </c>
      <c r="H4" s="9">
        <v>0.18</v>
      </c>
      <c r="I4">
        <f t="shared" ref="I4:I39" si="0">IF($J4&gt;0,$I$2*$J4,$I$2)</f>
        <v>1</v>
      </c>
      <c r="L4" s="7">
        <v>42552</v>
      </c>
      <c r="M4" s="6">
        <v>2099.3400879999999</v>
      </c>
      <c r="N4" s="6">
        <v>2177.0900879999999</v>
      </c>
      <c r="O4" s="6">
        <v>2074.0200199999999</v>
      </c>
      <c r="P4" s="6">
        <v>2173.6000979999999</v>
      </c>
      <c r="Q4" s="6">
        <v>3678454500</v>
      </c>
      <c r="S4" s="12">
        <v>42552</v>
      </c>
      <c r="T4" s="6">
        <v>0.3</v>
      </c>
      <c r="V4" s="12">
        <v>42552</v>
      </c>
      <c r="W4" s="6">
        <v>66.620002999999997</v>
      </c>
      <c r="X4" s="6">
        <v>73.989998</v>
      </c>
      <c r="Y4" s="6">
        <v>65.830001999999993</v>
      </c>
      <c r="Z4" s="6">
        <v>73.599997999999999</v>
      </c>
      <c r="AA4" s="6">
        <v>2746000</v>
      </c>
      <c r="AB4" s="6"/>
      <c r="AC4">
        <f t="shared" ref="AC4:AC39" si="1">IF($AD4&gt;0,AC3*AD4,$AC$2)</f>
        <v>1</v>
      </c>
    </row>
    <row r="5" spans="1:30" x14ac:dyDescent="0.2">
      <c r="A5" s="2">
        <f t="shared" ref="A5:A39" si="2">EDATE(A4,-1)</f>
        <v>42522</v>
      </c>
      <c r="B5" s="8">
        <v>42522</v>
      </c>
      <c r="C5" s="9">
        <v>39.380001</v>
      </c>
      <c r="D5" s="9">
        <v>40</v>
      </c>
      <c r="E5" s="9">
        <v>37.060001</v>
      </c>
      <c r="F5" s="9">
        <v>39.970001000000003</v>
      </c>
      <c r="G5" s="9">
        <v>221900</v>
      </c>
      <c r="H5" s="9"/>
      <c r="I5">
        <f t="shared" si="0"/>
        <v>1</v>
      </c>
      <c r="L5" s="7">
        <v>42522</v>
      </c>
      <c r="M5" s="6">
        <v>2093.9399410000001</v>
      </c>
      <c r="N5" s="6">
        <v>2120.5500489999999</v>
      </c>
      <c r="O5" s="6">
        <v>1991.6800539999999</v>
      </c>
      <c r="P5" s="6">
        <v>2098.860107</v>
      </c>
      <c r="Q5" s="6">
        <v>4157978100</v>
      </c>
      <c r="S5" s="12">
        <v>42522</v>
      </c>
      <c r="T5" s="6">
        <v>0.27</v>
      </c>
      <c r="V5" s="12">
        <v>42522</v>
      </c>
      <c r="W5" s="6">
        <v>63.779998999999997</v>
      </c>
      <c r="X5" s="6">
        <v>66.809997999999993</v>
      </c>
      <c r="Y5" s="6">
        <v>59.450001</v>
      </c>
      <c r="Z5" s="6">
        <v>66.790001000000004</v>
      </c>
      <c r="AA5" s="6">
        <v>4412900</v>
      </c>
      <c r="AB5" s="6"/>
      <c r="AC5">
        <f t="shared" si="1"/>
        <v>1</v>
      </c>
    </row>
    <row r="6" spans="1:30" x14ac:dyDescent="0.2">
      <c r="A6" s="2">
        <f t="shared" si="2"/>
        <v>42491</v>
      </c>
      <c r="B6" s="8">
        <v>42492</v>
      </c>
      <c r="C6" s="9">
        <v>37.610000999999997</v>
      </c>
      <c r="D6" s="9">
        <v>39.759998000000003</v>
      </c>
      <c r="E6" s="9">
        <v>37.159999999999997</v>
      </c>
      <c r="F6" s="9">
        <v>39.57</v>
      </c>
      <c r="G6" s="9">
        <v>143500</v>
      </c>
      <c r="H6" s="9"/>
      <c r="I6">
        <f t="shared" si="0"/>
        <v>1</v>
      </c>
      <c r="L6" s="7">
        <v>42492</v>
      </c>
      <c r="M6" s="6">
        <v>2067.169922</v>
      </c>
      <c r="N6" s="6">
        <v>2103.4799800000001</v>
      </c>
      <c r="O6" s="6">
        <v>2025.910034</v>
      </c>
      <c r="P6" s="6">
        <v>2096.9499510000001</v>
      </c>
      <c r="Q6" s="6">
        <v>3971333800</v>
      </c>
      <c r="S6" s="12">
        <v>42491</v>
      </c>
      <c r="T6" s="6">
        <v>0.27</v>
      </c>
      <c r="V6" s="12">
        <v>42492</v>
      </c>
      <c r="W6" s="6">
        <v>65.989998</v>
      </c>
      <c r="X6" s="6">
        <v>70.440002000000007</v>
      </c>
      <c r="Y6" s="6">
        <v>63.610000999999997</v>
      </c>
      <c r="Z6" s="6">
        <v>63.779998999999997</v>
      </c>
      <c r="AA6" s="6">
        <v>3783200</v>
      </c>
      <c r="AB6" s="6">
        <v>0.15</v>
      </c>
      <c r="AC6">
        <f t="shared" si="1"/>
        <v>1</v>
      </c>
    </row>
    <row r="7" spans="1:30" x14ac:dyDescent="0.2">
      <c r="A7" s="2">
        <f t="shared" si="2"/>
        <v>42461</v>
      </c>
      <c r="B7" s="8">
        <v>42461</v>
      </c>
      <c r="C7" s="9">
        <v>37.840000000000003</v>
      </c>
      <c r="D7" s="9">
        <v>39.520000000000003</v>
      </c>
      <c r="E7" s="9">
        <v>36.990001999999997</v>
      </c>
      <c r="F7" s="9">
        <v>37.599997999999999</v>
      </c>
      <c r="G7" s="9">
        <v>140700</v>
      </c>
      <c r="H7" s="9">
        <v>0.16</v>
      </c>
      <c r="I7">
        <f t="shared" si="0"/>
        <v>1</v>
      </c>
      <c r="L7" s="7">
        <v>42461</v>
      </c>
      <c r="M7" s="6">
        <v>2056.6201169999999</v>
      </c>
      <c r="N7" s="6">
        <v>2111.0500489999999</v>
      </c>
      <c r="O7" s="6">
        <v>2033.8000489999999</v>
      </c>
      <c r="P7" s="6">
        <v>2065.3000489999999</v>
      </c>
      <c r="Q7" s="6">
        <v>4087129000</v>
      </c>
      <c r="S7" s="12">
        <v>42461</v>
      </c>
      <c r="T7" s="6">
        <v>0.23</v>
      </c>
      <c r="V7" s="12">
        <v>42461</v>
      </c>
      <c r="W7" s="6">
        <v>66.599997999999999</v>
      </c>
      <c r="X7" s="6">
        <v>68.839995999999999</v>
      </c>
      <c r="Y7" s="6">
        <v>62.299999</v>
      </c>
      <c r="Z7" s="6">
        <v>65.819999999999993</v>
      </c>
      <c r="AA7" s="6">
        <v>3075300</v>
      </c>
      <c r="AB7" s="6"/>
      <c r="AC7">
        <f t="shared" si="1"/>
        <v>1</v>
      </c>
    </row>
    <row r="8" spans="1:30" x14ac:dyDescent="0.2">
      <c r="A8" s="2">
        <f t="shared" si="2"/>
        <v>42430</v>
      </c>
      <c r="B8" s="8">
        <v>42430</v>
      </c>
      <c r="C8" s="9">
        <v>34.259998000000003</v>
      </c>
      <c r="D8" s="9">
        <v>38.330002</v>
      </c>
      <c r="E8" s="9">
        <v>33.970001000000003</v>
      </c>
      <c r="F8" s="9">
        <v>38.169998</v>
      </c>
      <c r="G8" s="9">
        <v>165500</v>
      </c>
      <c r="H8" s="9"/>
      <c r="I8">
        <f t="shared" si="0"/>
        <v>1</v>
      </c>
      <c r="L8" s="7">
        <v>42430</v>
      </c>
      <c r="M8" s="6">
        <v>1937.089966</v>
      </c>
      <c r="N8" s="6">
        <v>2072.209961</v>
      </c>
      <c r="O8" s="6">
        <v>1937.089966</v>
      </c>
      <c r="P8" s="6">
        <v>2059.73999</v>
      </c>
      <c r="Q8" s="6">
        <v>4379759000</v>
      </c>
      <c r="S8" s="12">
        <v>42430</v>
      </c>
      <c r="T8" s="6">
        <v>0.28999999999999998</v>
      </c>
      <c r="V8" s="12">
        <v>42430</v>
      </c>
      <c r="W8" s="6">
        <v>65.099997999999999</v>
      </c>
      <c r="X8" s="6">
        <v>68.139999000000003</v>
      </c>
      <c r="Y8" s="6">
        <v>64.379997000000003</v>
      </c>
      <c r="Z8" s="6">
        <v>66.660004000000001</v>
      </c>
      <c r="AA8" s="6">
        <v>3172500</v>
      </c>
      <c r="AB8" s="6"/>
      <c r="AC8">
        <f t="shared" si="1"/>
        <v>1</v>
      </c>
    </row>
    <row r="9" spans="1:30" x14ac:dyDescent="0.2">
      <c r="A9" s="2">
        <f t="shared" si="2"/>
        <v>42401</v>
      </c>
      <c r="B9" s="8">
        <v>42401</v>
      </c>
      <c r="C9" s="9">
        <v>32.419998</v>
      </c>
      <c r="D9" s="9">
        <v>34.759998000000003</v>
      </c>
      <c r="E9" s="9">
        <v>30.889999</v>
      </c>
      <c r="F9" s="9">
        <v>33.939999</v>
      </c>
      <c r="G9" s="9">
        <v>164100</v>
      </c>
      <c r="H9" s="9"/>
      <c r="I9">
        <f t="shared" si="0"/>
        <v>1</v>
      </c>
      <c r="L9" s="7">
        <v>42401</v>
      </c>
      <c r="M9" s="6">
        <v>1936.9399410000001</v>
      </c>
      <c r="N9" s="6">
        <v>1962.959961</v>
      </c>
      <c r="O9" s="6">
        <v>1810.099976</v>
      </c>
      <c r="P9" s="6">
        <v>1932.2299800000001</v>
      </c>
      <c r="Q9" s="6">
        <v>4881887000</v>
      </c>
      <c r="S9" s="12">
        <v>42401</v>
      </c>
      <c r="T9" s="6">
        <v>0.31</v>
      </c>
      <c r="V9" s="12">
        <v>42401</v>
      </c>
      <c r="W9" s="6">
        <v>53.450001</v>
      </c>
      <c r="X9" s="6">
        <v>66.669998000000007</v>
      </c>
      <c r="Y9" s="6">
        <v>51.73</v>
      </c>
      <c r="Z9" s="6">
        <v>64.75</v>
      </c>
      <c r="AA9" s="6">
        <v>6234100</v>
      </c>
      <c r="AB9" s="6">
        <v>0.15</v>
      </c>
      <c r="AC9">
        <f t="shared" si="1"/>
        <v>1</v>
      </c>
    </row>
    <row r="10" spans="1:30" x14ac:dyDescent="0.2">
      <c r="A10" s="2">
        <f t="shared" si="2"/>
        <v>42370</v>
      </c>
      <c r="B10" s="8">
        <v>42373</v>
      </c>
      <c r="C10" s="9">
        <v>33.740001999999997</v>
      </c>
      <c r="D10" s="9">
        <v>33.740001999999997</v>
      </c>
      <c r="E10" s="9">
        <v>30.25</v>
      </c>
      <c r="F10" s="9">
        <v>32.630001</v>
      </c>
      <c r="G10" s="9">
        <v>183300</v>
      </c>
      <c r="H10" s="9">
        <v>0.16</v>
      </c>
      <c r="I10">
        <f t="shared" si="0"/>
        <v>1</v>
      </c>
      <c r="L10" s="7">
        <v>42373</v>
      </c>
      <c r="M10" s="6">
        <v>2038.1999510000001</v>
      </c>
      <c r="N10" s="6">
        <v>2038.1999510000001</v>
      </c>
      <c r="O10" s="6">
        <v>1812.290039</v>
      </c>
      <c r="P10" s="6">
        <v>1940.23999</v>
      </c>
      <c r="Q10" s="6">
        <v>5153017800</v>
      </c>
      <c r="S10" s="12">
        <v>42370</v>
      </c>
      <c r="T10" s="6">
        <v>0.26</v>
      </c>
      <c r="V10" s="12">
        <v>42373</v>
      </c>
      <c r="W10" s="6">
        <v>52.439999</v>
      </c>
      <c r="X10" s="6">
        <v>53.950001</v>
      </c>
      <c r="Y10" s="6">
        <v>48.52</v>
      </c>
      <c r="Z10" s="6">
        <v>53.360000999999997</v>
      </c>
      <c r="AA10" s="6">
        <v>4976800</v>
      </c>
      <c r="AB10" s="6"/>
      <c r="AC10">
        <f t="shared" si="1"/>
        <v>1</v>
      </c>
    </row>
    <row r="11" spans="1:30" x14ac:dyDescent="0.2">
      <c r="A11" s="2">
        <f t="shared" si="2"/>
        <v>42339</v>
      </c>
      <c r="B11" s="8">
        <v>42339</v>
      </c>
      <c r="C11" s="9">
        <v>37.130001</v>
      </c>
      <c r="D11" s="9">
        <v>37.490001999999997</v>
      </c>
      <c r="E11" s="9">
        <v>33.490001999999997</v>
      </c>
      <c r="F11" s="9">
        <v>34.150002000000001</v>
      </c>
      <c r="G11" s="9">
        <v>154600</v>
      </c>
      <c r="H11" s="9"/>
      <c r="I11">
        <f t="shared" si="0"/>
        <v>1</v>
      </c>
      <c r="L11" s="7">
        <v>42339</v>
      </c>
      <c r="M11" s="6">
        <v>2082.929932</v>
      </c>
      <c r="N11" s="6">
        <v>2104.2700199999999</v>
      </c>
      <c r="O11" s="6">
        <v>1993.26001</v>
      </c>
      <c r="P11" s="6">
        <v>2043.9399410000001</v>
      </c>
      <c r="Q11" s="6">
        <v>3922935900</v>
      </c>
      <c r="S11" s="12">
        <v>42339</v>
      </c>
      <c r="T11" s="6">
        <v>0.23</v>
      </c>
      <c r="V11" s="12">
        <v>42339</v>
      </c>
      <c r="W11" s="6">
        <v>50.220001000000003</v>
      </c>
      <c r="X11" s="6">
        <v>54.419998</v>
      </c>
      <c r="Y11" s="6">
        <v>50.049999</v>
      </c>
      <c r="Z11" s="6">
        <v>53.330002</v>
      </c>
      <c r="AA11" s="6">
        <v>5129400</v>
      </c>
      <c r="AB11" s="6"/>
      <c r="AC11">
        <f t="shared" si="1"/>
        <v>1</v>
      </c>
    </row>
    <row r="12" spans="1:30" x14ac:dyDescent="0.2">
      <c r="A12" s="2">
        <f t="shared" si="2"/>
        <v>42309</v>
      </c>
      <c r="B12" s="8">
        <v>42310</v>
      </c>
      <c r="C12" s="9">
        <v>38.07</v>
      </c>
      <c r="D12" s="9">
        <v>38.439999</v>
      </c>
      <c r="E12" s="9">
        <v>36.970001000000003</v>
      </c>
      <c r="F12" s="9">
        <v>37.130001</v>
      </c>
      <c r="G12" s="9">
        <v>176100</v>
      </c>
      <c r="H12" s="9"/>
      <c r="I12">
        <f t="shared" si="0"/>
        <v>1</v>
      </c>
      <c r="L12" s="7">
        <v>42310</v>
      </c>
      <c r="M12" s="6">
        <v>2080.76001</v>
      </c>
      <c r="N12" s="6">
        <v>2116.4799800000001</v>
      </c>
      <c r="O12" s="6">
        <v>2019.3900149999999</v>
      </c>
      <c r="P12" s="6">
        <v>2080.4099120000001</v>
      </c>
      <c r="Q12" s="6">
        <v>4007931000</v>
      </c>
      <c r="S12" s="12">
        <v>42309</v>
      </c>
      <c r="T12" s="6">
        <v>0.12</v>
      </c>
      <c r="V12" s="12">
        <v>42310</v>
      </c>
      <c r="W12" s="6">
        <v>44.459999000000003</v>
      </c>
      <c r="X12" s="6">
        <v>50.759998000000003</v>
      </c>
      <c r="Y12" s="6">
        <v>42.889999000000003</v>
      </c>
      <c r="Z12" s="6">
        <v>50</v>
      </c>
      <c r="AA12" s="6">
        <v>5415000</v>
      </c>
      <c r="AB12" s="6">
        <v>0.15</v>
      </c>
      <c r="AC12">
        <f t="shared" si="1"/>
        <v>1</v>
      </c>
    </row>
    <row r="13" spans="1:30" x14ac:dyDescent="0.2">
      <c r="A13" s="2">
        <f t="shared" si="2"/>
        <v>42278</v>
      </c>
      <c r="B13" s="8">
        <v>42278</v>
      </c>
      <c r="C13" s="9">
        <v>33.549999</v>
      </c>
      <c r="D13" s="9">
        <v>38.450001</v>
      </c>
      <c r="E13" s="9">
        <v>33.139999000000003</v>
      </c>
      <c r="F13" s="9">
        <v>37.979999999999997</v>
      </c>
      <c r="G13" s="9">
        <v>180300</v>
      </c>
      <c r="H13" s="9"/>
      <c r="I13">
        <f t="shared" si="0"/>
        <v>1</v>
      </c>
      <c r="L13" s="7">
        <v>42278</v>
      </c>
      <c r="M13" s="6">
        <v>1919.650024</v>
      </c>
      <c r="N13" s="6">
        <v>2094.320068</v>
      </c>
      <c r="O13" s="6">
        <v>1893.6999510000001</v>
      </c>
      <c r="P13" s="6">
        <v>2079.360107</v>
      </c>
      <c r="Q13" s="6">
        <v>4095504500</v>
      </c>
      <c r="S13" s="12">
        <v>42278</v>
      </c>
      <c r="T13" s="6">
        <v>0.02</v>
      </c>
      <c r="V13" s="12">
        <v>42278</v>
      </c>
      <c r="W13" s="6">
        <v>43.27</v>
      </c>
      <c r="X13" s="6">
        <v>47.709999000000003</v>
      </c>
      <c r="Y13" s="6">
        <v>42.779998999999997</v>
      </c>
      <c r="Z13" s="6">
        <v>44.360000999999997</v>
      </c>
      <c r="AA13" s="6">
        <v>4622300</v>
      </c>
      <c r="AB13" s="6"/>
      <c r="AC13">
        <f t="shared" si="1"/>
        <v>1</v>
      </c>
    </row>
    <row r="14" spans="1:30" x14ac:dyDescent="0.2">
      <c r="A14" s="2">
        <f t="shared" si="2"/>
        <v>42248</v>
      </c>
      <c r="B14" s="8">
        <v>42248</v>
      </c>
      <c r="C14" s="9">
        <v>34.310001</v>
      </c>
      <c r="D14" s="9">
        <v>35.75</v>
      </c>
      <c r="E14" s="9">
        <v>32.830002</v>
      </c>
      <c r="F14" s="9">
        <v>33.490001999999997</v>
      </c>
      <c r="G14" s="9">
        <v>188200</v>
      </c>
      <c r="H14" s="9">
        <v>0.16</v>
      </c>
      <c r="I14">
        <f t="shared" si="0"/>
        <v>1</v>
      </c>
      <c r="L14" s="7">
        <v>42248</v>
      </c>
      <c r="M14" s="6">
        <v>1970.089966</v>
      </c>
      <c r="N14" s="6">
        <v>2020.8599850000001</v>
      </c>
      <c r="O14" s="6">
        <v>1871.910034</v>
      </c>
      <c r="P14" s="6">
        <v>1920.030029</v>
      </c>
      <c r="Q14" s="6">
        <v>4024497100</v>
      </c>
      <c r="S14" s="12">
        <v>42248</v>
      </c>
      <c r="T14" s="6">
        <v>0.02</v>
      </c>
      <c r="V14" s="12">
        <v>42248</v>
      </c>
      <c r="W14" s="6">
        <v>41.369999</v>
      </c>
      <c r="X14" s="6">
        <v>44.139999000000003</v>
      </c>
      <c r="Y14" s="6">
        <v>41.150002000000001</v>
      </c>
      <c r="Z14" s="6">
        <v>43.099997999999999</v>
      </c>
      <c r="AA14" s="6">
        <v>3803600</v>
      </c>
      <c r="AB14" s="6"/>
      <c r="AC14">
        <f t="shared" si="1"/>
        <v>1</v>
      </c>
    </row>
    <row r="15" spans="1:30" x14ac:dyDescent="0.2">
      <c r="A15" s="2">
        <f t="shared" si="2"/>
        <v>42217</v>
      </c>
      <c r="B15" s="8">
        <v>42219</v>
      </c>
      <c r="C15" s="9">
        <v>35.770000000000003</v>
      </c>
      <c r="D15" s="9">
        <v>37.090000000000003</v>
      </c>
      <c r="E15" s="9">
        <v>33.549999</v>
      </c>
      <c r="F15" s="9">
        <v>34.909999999999997</v>
      </c>
      <c r="G15" s="9">
        <v>137400</v>
      </c>
      <c r="H15" s="9"/>
      <c r="I15">
        <f t="shared" si="0"/>
        <v>1</v>
      </c>
      <c r="L15" s="7">
        <v>42219</v>
      </c>
      <c r="M15" s="6">
        <v>2104.48999</v>
      </c>
      <c r="N15" s="6">
        <v>2112.6599120000001</v>
      </c>
      <c r="O15" s="6">
        <v>1867.01001</v>
      </c>
      <c r="P15" s="6">
        <v>1972.1800539999999</v>
      </c>
      <c r="Q15" s="6">
        <v>4216280400</v>
      </c>
      <c r="S15" s="12">
        <v>42217</v>
      </c>
      <c r="T15" s="6">
        <v>7.0000000000000007E-2</v>
      </c>
      <c r="V15" s="12">
        <v>42219</v>
      </c>
      <c r="W15" s="6">
        <v>40.009998000000003</v>
      </c>
      <c r="X15" s="6">
        <v>43.860000999999997</v>
      </c>
      <c r="Y15" s="6">
        <v>39.049999</v>
      </c>
      <c r="Z15" s="6">
        <v>42.279998999999997</v>
      </c>
      <c r="AA15" s="6">
        <v>6355900</v>
      </c>
      <c r="AB15" s="6">
        <v>0.1</v>
      </c>
      <c r="AC15">
        <f t="shared" si="1"/>
        <v>1</v>
      </c>
    </row>
    <row r="16" spans="1:30" x14ac:dyDescent="0.2">
      <c r="A16" s="2">
        <f t="shared" si="2"/>
        <v>42186</v>
      </c>
      <c r="B16" s="8">
        <v>42186</v>
      </c>
      <c r="C16" s="9">
        <v>34.360000999999997</v>
      </c>
      <c r="D16" s="9">
        <v>36.119999</v>
      </c>
      <c r="E16" s="9">
        <v>33.330002</v>
      </c>
      <c r="F16" s="9">
        <v>35.82</v>
      </c>
      <c r="G16" s="9">
        <v>194500</v>
      </c>
      <c r="H16" s="9"/>
      <c r="I16">
        <f t="shared" si="0"/>
        <v>1</v>
      </c>
      <c r="L16" s="7">
        <v>42186</v>
      </c>
      <c r="M16" s="6">
        <v>2067</v>
      </c>
      <c r="N16" s="6">
        <v>2132.820068</v>
      </c>
      <c r="O16" s="6">
        <v>2044.0200199999999</v>
      </c>
      <c r="P16" s="6">
        <v>2103.8400879999999</v>
      </c>
      <c r="Q16" s="6">
        <v>3709178600</v>
      </c>
      <c r="S16" s="12">
        <v>42186</v>
      </c>
      <c r="T16" s="6">
        <v>0.03</v>
      </c>
      <c r="V16" s="12">
        <v>42186</v>
      </c>
      <c r="W16" s="6">
        <v>42.810001</v>
      </c>
      <c r="X16" s="6">
        <v>44.779998999999997</v>
      </c>
      <c r="Y16" s="6">
        <v>42</v>
      </c>
      <c r="Z16" s="6">
        <v>44.349997999999999</v>
      </c>
      <c r="AA16" s="6">
        <v>3674900</v>
      </c>
      <c r="AB16" s="6"/>
      <c r="AC16">
        <f t="shared" si="1"/>
        <v>1</v>
      </c>
    </row>
    <row r="17" spans="1:29" x14ac:dyDescent="0.2">
      <c r="A17" s="2">
        <f t="shared" si="2"/>
        <v>42156</v>
      </c>
      <c r="B17" s="8">
        <v>42156</v>
      </c>
      <c r="C17" s="9">
        <v>34.159999999999997</v>
      </c>
      <c r="D17" s="9">
        <v>35</v>
      </c>
      <c r="E17" s="9">
        <v>33.459999000000003</v>
      </c>
      <c r="F17" s="9">
        <v>34</v>
      </c>
      <c r="G17" s="9">
        <v>230700</v>
      </c>
      <c r="H17" s="9">
        <v>0.16</v>
      </c>
      <c r="I17">
        <f t="shared" si="0"/>
        <v>1</v>
      </c>
      <c r="L17" s="7">
        <v>42156</v>
      </c>
      <c r="M17" s="6">
        <v>2108.639893</v>
      </c>
      <c r="N17" s="6">
        <v>2129.8701169999999</v>
      </c>
      <c r="O17" s="6">
        <v>2056.320068</v>
      </c>
      <c r="P17" s="6">
        <v>2063.110107</v>
      </c>
      <c r="Q17" s="6">
        <v>3513296300</v>
      </c>
      <c r="S17" s="12">
        <v>42156</v>
      </c>
      <c r="T17" s="6">
        <v>0.02</v>
      </c>
      <c r="V17" s="12">
        <v>42156</v>
      </c>
      <c r="W17" s="6">
        <v>42.529998999999997</v>
      </c>
      <c r="X17" s="6">
        <v>45.099997999999999</v>
      </c>
      <c r="Y17" s="6">
        <v>40.709999000000003</v>
      </c>
      <c r="Z17" s="6">
        <v>42.630001</v>
      </c>
      <c r="AA17" s="6">
        <v>3633300</v>
      </c>
      <c r="AB17" s="6"/>
      <c r="AC17">
        <f t="shared" si="1"/>
        <v>1</v>
      </c>
    </row>
    <row r="18" spans="1:29" x14ac:dyDescent="0.2">
      <c r="A18" s="2">
        <f t="shared" si="2"/>
        <v>42125</v>
      </c>
      <c r="B18" s="8">
        <v>42125</v>
      </c>
      <c r="C18" s="9">
        <v>32.759998000000003</v>
      </c>
      <c r="D18" s="9">
        <v>34.68</v>
      </c>
      <c r="E18" s="9">
        <v>32.759998000000003</v>
      </c>
      <c r="F18" s="9">
        <v>33.919998</v>
      </c>
      <c r="G18" s="9">
        <v>164200</v>
      </c>
      <c r="H18" s="9"/>
      <c r="I18">
        <f t="shared" si="0"/>
        <v>1</v>
      </c>
      <c r="L18" s="7">
        <v>42125</v>
      </c>
      <c r="M18" s="6">
        <v>2087.3798830000001</v>
      </c>
      <c r="N18" s="6">
        <v>2134.719971</v>
      </c>
      <c r="O18" s="6">
        <v>2067.929932</v>
      </c>
      <c r="P18" s="6">
        <v>2107.389893</v>
      </c>
      <c r="Q18" s="6">
        <v>3455756000</v>
      </c>
      <c r="S18" s="12">
        <v>42125</v>
      </c>
      <c r="T18" s="6">
        <v>0.02</v>
      </c>
      <c r="V18" s="12">
        <v>42125</v>
      </c>
      <c r="W18" s="6">
        <v>39.560001</v>
      </c>
      <c r="X18" s="6">
        <v>43.799999</v>
      </c>
      <c r="Y18" s="6">
        <v>39.340000000000003</v>
      </c>
      <c r="Z18" s="6">
        <v>42.450001</v>
      </c>
      <c r="AA18" s="6">
        <v>4321000</v>
      </c>
      <c r="AB18" s="6">
        <v>0.1</v>
      </c>
      <c r="AC18">
        <f t="shared" si="1"/>
        <v>1</v>
      </c>
    </row>
    <row r="19" spans="1:29" x14ac:dyDescent="0.2">
      <c r="A19" s="2">
        <f t="shared" si="2"/>
        <v>42095</v>
      </c>
      <c r="B19" s="8">
        <v>42095</v>
      </c>
      <c r="C19" s="9">
        <v>37.25</v>
      </c>
      <c r="D19" s="9">
        <v>37.549999</v>
      </c>
      <c r="E19" s="9">
        <v>32.590000000000003</v>
      </c>
      <c r="F19" s="9">
        <v>32.779998999999997</v>
      </c>
      <c r="G19" s="9">
        <v>310000</v>
      </c>
      <c r="H19" s="9"/>
      <c r="I19">
        <f t="shared" si="0"/>
        <v>1</v>
      </c>
      <c r="L19" s="7">
        <v>42095</v>
      </c>
      <c r="M19" s="6">
        <v>2067.6298830000001</v>
      </c>
      <c r="N19" s="6">
        <v>2125.919922</v>
      </c>
      <c r="O19" s="6">
        <v>2048.3798830000001</v>
      </c>
      <c r="P19" s="6">
        <v>2085.51001</v>
      </c>
      <c r="Q19" s="6">
        <v>3521458000</v>
      </c>
      <c r="S19" s="12">
        <v>42095</v>
      </c>
      <c r="T19" s="6">
        <v>0.02</v>
      </c>
      <c r="V19" s="12">
        <v>42095</v>
      </c>
      <c r="W19" s="6">
        <v>38.150002000000001</v>
      </c>
      <c r="X19" s="6">
        <v>40</v>
      </c>
      <c r="Y19" s="6">
        <v>37.240001999999997</v>
      </c>
      <c r="Z19" s="6">
        <v>39.5</v>
      </c>
      <c r="AA19" s="6">
        <v>3607500</v>
      </c>
      <c r="AB19" s="6"/>
      <c r="AC19">
        <f t="shared" si="1"/>
        <v>1</v>
      </c>
    </row>
    <row r="20" spans="1:29" x14ac:dyDescent="0.2">
      <c r="A20" s="2">
        <f t="shared" si="2"/>
        <v>42064</v>
      </c>
      <c r="B20" s="8">
        <v>42065</v>
      </c>
      <c r="C20" s="9">
        <v>36.130001</v>
      </c>
      <c r="D20" s="9">
        <v>38.200001</v>
      </c>
      <c r="E20" s="9">
        <v>34.900002000000001</v>
      </c>
      <c r="F20" s="9">
        <v>37.369999</v>
      </c>
      <c r="G20" s="9">
        <v>240900</v>
      </c>
      <c r="H20" s="9">
        <v>0.14000000000000001</v>
      </c>
      <c r="I20">
        <f t="shared" si="0"/>
        <v>1</v>
      </c>
      <c r="L20" s="7">
        <v>42065</v>
      </c>
      <c r="M20" s="6">
        <v>2105.2299800000001</v>
      </c>
      <c r="N20" s="6">
        <v>2117.5200199999999</v>
      </c>
      <c r="O20" s="6">
        <v>2039.6899410000001</v>
      </c>
      <c r="P20" s="6">
        <v>2067.889893</v>
      </c>
      <c r="Q20" s="6">
        <v>3638745400</v>
      </c>
      <c r="S20" s="12">
        <v>42064</v>
      </c>
      <c r="T20" s="6">
        <v>0.03</v>
      </c>
      <c r="V20" s="12">
        <v>42065</v>
      </c>
      <c r="W20" s="6">
        <v>41.310001</v>
      </c>
      <c r="X20" s="6">
        <v>42.41</v>
      </c>
      <c r="Y20" s="6">
        <v>37.099997999999999</v>
      </c>
      <c r="Z20" s="6">
        <v>38.299999</v>
      </c>
      <c r="AA20" s="6">
        <v>5292100</v>
      </c>
      <c r="AB20" s="6"/>
      <c r="AC20">
        <f t="shared" si="1"/>
        <v>1</v>
      </c>
    </row>
    <row r="21" spans="1:29" x14ac:dyDescent="0.2">
      <c r="A21" s="2">
        <f t="shared" si="2"/>
        <v>42036</v>
      </c>
      <c r="B21" s="8">
        <v>42037</v>
      </c>
      <c r="C21" s="9">
        <v>32.770000000000003</v>
      </c>
      <c r="D21" s="9">
        <v>36.529998999999997</v>
      </c>
      <c r="E21" s="9">
        <v>32.330002</v>
      </c>
      <c r="F21" s="9">
        <v>36.200001</v>
      </c>
      <c r="G21" s="9">
        <v>232900</v>
      </c>
      <c r="H21" s="9"/>
      <c r="I21">
        <f t="shared" si="0"/>
        <v>1</v>
      </c>
      <c r="L21" s="7">
        <v>42037</v>
      </c>
      <c r="M21" s="6">
        <v>1996.670044</v>
      </c>
      <c r="N21" s="6">
        <v>2119.5900879999999</v>
      </c>
      <c r="O21" s="6">
        <v>1980.900024</v>
      </c>
      <c r="P21" s="6">
        <v>2104.5</v>
      </c>
      <c r="Q21" s="6">
        <v>3806470500</v>
      </c>
      <c r="S21" s="12">
        <v>42036</v>
      </c>
      <c r="T21" s="6">
        <v>0.02</v>
      </c>
      <c r="V21" s="12">
        <v>42037</v>
      </c>
      <c r="W21" s="6">
        <v>39.040000999999997</v>
      </c>
      <c r="X21" s="6">
        <v>41.82</v>
      </c>
      <c r="Y21" s="6">
        <v>38.509998000000003</v>
      </c>
      <c r="Z21" s="6">
        <v>41.310001</v>
      </c>
      <c r="AA21" s="6">
        <v>3629300</v>
      </c>
      <c r="AB21" s="6">
        <v>0.1</v>
      </c>
      <c r="AC21">
        <f t="shared" si="1"/>
        <v>1</v>
      </c>
    </row>
    <row r="22" spans="1:29" x14ac:dyDescent="0.2">
      <c r="A22" s="2">
        <f t="shared" si="2"/>
        <v>42005</v>
      </c>
      <c r="B22" s="8">
        <v>42006</v>
      </c>
      <c r="C22" s="9">
        <v>34.68</v>
      </c>
      <c r="D22" s="9">
        <v>34.970001000000003</v>
      </c>
      <c r="E22" s="9">
        <v>31.16</v>
      </c>
      <c r="F22" s="9">
        <v>32.639999000000003</v>
      </c>
      <c r="G22" s="9">
        <v>192200</v>
      </c>
      <c r="H22" s="9">
        <v>0.14000000000000001</v>
      </c>
      <c r="I22">
        <f t="shared" si="0"/>
        <v>1</v>
      </c>
      <c r="L22" s="7">
        <v>42006</v>
      </c>
      <c r="M22" s="6">
        <v>2058.8999020000001</v>
      </c>
      <c r="N22" s="6">
        <v>2072.360107</v>
      </c>
      <c r="O22" s="6">
        <v>1988.119995</v>
      </c>
      <c r="P22" s="6">
        <v>1994.98999</v>
      </c>
      <c r="Q22" s="6">
        <v>4091934500</v>
      </c>
      <c r="S22" s="12">
        <v>42005</v>
      </c>
      <c r="T22" s="6">
        <v>0.03</v>
      </c>
      <c r="V22" s="12">
        <v>42006</v>
      </c>
      <c r="W22" s="6">
        <v>40.090000000000003</v>
      </c>
      <c r="X22" s="6">
        <v>42</v>
      </c>
      <c r="Y22" s="6">
        <v>38.389999000000003</v>
      </c>
      <c r="Z22" s="6">
        <v>39.040000999999997</v>
      </c>
      <c r="AA22" s="6">
        <v>5342400</v>
      </c>
      <c r="AB22" s="6"/>
      <c r="AC22">
        <f t="shared" si="1"/>
        <v>1</v>
      </c>
    </row>
    <row r="23" spans="1:29" x14ac:dyDescent="0.2">
      <c r="A23" s="2">
        <f t="shared" si="2"/>
        <v>41974</v>
      </c>
      <c r="B23" s="8">
        <v>41974</v>
      </c>
      <c r="C23" s="9">
        <v>33.130001</v>
      </c>
      <c r="D23" s="9">
        <v>35.549999</v>
      </c>
      <c r="E23" s="9">
        <v>32.490001999999997</v>
      </c>
      <c r="F23" s="9">
        <v>34.599997999999999</v>
      </c>
      <c r="G23" s="9">
        <v>192900</v>
      </c>
      <c r="H23" s="9"/>
      <c r="I23">
        <f t="shared" si="0"/>
        <v>1</v>
      </c>
      <c r="L23" s="7">
        <v>41974</v>
      </c>
      <c r="M23" s="6">
        <v>2065.780029</v>
      </c>
      <c r="N23" s="6">
        <v>2093.5500489999999</v>
      </c>
      <c r="O23" s="6">
        <v>1972.5600589999999</v>
      </c>
      <c r="P23" s="6">
        <v>2058.8999020000001</v>
      </c>
      <c r="Q23" s="6">
        <v>3788631300</v>
      </c>
      <c r="S23" s="12">
        <v>41974</v>
      </c>
      <c r="T23" s="6">
        <v>0.03</v>
      </c>
      <c r="V23" s="12">
        <v>41974</v>
      </c>
      <c r="W23" s="6">
        <v>42.139999000000003</v>
      </c>
      <c r="X23" s="6">
        <v>42.529998999999997</v>
      </c>
      <c r="Y23" s="6">
        <v>38.25</v>
      </c>
      <c r="Z23" s="6">
        <v>40.090000000000003</v>
      </c>
      <c r="AA23" s="6">
        <v>5253600</v>
      </c>
      <c r="AB23" s="6"/>
      <c r="AC23">
        <f t="shared" si="1"/>
        <v>1</v>
      </c>
    </row>
    <row r="24" spans="1:29" x14ac:dyDescent="0.2">
      <c r="A24" s="2">
        <f t="shared" si="2"/>
        <v>41944</v>
      </c>
      <c r="B24" s="8">
        <v>41946</v>
      </c>
      <c r="C24" s="9">
        <v>33.07</v>
      </c>
      <c r="D24" s="9">
        <v>33.889999000000003</v>
      </c>
      <c r="E24" s="9">
        <v>31.940000999999999</v>
      </c>
      <c r="F24" s="9">
        <v>33.200001</v>
      </c>
      <c r="G24" s="9">
        <v>132500</v>
      </c>
      <c r="H24" s="9"/>
      <c r="I24">
        <f t="shared" si="0"/>
        <v>1</v>
      </c>
      <c r="L24" s="7">
        <v>41946</v>
      </c>
      <c r="M24" s="6">
        <v>2018.209961</v>
      </c>
      <c r="N24" s="6">
        <v>2075.76001</v>
      </c>
      <c r="O24" s="6">
        <v>2001.01001</v>
      </c>
      <c r="P24" s="6">
        <v>2067.5600589999999</v>
      </c>
      <c r="Q24" s="6">
        <v>3479201500</v>
      </c>
      <c r="S24" s="12">
        <v>41944</v>
      </c>
      <c r="T24" s="6">
        <v>0.02</v>
      </c>
      <c r="V24" s="12">
        <v>41946</v>
      </c>
      <c r="W24" s="6">
        <v>40.349997999999999</v>
      </c>
      <c r="X24" s="6">
        <v>43.369999</v>
      </c>
      <c r="Y24" s="6">
        <v>39.619999</v>
      </c>
      <c r="Z24" s="6">
        <v>42.34</v>
      </c>
      <c r="AA24" s="6">
        <v>4536300</v>
      </c>
      <c r="AB24" s="6">
        <v>0.1</v>
      </c>
      <c r="AC24">
        <f t="shared" si="1"/>
        <v>1</v>
      </c>
    </row>
    <row r="25" spans="1:29" x14ac:dyDescent="0.2">
      <c r="A25" s="2">
        <f t="shared" si="2"/>
        <v>41913</v>
      </c>
      <c r="B25" s="8">
        <v>41913</v>
      </c>
      <c r="C25" s="9">
        <v>29.129999000000002</v>
      </c>
      <c r="D25" s="9">
        <v>33.43</v>
      </c>
      <c r="E25" s="9">
        <v>28.799999</v>
      </c>
      <c r="F25" s="9">
        <v>33.080002</v>
      </c>
      <c r="G25" s="9">
        <v>203400</v>
      </c>
      <c r="H25" s="9"/>
      <c r="I25">
        <f t="shared" si="0"/>
        <v>1</v>
      </c>
      <c r="L25" s="7">
        <v>41913</v>
      </c>
      <c r="M25" s="6">
        <v>1971.4399410000001</v>
      </c>
      <c r="N25" s="6">
        <v>2018.1899410000001</v>
      </c>
      <c r="O25" s="6">
        <v>1820.660034</v>
      </c>
      <c r="P25" s="6">
        <v>2018.0500489999999</v>
      </c>
      <c r="Q25" s="6">
        <v>4260310800</v>
      </c>
      <c r="S25" s="12">
        <v>41913</v>
      </c>
      <c r="T25" s="6">
        <v>0.02</v>
      </c>
      <c r="V25" s="12">
        <v>41913</v>
      </c>
      <c r="W25" s="6">
        <v>39.82</v>
      </c>
      <c r="X25" s="6">
        <v>42.099997999999999</v>
      </c>
      <c r="Y25" s="6">
        <v>37.020000000000003</v>
      </c>
      <c r="Z25" s="6">
        <v>40.349997999999999</v>
      </c>
      <c r="AA25" s="6">
        <v>4407800</v>
      </c>
      <c r="AB25" s="6"/>
      <c r="AC25">
        <f t="shared" si="1"/>
        <v>1</v>
      </c>
    </row>
    <row r="26" spans="1:29" x14ac:dyDescent="0.2">
      <c r="A26" s="2">
        <f t="shared" si="2"/>
        <v>41883</v>
      </c>
      <c r="B26" s="8">
        <v>41884</v>
      </c>
      <c r="C26" s="9">
        <v>32.5</v>
      </c>
      <c r="D26" s="9">
        <v>32.849997999999999</v>
      </c>
      <c r="E26" s="9">
        <v>29.049999</v>
      </c>
      <c r="F26" s="9">
        <v>29.15</v>
      </c>
      <c r="G26" s="9">
        <v>177500</v>
      </c>
      <c r="H26" s="9">
        <v>0.14000000000000001</v>
      </c>
      <c r="I26">
        <f t="shared" si="0"/>
        <v>1</v>
      </c>
      <c r="L26" s="7">
        <v>41884</v>
      </c>
      <c r="M26" s="6">
        <v>2004.0699460000001</v>
      </c>
      <c r="N26" s="6">
        <v>2019.26001</v>
      </c>
      <c r="O26" s="6">
        <v>1964.040039</v>
      </c>
      <c r="P26" s="6">
        <v>1972.290039</v>
      </c>
      <c r="Q26" s="6">
        <v>3364623800</v>
      </c>
      <c r="S26" s="12">
        <v>41883</v>
      </c>
      <c r="T26" s="6">
        <v>0.02</v>
      </c>
      <c r="V26" s="12">
        <v>41884</v>
      </c>
      <c r="W26" s="6">
        <v>38.139999000000003</v>
      </c>
      <c r="X26" s="6">
        <v>39.869999</v>
      </c>
      <c r="Y26" s="6">
        <v>37.139999000000003</v>
      </c>
      <c r="Z26" s="6">
        <v>39.369999</v>
      </c>
      <c r="AA26" s="6">
        <v>3871000</v>
      </c>
      <c r="AB26" s="6"/>
      <c r="AC26">
        <f t="shared" si="1"/>
        <v>1</v>
      </c>
    </row>
    <row r="27" spans="1:29" x14ac:dyDescent="0.2">
      <c r="A27" s="2">
        <f t="shared" si="2"/>
        <v>41852</v>
      </c>
      <c r="B27" s="8">
        <v>41852</v>
      </c>
      <c r="C27" s="9">
        <v>30.459999</v>
      </c>
      <c r="D27" s="9">
        <v>33.279998999999997</v>
      </c>
      <c r="E27" s="9">
        <v>30.190000999999999</v>
      </c>
      <c r="F27" s="9">
        <v>32.32</v>
      </c>
      <c r="G27" s="9">
        <v>154400</v>
      </c>
      <c r="H27" s="9"/>
      <c r="I27">
        <f t="shared" si="0"/>
        <v>1</v>
      </c>
      <c r="L27" s="7">
        <v>41852</v>
      </c>
      <c r="M27" s="6">
        <v>1929.8000489999999</v>
      </c>
      <c r="N27" s="6">
        <v>2005.040039</v>
      </c>
      <c r="O27" s="6">
        <v>1904.780029</v>
      </c>
      <c r="P27" s="6">
        <v>2003.369995</v>
      </c>
      <c r="Q27" s="6">
        <v>2875718500</v>
      </c>
      <c r="S27" s="12">
        <v>41852</v>
      </c>
      <c r="T27" s="6">
        <v>0.03</v>
      </c>
      <c r="V27" s="12">
        <v>41852</v>
      </c>
      <c r="W27" s="6">
        <v>37.099997999999999</v>
      </c>
      <c r="X27" s="6">
        <v>38.200001</v>
      </c>
      <c r="Y27" s="6">
        <v>36.119999</v>
      </c>
      <c r="Z27" s="6">
        <v>38.060001</v>
      </c>
      <c r="AA27" s="6">
        <v>4337800</v>
      </c>
      <c r="AB27" s="6">
        <v>7.4999999999999997E-2</v>
      </c>
      <c r="AC27">
        <f t="shared" si="1"/>
        <v>1</v>
      </c>
    </row>
    <row r="28" spans="1:29" x14ac:dyDescent="0.2">
      <c r="A28" s="2">
        <f t="shared" si="2"/>
        <v>41821</v>
      </c>
      <c r="B28" s="8">
        <v>41821</v>
      </c>
      <c r="C28" s="9">
        <v>36.200001</v>
      </c>
      <c r="D28" s="9">
        <v>37.259998000000003</v>
      </c>
      <c r="E28" s="9">
        <v>30.25</v>
      </c>
      <c r="F28" s="9">
        <v>30.41</v>
      </c>
      <c r="G28" s="9">
        <v>159700</v>
      </c>
      <c r="H28" s="9">
        <v>0.14000000000000001</v>
      </c>
      <c r="I28">
        <f t="shared" si="0"/>
        <v>1</v>
      </c>
      <c r="L28" s="7">
        <v>41821</v>
      </c>
      <c r="M28" s="6">
        <v>1962.290039</v>
      </c>
      <c r="N28" s="6">
        <v>1991.3900149999999</v>
      </c>
      <c r="O28" s="6">
        <v>1930.670044</v>
      </c>
      <c r="P28" s="6">
        <v>1930.670044</v>
      </c>
      <c r="Q28" s="6">
        <v>3214440400</v>
      </c>
      <c r="S28" s="12">
        <v>41821</v>
      </c>
      <c r="T28" s="6">
        <v>0.03</v>
      </c>
      <c r="V28" s="12">
        <v>41821</v>
      </c>
      <c r="W28" s="6">
        <v>37.5</v>
      </c>
      <c r="X28" s="6">
        <v>41.880001</v>
      </c>
      <c r="Y28" s="6">
        <v>37.099997999999999</v>
      </c>
      <c r="Z28" s="6">
        <v>37.209999000000003</v>
      </c>
      <c r="AA28" s="6">
        <v>6638900</v>
      </c>
      <c r="AB28" s="6"/>
      <c r="AC28">
        <f t="shared" si="1"/>
        <v>1</v>
      </c>
    </row>
    <row r="29" spans="1:29" x14ac:dyDescent="0.2">
      <c r="A29" s="2">
        <f t="shared" si="2"/>
        <v>41791</v>
      </c>
      <c r="B29" s="8">
        <v>41792</v>
      </c>
      <c r="C29" s="9">
        <v>33.25</v>
      </c>
      <c r="D29" s="9">
        <v>37.090000000000003</v>
      </c>
      <c r="E29" s="9">
        <v>32.220001000000003</v>
      </c>
      <c r="F29" s="9">
        <v>36.360000999999997</v>
      </c>
      <c r="G29" s="9">
        <v>240100</v>
      </c>
      <c r="H29" s="9"/>
      <c r="I29">
        <f t="shared" si="0"/>
        <v>1</v>
      </c>
      <c r="L29" s="7">
        <v>41792</v>
      </c>
      <c r="M29" s="6">
        <v>1923.869995</v>
      </c>
      <c r="N29" s="6">
        <v>1968.170044</v>
      </c>
      <c r="O29" s="6">
        <v>1915.9799800000001</v>
      </c>
      <c r="P29" s="6">
        <v>1960.2299800000001</v>
      </c>
      <c r="Q29" s="6">
        <v>3158130000</v>
      </c>
      <c r="S29" s="12">
        <v>41791</v>
      </c>
      <c r="T29" s="6">
        <v>0.04</v>
      </c>
      <c r="V29" s="12">
        <v>41792</v>
      </c>
      <c r="W29" s="6">
        <v>42.560001</v>
      </c>
      <c r="X29" s="6">
        <v>43.630001</v>
      </c>
      <c r="Y29" s="6">
        <v>34.900002000000001</v>
      </c>
      <c r="Z29" s="6">
        <v>37.540000999999997</v>
      </c>
      <c r="AA29" s="6">
        <v>6162200</v>
      </c>
      <c r="AB29" s="6"/>
      <c r="AC29">
        <f t="shared" si="1"/>
        <v>1</v>
      </c>
    </row>
    <row r="30" spans="1:29" x14ac:dyDescent="0.2">
      <c r="A30" s="2">
        <f t="shared" si="2"/>
        <v>41760</v>
      </c>
      <c r="B30" s="8">
        <v>41760</v>
      </c>
      <c r="C30" s="9">
        <v>32.700001</v>
      </c>
      <c r="D30" s="9">
        <v>34.909999999999997</v>
      </c>
      <c r="E30" s="9">
        <v>31.4</v>
      </c>
      <c r="F30" s="9">
        <v>33.259998000000003</v>
      </c>
      <c r="G30" s="9">
        <v>210700</v>
      </c>
      <c r="H30" s="9"/>
      <c r="I30">
        <f t="shared" si="0"/>
        <v>1</v>
      </c>
      <c r="L30" s="7">
        <v>41760</v>
      </c>
      <c r="M30" s="6">
        <v>1884.3900149999999</v>
      </c>
      <c r="N30" s="6">
        <v>1924.030029</v>
      </c>
      <c r="O30" s="6">
        <v>1859.790039</v>
      </c>
      <c r="P30" s="6">
        <v>1923.5699460000001</v>
      </c>
      <c r="Q30" s="6">
        <v>3185100900</v>
      </c>
      <c r="S30" s="12">
        <v>41760</v>
      </c>
      <c r="T30" s="6">
        <v>0.03</v>
      </c>
      <c r="V30" s="12">
        <v>41760</v>
      </c>
      <c r="W30" s="6">
        <v>42.240001999999997</v>
      </c>
      <c r="X30" s="6">
        <v>44</v>
      </c>
      <c r="Y30" s="6">
        <v>38</v>
      </c>
      <c r="Z30" s="6">
        <v>42.459999000000003</v>
      </c>
      <c r="AA30" s="6">
        <v>4298800</v>
      </c>
      <c r="AB30" s="6">
        <v>7.4999999999999997E-2</v>
      </c>
      <c r="AC30">
        <f t="shared" si="1"/>
        <v>1</v>
      </c>
    </row>
    <row r="31" spans="1:29" x14ac:dyDescent="0.2">
      <c r="A31" s="2">
        <f t="shared" si="2"/>
        <v>41730</v>
      </c>
      <c r="B31" s="8">
        <v>41730</v>
      </c>
      <c r="C31" s="9">
        <v>35.279998999999997</v>
      </c>
      <c r="D31" s="9">
        <v>35.740001999999997</v>
      </c>
      <c r="E31" s="9">
        <v>31.719999000000001</v>
      </c>
      <c r="F31" s="9">
        <v>32.790000999999997</v>
      </c>
      <c r="G31" s="9">
        <v>154100</v>
      </c>
      <c r="H31" s="9">
        <v>0.125</v>
      </c>
      <c r="I31">
        <f t="shared" si="0"/>
        <v>1</v>
      </c>
      <c r="L31" s="7">
        <v>41730</v>
      </c>
      <c r="M31" s="6">
        <v>1873.959961</v>
      </c>
      <c r="N31" s="6">
        <v>1897.280029</v>
      </c>
      <c r="O31" s="6">
        <v>1814.3599850000001</v>
      </c>
      <c r="P31" s="6">
        <v>1883.9499510000001</v>
      </c>
      <c r="Q31" s="6">
        <v>3589287600</v>
      </c>
      <c r="S31" s="12">
        <v>41730</v>
      </c>
      <c r="T31" s="6">
        <v>0.03</v>
      </c>
      <c r="V31" s="12">
        <v>41730</v>
      </c>
      <c r="W31" s="6">
        <v>44.130001</v>
      </c>
      <c r="X31" s="6">
        <v>44.240001999999997</v>
      </c>
      <c r="Y31" s="6">
        <v>40.790000999999997</v>
      </c>
      <c r="Z31" s="6">
        <v>41.970001000000003</v>
      </c>
      <c r="AA31" s="6">
        <v>3786800</v>
      </c>
      <c r="AB31" s="6"/>
      <c r="AC31">
        <f t="shared" si="1"/>
        <v>1</v>
      </c>
    </row>
    <row r="32" spans="1:29" x14ac:dyDescent="0.2">
      <c r="A32" s="2">
        <f t="shared" si="2"/>
        <v>41699</v>
      </c>
      <c r="B32" s="8">
        <v>41701</v>
      </c>
      <c r="C32" s="9">
        <v>35.040000999999997</v>
      </c>
      <c r="D32" s="9">
        <v>36.310001</v>
      </c>
      <c r="E32" s="9">
        <v>33.520000000000003</v>
      </c>
      <c r="F32" s="9">
        <v>35.330002</v>
      </c>
      <c r="G32" s="9">
        <v>155900</v>
      </c>
      <c r="H32" s="9"/>
      <c r="I32">
        <f t="shared" si="0"/>
        <v>1</v>
      </c>
      <c r="L32" s="7">
        <v>41701</v>
      </c>
      <c r="M32" s="6">
        <v>1857.6800539999999</v>
      </c>
      <c r="N32" s="6">
        <v>1883.969971</v>
      </c>
      <c r="O32" s="6">
        <v>1834.4399410000001</v>
      </c>
      <c r="P32" s="6">
        <v>1872.339966</v>
      </c>
      <c r="Q32" s="6">
        <v>3579015700</v>
      </c>
      <c r="S32" s="12">
        <v>41699</v>
      </c>
      <c r="T32" s="6">
        <v>0.05</v>
      </c>
      <c r="V32" s="12">
        <v>41701</v>
      </c>
      <c r="W32" s="6">
        <v>39.049999</v>
      </c>
      <c r="X32" s="6">
        <v>44.220001000000003</v>
      </c>
      <c r="Y32" s="6">
        <v>38.299999</v>
      </c>
      <c r="Z32" s="6">
        <v>44.009998000000003</v>
      </c>
      <c r="AA32" s="6">
        <v>3330100</v>
      </c>
      <c r="AB32" s="6"/>
      <c r="AC32">
        <f t="shared" si="1"/>
        <v>1</v>
      </c>
    </row>
    <row r="33" spans="1:29" x14ac:dyDescent="0.2">
      <c r="A33" s="2">
        <f t="shared" si="2"/>
        <v>41671</v>
      </c>
      <c r="B33" s="8">
        <v>41673</v>
      </c>
      <c r="C33" s="9">
        <v>32.599997999999999</v>
      </c>
      <c r="D33" s="9">
        <v>35.869999</v>
      </c>
      <c r="E33" s="9">
        <v>30.879999000000002</v>
      </c>
      <c r="F33" s="9">
        <v>35.349997999999999</v>
      </c>
      <c r="G33" s="9">
        <v>190800</v>
      </c>
      <c r="H33" s="9"/>
      <c r="I33">
        <f t="shared" si="0"/>
        <v>1</v>
      </c>
      <c r="L33" s="7">
        <v>41673</v>
      </c>
      <c r="M33" s="6">
        <v>1782.6800539999999</v>
      </c>
      <c r="N33" s="6">
        <v>1867.920044</v>
      </c>
      <c r="O33" s="6">
        <v>1737.920044</v>
      </c>
      <c r="P33" s="6">
        <v>1859.4499510000001</v>
      </c>
      <c r="Q33" s="6">
        <v>3875949400</v>
      </c>
      <c r="S33" s="12">
        <v>41671</v>
      </c>
      <c r="T33" s="6">
        <v>0.05</v>
      </c>
      <c r="V33" s="12">
        <v>41673</v>
      </c>
      <c r="W33" s="6">
        <v>37.349997999999999</v>
      </c>
      <c r="X33" s="6">
        <v>39.549999</v>
      </c>
      <c r="Y33" s="6">
        <v>35.209999000000003</v>
      </c>
      <c r="Z33" s="6">
        <v>39.450001</v>
      </c>
      <c r="AA33" s="6">
        <v>3994200</v>
      </c>
      <c r="AB33" s="6">
        <v>7.4999999999999997E-2</v>
      </c>
      <c r="AC33">
        <f t="shared" si="1"/>
        <v>1</v>
      </c>
    </row>
    <row r="34" spans="1:29" x14ac:dyDescent="0.2">
      <c r="A34" s="2">
        <f t="shared" si="2"/>
        <v>41640</v>
      </c>
      <c r="B34" s="8">
        <v>41641</v>
      </c>
      <c r="C34" s="9">
        <v>36.770000000000003</v>
      </c>
      <c r="D34" s="9">
        <v>36.810001</v>
      </c>
      <c r="E34" s="9">
        <v>32</v>
      </c>
      <c r="F34" s="9">
        <v>32.599997999999999</v>
      </c>
      <c r="G34" s="9">
        <v>198400</v>
      </c>
      <c r="H34" s="9"/>
      <c r="I34">
        <f t="shared" si="0"/>
        <v>1</v>
      </c>
      <c r="L34" s="7">
        <v>41641</v>
      </c>
      <c r="M34" s="6">
        <v>1845.8599850000001</v>
      </c>
      <c r="N34" s="6">
        <v>1850.839966</v>
      </c>
      <c r="O34" s="6">
        <v>1770.4499510000001</v>
      </c>
      <c r="P34" s="6">
        <v>1782.589966</v>
      </c>
      <c r="Q34" s="6">
        <v>3806266600</v>
      </c>
      <c r="S34" s="12">
        <v>41640</v>
      </c>
      <c r="T34" s="6">
        <v>0.04</v>
      </c>
      <c r="V34" s="12">
        <v>41641</v>
      </c>
      <c r="W34" s="6">
        <v>33.520000000000003</v>
      </c>
      <c r="X34" s="6">
        <v>38.25</v>
      </c>
      <c r="Y34" s="6">
        <v>33.029998999999997</v>
      </c>
      <c r="Z34" s="6">
        <v>37.400002000000001</v>
      </c>
      <c r="AA34" s="6">
        <v>4484600</v>
      </c>
      <c r="AB34" s="6"/>
      <c r="AC34">
        <f t="shared" si="1"/>
        <v>1</v>
      </c>
    </row>
    <row r="35" spans="1:29" x14ac:dyDescent="0.2">
      <c r="A35" s="2">
        <f t="shared" si="2"/>
        <v>41609</v>
      </c>
      <c r="B35" s="8">
        <v>41610</v>
      </c>
      <c r="C35" s="9">
        <v>36.209999000000003</v>
      </c>
      <c r="D35" s="9">
        <v>37.490001999999997</v>
      </c>
      <c r="E35" s="9">
        <v>34.439999</v>
      </c>
      <c r="F35" s="9">
        <v>36.729999999999997</v>
      </c>
      <c r="G35" s="9">
        <v>170400</v>
      </c>
      <c r="H35" s="9">
        <v>0.125</v>
      </c>
      <c r="I35">
        <f t="shared" si="0"/>
        <v>1</v>
      </c>
      <c r="L35" s="7">
        <v>41610</v>
      </c>
      <c r="M35" s="6">
        <v>1806.5500489999999</v>
      </c>
      <c r="N35" s="6">
        <v>1849.4399410000001</v>
      </c>
      <c r="O35" s="6">
        <v>1767.98999</v>
      </c>
      <c r="P35" s="6">
        <v>1848.3599850000001</v>
      </c>
      <c r="Q35" s="6">
        <v>3203412300</v>
      </c>
      <c r="S35" s="12">
        <v>41609</v>
      </c>
      <c r="T35" s="6">
        <v>7.0000000000000007E-2</v>
      </c>
      <c r="V35" s="12">
        <v>41610</v>
      </c>
      <c r="W35" s="6">
        <v>31.59</v>
      </c>
      <c r="X35" s="6">
        <v>34.380001</v>
      </c>
      <c r="Y35" s="6">
        <v>31.450001</v>
      </c>
      <c r="Z35" s="6">
        <v>33.459999000000003</v>
      </c>
      <c r="AA35" s="6">
        <v>3477700</v>
      </c>
      <c r="AB35" s="6"/>
      <c r="AC35">
        <f t="shared" si="1"/>
        <v>1</v>
      </c>
    </row>
    <row r="36" spans="1:29" x14ac:dyDescent="0.2">
      <c r="A36" s="2">
        <f t="shared" si="2"/>
        <v>41579</v>
      </c>
      <c r="B36" s="8">
        <v>41579</v>
      </c>
      <c r="C36" s="9">
        <v>35.380001</v>
      </c>
      <c r="D36" s="9">
        <v>36.580002</v>
      </c>
      <c r="E36" s="9">
        <v>34.479999999999997</v>
      </c>
      <c r="F36" s="9">
        <v>36.299999</v>
      </c>
      <c r="G36" s="9">
        <v>131600</v>
      </c>
      <c r="H36" s="9"/>
      <c r="I36">
        <f t="shared" si="0"/>
        <v>1</v>
      </c>
      <c r="L36" s="7">
        <v>41579</v>
      </c>
      <c r="M36" s="6">
        <v>1758.6999510000001</v>
      </c>
      <c r="N36" s="6">
        <v>1813.5500489999999</v>
      </c>
      <c r="O36" s="6">
        <v>1746.1999510000001</v>
      </c>
      <c r="P36" s="6">
        <v>1805.8100589999999</v>
      </c>
      <c r="Q36" s="6">
        <v>3261324500</v>
      </c>
      <c r="S36" s="12">
        <v>41579</v>
      </c>
      <c r="T36" s="6">
        <v>7.0000000000000007E-2</v>
      </c>
      <c r="V36" s="12">
        <v>41579</v>
      </c>
      <c r="W36" s="6">
        <v>27.690000999999999</v>
      </c>
      <c r="X36" s="6">
        <v>31.98</v>
      </c>
      <c r="Y36" s="6">
        <v>27.33</v>
      </c>
      <c r="Z36" s="6">
        <v>31.690000999999999</v>
      </c>
      <c r="AA36" s="6">
        <v>4243200</v>
      </c>
      <c r="AB36" s="6">
        <v>7.4999999999999997E-2</v>
      </c>
      <c r="AC36">
        <f t="shared" si="1"/>
        <v>1</v>
      </c>
    </row>
    <row r="37" spans="1:29" x14ac:dyDescent="0.2">
      <c r="A37" s="2">
        <f t="shared" si="2"/>
        <v>41548</v>
      </c>
      <c r="B37" s="8">
        <v>41548</v>
      </c>
      <c r="C37" s="9">
        <v>32.310001</v>
      </c>
      <c r="D37" s="9">
        <v>37.139999000000003</v>
      </c>
      <c r="E37" s="9">
        <v>30.5</v>
      </c>
      <c r="F37" s="9">
        <v>35.450001</v>
      </c>
      <c r="G37" s="9">
        <v>220900</v>
      </c>
      <c r="H37" s="9">
        <v>0.125</v>
      </c>
      <c r="I37">
        <f t="shared" si="0"/>
        <v>1</v>
      </c>
      <c r="L37" s="7">
        <v>41548</v>
      </c>
      <c r="M37" s="6">
        <v>1682.410034</v>
      </c>
      <c r="N37" s="6">
        <v>1775.219971</v>
      </c>
      <c r="O37" s="6">
        <v>1646.469971</v>
      </c>
      <c r="P37" s="6">
        <v>1756.540039</v>
      </c>
      <c r="Q37" s="6">
        <v>3498866500</v>
      </c>
      <c r="S37" s="12">
        <v>41548</v>
      </c>
      <c r="T37" s="6">
        <v>0.05</v>
      </c>
      <c r="V37" s="12">
        <v>41548</v>
      </c>
      <c r="W37" s="6">
        <v>28.209999</v>
      </c>
      <c r="X37" s="6">
        <v>29.889999</v>
      </c>
      <c r="Y37" s="6">
        <v>27.389999</v>
      </c>
      <c r="Z37" s="6">
        <v>27.67</v>
      </c>
      <c r="AA37" s="6">
        <v>4352000</v>
      </c>
      <c r="AB37" s="6"/>
      <c r="AC37">
        <f t="shared" si="1"/>
        <v>1</v>
      </c>
    </row>
    <row r="38" spans="1:29" x14ac:dyDescent="0.2">
      <c r="A38" s="2">
        <f t="shared" si="2"/>
        <v>41518</v>
      </c>
      <c r="B38" s="8">
        <v>41520</v>
      </c>
      <c r="C38" s="9">
        <v>31.67</v>
      </c>
      <c r="D38" s="9">
        <v>33</v>
      </c>
      <c r="E38" s="9">
        <v>30.530000999999999</v>
      </c>
      <c r="F38" s="9">
        <v>32.57</v>
      </c>
      <c r="G38" s="9">
        <v>181400</v>
      </c>
      <c r="H38" s="9"/>
      <c r="I38">
        <f t="shared" si="0"/>
        <v>1</v>
      </c>
      <c r="L38" s="7">
        <v>41520</v>
      </c>
      <c r="M38" s="6">
        <v>1635.9499510000001</v>
      </c>
      <c r="N38" s="6">
        <v>1729.8599850000001</v>
      </c>
      <c r="O38" s="6">
        <v>1633.410034</v>
      </c>
      <c r="P38" s="6">
        <v>1681.5500489999999</v>
      </c>
      <c r="Q38" s="6">
        <v>3474152000</v>
      </c>
      <c r="S38" s="12">
        <v>41518</v>
      </c>
      <c r="T38" s="6">
        <v>0.02</v>
      </c>
      <c r="V38" s="12">
        <v>41520</v>
      </c>
      <c r="W38" s="6">
        <v>29.18</v>
      </c>
      <c r="X38" s="6">
        <v>30.559999000000001</v>
      </c>
      <c r="Y38" s="6">
        <v>28.18</v>
      </c>
      <c r="Z38" s="6">
        <v>28.280000999999999</v>
      </c>
      <c r="AA38" s="6">
        <v>5180000</v>
      </c>
      <c r="AB38" s="6"/>
      <c r="AC38">
        <f t="shared" si="1"/>
        <v>1</v>
      </c>
    </row>
    <row r="39" spans="1:29" ht="17" thickBot="1" x14ac:dyDescent="0.25">
      <c r="A39" s="2">
        <f t="shared" si="2"/>
        <v>41487</v>
      </c>
      <c r="B39" s="10">
        <v>41487</v>
      </c>
      <c r="C39" s="11">
        <v>33.25</v>
      </c>
      <c r="D39" s="11">
        <v>33.6</v>
      </c>
      <c r="E39" s="11">
        <v>30.76</v>
      </c>
      <c r="F39" s="11">
        <v>31.27</v>
      </c>
      <c r="G39" s="11">
        <v>31.27</v>
      </c>
      <c r="H39" s="11"/>
      <c r="I39">
        <f t="shared" si="0"/>
        <v>1</v>
      </c>
      <c r="L39" s="7">
        <v>41487</v>
      </c>
      <c r="M39" s="6">
        <v>1689.420044</v>
      </c>
      <c r="N39" s="6">
        <v>1709.670044</v>
      </c>
      <c r="O39" s="6">
        <v>1627.469971</v>
      </c>
      <c r="P39" s="6">
        <v>1632.969971</v>
      </c>
      <c r="Q39" s="6">
        <v>3069868600</v>
      </c>
      <c r="S39" s="12">
        <v>41487</v>
      </c>
      <c r="T39" s="6">
        <v>0.04</v>
      </c>
      <c r="V39" s="12">
        <v>41487</v>
      </c>
      <c r="W39" s="6">
        <v>27.879999000000002</v>
      </c>
      <c r="X39" s="6">
        <v>32.400002000000001</v>
      </c>
      <c r="Y39" s="6">
        <v>27.860001</v>
      </c>
      <c r="Z39" s="6">
        <v>28.950001</v>
      </c>
      <c r="AA39" s="6">
        <v>5628400</v>
      </c>
      <c r="AB39" s="6">
        <v>0.05</v>
      </c>
      <c r="AC39">
        <f t="shared" si="1"/>
        <v>1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H46"/>
  <sheetViews>
    <sheetView zoomScale="99" workbookViewId="0">
      <selection activeCell="H46" sqref="H46"/>
    </sheetView>
  </sheetViews>
  <sheetFormatPr baseColWidth="10" defaultRowHeight="16" x14ac:dyDescent="0.2"/>
  <cols>
    <col min="1" max="1" width="12.6640625" bestFit="1" customWidth="1"/>
    <col min="2" max="2" width="11" bestFit="1" customWidth="1"/>
    <col min="3" max="3" width="12.5" bestFit="1" customWidth="1"/>
    <col min="7" max="7" width="19.1640625" bestFit="1" customWidth="1"/>
    <col min="8" max="8" width="20.5" bestFit="1" customWidth="1"/>
  </cols>
  <sheetData>
    <row r="1" spans="1:8" ht="17" thickBot="1" x14ac:dyDescent="0.25">
      <c r="A1" s="4" t="s">
        <v>7</v>
      </c>
    </row>
    <row r="2" spans="1:8" ht="17" thickBot="1" x14ac:dyDescent="0.25">
      <c r="A2" s="1" t="s">
        <v>8</v>
      </c>
      <c r="B2" s="1" t="s">
        <v>15</v>
      </c>
      <c r="C2" s="1" t="s">
        <v>16</v>
      </c>
      <c r="D2" s="1"/>
      <c r="E2" s="1" t="s">
        <v>14</v>
      </c>
      <c r="F2" s="1" t="s">
        <v>40</v>
      </c>
      <c r="G2" s="1" t="s">
        <v>41</v>
      </c>
      <c r="H2" s="1" t="s">
        <v>51</v>
      </c>
    </row>
    <row r="3" spans="1:8" x14ac:dyDescent="0.2">
      <c r="A3" s="2">
        <v>42583</v>
      </c>
      <c r="B3" s="18">
        <f>'Raw Data'!$T3/12/100</f>
        <v>2.5000000000000001E-4</v>
      </c>
      <c r="C3" s="17">
        <f>('Raw Data'!P3-'Raw Data'!P4)/'Raw Data'!P4</f>
        <v>-1.2192431360480338E-3</v>
      </c>
      <c r="D3" s="17"/>
      <c r="E3" s="17">
        <f>('Raw Data'!$F3+'Raw Data'!$H3-'Raw Data'!$F4)/('Raw Data'!$F4)</f>
        <v>7.5490246948290374E-2</v>
      </c>
      <c r="F3" s="17">
        <f>('Raw Data'!$Z3+'Raw Data'!$AB3-'Raw Data'!$Z4)/'Raw Data'!$Z4</f>
        <v>2.8804375782727595E-2</v>
      </c>
      <c r="G3" s="13">
        <f>$G$45*$E3+$G$46*$F3</f>
        <v>5.2147311365508986E-2</v>
      </c>
      <c r="H3" s="13">
        <f>$H$45*E3+$H$46*F3</f>
        <v>4.9813017807230811E-2</v>
      </c>
    </row>
    <row r="4" spans="1:8" x14ac:dyDescent="0.2">
      <c r="A4" s="2">
        <f>EDATE(A3,-1)</f>
        <v>42552</v>
      </c>
      <c r="B4" s="18">
        <f>'Raw Data'!$T4/12/100</f>
        <v>2.5000000000000001E-4</v>
      </c>
      <c r="C4" s="17">
        <f>('Raw Data'!P4-'Raw Data'!P5)/'Raw Data'!P5</f>
        <v>3.5609801125254283E-2</v>
      </c>
      <c r="D4" s="17"/>
      <c r="E4" s="17">
        <f>('Raw Data'!$F4+'Raw Data'!$H4-'Raw Data'!$F5)/('Raw Data'!$F5)</f>
        <v>2.5268901044060415E-2</v>
      </c>
      <c r="F4" s="17">
        <f>('Raw Data'!$Z4+'Raw Data'!$AB4-'Raw Data'!$Z5)/'Raw Data'!$Z5</f>
        <v>0.10196132501929436</v>
      </c>
      <c r="G4" s="13">
        <f>$G$45*$E4+$G$46*$F4</f>
        <v>6.3615113031677384E-2</v>
      </c>
      <c r="H4" s="13">
        <f t="shared" ref="H4:H38" si="0">$H$45*E4+$H$46*F4</f>
        <v>6.7449734230439096E-2</v>
      </c>
    </row>
    <row r="5" spans="1:8" x14ac:dyDescent="0.2">
      <c r="A5" s="2">
        <f>EDATE(A4,-1)</f>
        <v>42522</v>
      </c>
      <c r="B5" s="18">
        <f>'Raw Data'!$T5/12/100</f>
        <v>2.2500000000000002E-4</v>
      </c>
      <c r="C5" s="17">
        <f>('Raw Data'!P5-'Raw Data'!P6)/'Raw Data'!P6</f>
        <v>9.1092112097811118E-4</v>
      </c>
      <c r="D5" s="17"/>
      <c r="E5" s="17">
        <f>('Raw Data'!$F5+'Raw Data'!$H5-'Raw Data'!$F6)/('Raw Data'!$F6)</f>
        <v>1.0108693454637432E-2</v>
      </c>
      <c r="F5" s="17">
        <f>('Raw Data'!$Z5+'Raw Data'!$AB5-'Raw Data'!$Z6)/'Raw Data'!$Z6</f>
        <v>4.719350967691309E-2</v>
      </c>
      <c r="G5" s="13">
        <f t="shared" ref="G5:G38" si="1">$G$45*$E5+$G$46*$F5</f>
        <v>2.8651101565775262E-2</v>
      </c>
      <c r="H5" s="13">
        <f t="shared" si="0"/>
        <v>3.0505342376889052E-2</v>
      </c>
    </row>
    <row r="6" spans="1:8" x14ac:dyDescent="0.2">
      <c r="A6" s="2">
        <f t="shared" ref="A6:A39" si="2">EDATE(A5,-1)</f>
        <v>42491</v>
      </c>
      <c r="B6" s="18">
        <f>'Raw Data'!$T6/12/100</f>
        <v>2.2500000000000002E-4</v>
      </c>
      <c r="C6" s="17">
        <f>('Raw Data'!P6-'Raw Data'!P7)/'Raw Data'!P7</f>
        <v>1.5324602357572555E-2</v>
      </c>
      <c r="D6" s="17"/>
      <c r="E6" s="17">
        <f>('Raw Data'!$F6+'Raw Data'!$H6-'Raw Data'!$F7)/('Raw Data'!$F7)</f>
        <v>5.2393672999663486E-2</v>
      </c>
      <c r="F6" s="17">
        <f>('Raw Data'!$Z6+'Raw Data'!$AB6-'Raw Data'!$Z7)/'Raw Data'!$Z7</f>
        <v>-2.8714691583105412E-2</v>
      </c>
      <c r="G6" s="13">
        <f t="shared" si="1"/>
        <v>1.1839490708279037E-2</v>
      </c>
      <c r="H6" s="13">
        <f t="shared" si="0"/>
        <v>7.7840724791405601E-3</v>
      </c>
    </row>
    <row r="7" spans="1:8" x14ac:dyDescent="0.2">
      <c r="A7" s="2">
        <f t="shared" si="2"/>
        <v>42461</v>
      </c>
      <c r="B7" s="18">
        <f>'Raw Data'!$T7/12/100</f>
        <v>1.916666666666667E-4</v>
      </c>
      <c r="C7" s="17">
        <f>('Raw Data'!P7-'Raw Data'!P8)/'Raw Data'!P8</f>
        <v>2.6993984808732631E-3</v>
      </c>
      <c r="D7" s="17"/>
      <c r="E7" s="17">
        <f>('Raw Data'!$F7+'Raw Data'!$H7-'Raw Data'!$F8)/('Raw Data'!$F8)</f>
        <v>-1.0741420526142121E-2</v>
      </c>
      <c r="F7" s="17">
        <f>('Raw Data'!$Z7+'Raw Data'!$AB7-'Raw Data'!$Z8)/'Raw Data'!$Z8</f>
        <v>-1.2601319375858537E-2</v>
      </c>
      <c r="G7" s="13">
        <f t="shared" si="1"/>
        <v>-1.1671369951000328E-2</v>
      </c>
      <c r="H7" s="13">
        <f>$H$45*E7+$H$46*F7</f>
        <v>-1.1764364893486149E-2</v>
      </c>
    </row>
    <row r="8" spans="1:8" x14ac:dyDescent="0.2">
      <c r="A8" s="2">
        <f t="shared" si="2"/>
        <v>42430</v>
      </c>
      <c r="B8" s="18">
        <f>'Raw Data'!$T8/12/100</f>
        <v>2.4166666666666667E-4</v>
      </c>
      <c r="C8" s="17">
        <f>('Raw Data'!P8-'Raw Data'!P9)/'Raw Data'!P9</f>
        <v>6.5991114577365145E-2</v>
      </c>
      <c r="D8" s="17"/>
      <c r="E8" s="17">
        <f>('Raw Data'!$F8+'Raw Data'!$H8-'Raw Data'!$F9)/('Raw Data'!$F9)</f>
        <v>0.12463167721366165</v>
      </c>
      <c r="F8" s="17">
        <f>('Raw Data'!$Z8+'Raw Data'!$AB8-'Raw Data'!$Z9)/'Raw Data'!$Z9</f>
        <v>2.9498131274131284E-2</v>
      </c>
      <c r="G8" s="13">
        <f t="shared" si="1"/>
        <v>7.7064904243896476E-2</v>
      </c>
      <c r="H8" s="13">
        <f t="shared" si="0"/>
        <v>7.2308226946919907E-2</v>
      </c>
    </row>
    <row r="9" spans="1:8" x14ac:dyDescent="0.2">
      <c r="A9" s="2">
        <f t="shared" si="2"/>
        <v>42401</v>
      </c>
      <c r="B9" s="18">
        <f>'Raw Data'!$T9/12/100</f>
        <v>2.5833333333333334E-4</v>
      </c>
      <c r="C9" s="17">
        <f>('Raw Data'!P9-'Raw Data'!P10)/'Raw Data'!P10</f>
        <v>-4.1283604302991229E-3</v>
      </c>
      <c r="D9" s="17"/>
      <c r="E9" s="17">
        <f>('Raw Data'!$F9+'Raw Data'!$H9-'Raw Data'!$F10)/('Raw Data'!$F10)</f>
        <v>4.0147041368463345E-2</v>
      </c>
      <c r="F9" s="17">
        <f>('Raw Data'!$Z9+'Raw Data'!$AB9-'Raw Data'!$Z10)/'Raw Data'!$Z10</f>
        <v>0.21626684377311031</v>
      </c>
      <c r="G9" s="13">
        <f t="shared" si="1"/>
        <v>0.12820694257078682</v>
      </c>
      <c r="H9" s="13">
        <f t="shared" si="0"/>
        <v>0.13701293269101922</v>
      </c>
    </row>
    <row r="10" spans="1:8" x14ac:dyDescent="0.2">
      <c r="A10" s="2">
        <f t="shared" si="2"/>
        <v>42370</v>
      </c>
      <c r="B10" s="18">
        <f>'Raw Data'!$T10/12/100</f>
        <v>2.1666666666666668E-4</v>
      </c>
      <c r="C10" s="17">
        <f>('Raw Data'!P10-'Raw Data'!P11)/'Raw Data'!P11</f>
        <v>-5.073532197294639E-2</v>
      </c>
      <c r="D10" s="17"/>
      <c r="E10" s="17">
        <f>('Raw Data'!$F10+'Raw Data'!$H10-'Raw Data'!$F11)/('Raw Data'!$F11)</f>
        <v>-3.9824331489058305E-2</v>
      </c>
      <c r="F10" s="17">
        <f>('Raw Data'!$Z10+'Raw Data'!$AB10-'Raw Data'!$Z11)/'Raw Data'!$Z11</f>
        <v>5.6251638617970713E-4</v>
      </c>
      <c r="G10" s="13">
        <f t="shared" si="1"/>
        <v>-1.96309075514393E-2</v>
      </c>
      <c r="H10" s="13">
        <f t="shared" si="0"/>
        <v>-1.7611565157677381E-2</v>
      </c>
    </row>
    <row r="11" spans="1:8" x14ac:dyDescent="0.2">
      <c r="A11" s="2">
        <f t="shared" si="2"/>
        <v>42339</v>
      </c>
      <c r="B11" s="18">
        <f>'Raw Data'!$T11/12/100</f>
        <v>1.916666666666667E-4</v>
      </c>
      <c r="C11" s="17">
        <f>('Raw Data'!P11-'Raw Data'!P12)/'Raw Data'!P12</f>
        <v>-1.7530185176314418E-2</v>
      </c>
      <c r="D11" s="17"/>
      <c r="E11" s="17">
        <f>('Raw Data'!$F11+'Raw Data'!$H11-'Raw Data'!$F12)/('Raw Data'!$F12)</f>
        <v>-8.0258521942943098E-2</v>
      </c>
      <c r="F11" s="17">
        <f>('Raw Data'!$Z11+'Raw Data'!$AB11-'Raw Data'!$Z12)/'Raw Data'!$Z12</f>
        <v>6.6600040000000013E-2</v>
      </c>
      <c r="G11" s="13">
        <f t="shared" si="1"/>
        <v>-6.8292409714715424E-3</v>
      </c>
      <c r="H11" s="13">
        <f t="shared" si="0"/>
        <v>5.1368712567567004E-4</v>
      </c>
    </row>
    <row r="12" spans="1:8" x14ac:dyDescent="0.2">
      <c r="A12" s="2">
        <f t="shared" si="2"/>
        <v>42309</v>
      </c>
      <c r="B12" s="18">
        <f>'Raw Data'!$T12/12/100</f>
        <v>1E-4</v>
      </c>
      <c r="C12" s="17">
        <f>('Raw Data'!P12-'Raw Data'!P13)/'Raw Data'!P13</f>
        <v>5.0486926072401835E-4</v>
      </c>
      <c r="D12" s="17"/>
      <c r="E12" s="17">
        <f>('Raw Data'!$F12+'Raw Data'!$H12-'Raw Data'!$F13)/('Raw Data'!$F13)</f>
        <v>-2.2380173775671326E-2</v>
      </c>
      <c r="F12" s="17">
        <f>('Raw Data'!$Z12+'Raw Data'!$AB12-'Raw Data'!$Z13)/'Raw Data'!$Z13</f>
        <v>0.13052296820281861</v>
      </c>
      <c r="G12" s="13">
        <f t="shared" si="1"/>
        <v>5.4071397213573645E-2</v>
      </c>
      <c r="H12" s="13">
        <f t="shared" si="0"/>
        <v>6.1716554312498194E-2</v>
      </c>
    </row>
    <row r="13" spans="1:8" x14ac:dyDescent="0.2">
      <c r="A13" s="2">
        <f t="shared" si="2"/>
        <v>42278</v>
      </c>
      <c r="B13" s="18">
        <f>'Raw Data'!$T13/12/100</f>
        <v>1.6666666666666667E-5</v>
      </c>
      <c r="C13" s="17">
        <f>('Raw Data'!P13-'Raw Data'!P14)/'Raw Data'!P14</f>
        <v>8.2983117760394132E-2</v>
      </c>
      <c r="D13" s="17"/>
      <c r="E13" s="17">
        <f>('Raw Data'!$F13+'Raw Data'!$H13-'Raw Data'!$F14)/('Raw Data'!$F14)</f>
        <v>0.13406980387758713</v>
      </c>
      <c r="F13" s="17">
        <f>('Raw Data'!$Z13+'Raw Data'!$AB13-'Raw Data'!$Z14)/'Raw Data'!$Z14</f>
        <v>2.9234409709253294E-2</v>
      </c>
      <c r="G13" s="13">
        <f t="shared" si="1"/>
        <v>8.1652106793420207E-2</v>
      </c>
      <c r="H13" s="13">
        <f t="shared" si="0"/>
        <v>7.6410337085003471E-2</v>
      </c>
    </row>
    <row r="14" spans="1:8" x14ac:dyDescent="0.2">
      <c r="A14" s="2">
        <f t="shared" si="2"/>
        <v>42248</v>
      </c>
      <c r="B14" s="18">
        <f>'Raw Data'!$T14/12/100</f>
        <v>1.6666666666666667E-5</v>
      </c>
      <c r="C14" s="17">
        <f>('Raw Data'!P14-'Raw Data'!P15)/'Raw Data'!P15</f>
        <v>-2.6442831573227094E-2</v>
      </c>
      <c r="D14" s="17"/>
      <c r="E14" s="17">
        <f>('Raw Data'!$F14+'Raw Data'!$H14-'Raw Data'!$F15)/('Raw Data'!$F15)</f>
        <v>-3.6092752792896109E-2</v>
      </c>
      <c r="F14" s="17">
        <f>('Raw Data'!$Z14+'Raw Data'!$AB14-'Raw Data'!$Z15)/'Raw Data'!$Z15</f>
        <v>1.93944895788669E-2</v>
      </c>
      <c r="G14" s="13">
        <f t="shared" si="1"/>
        <v>-8.3491316070146045E-3</v>
      </c>
      <c r="H14" s="13">
        <f t="shared" si="0"/>
        <v>-5.5747694884264298E-3</v>
      </c>
    </row>
    <row r="15" spans="1:8" x14ac:dyDescent="0.2">
      <c r="A15" s="2">
        <f t="shared" si="2"/>
        <v>42217</v>
      </c>
      <c r="B15" s="18">
        <f>'Raw Data'!$T15/12/100</f>
        <v>5.8333333333333333E-5</v>
      </c>
      <c r="C15" s="17">
        <f>('Raw Data'!P15-'Raw Data'!P16)/'Raw Data'!P16</f>
        <v>-6.2580818167202831E-2</v>
      </c>
      <c r="D15" s="17"/>
      <c r="E15" s="17">
        <f>('Raw Data'!$F15+'Raw Data'!$H15-'Raw Data'!$F16)/('Raw Data'!$F16)</f>
        <v>-2.5404801786711437E-2</v>
      </c>
      <c r="F15" s="17">
        <f>('Raw Data'!$Z15+'Raw Data'!$AB15-'Raw Data'!$Z16)/'Raw Data'!$Z16</f>
        <v>-4.4419370661527458E-2</v>
      </c>
      <c r="G15" s="13">
        <f t="shared" si="1"/>
        <v>-3.4912086224119447E-2</v>
      </c>
      <c r="H15" s="13">
        <f t="shared" si="0"/>
        <v>-3.5862814667860246E-2</v>
      </c>
    </row>
    <row r="16" spans="1:8" x14ac:dyDescent="0.2">
      <c r="A16" s="2">
        <f t="shared" si="2"/>
        <v>42186</v>
      </c>
      <c r="B16" s="18">
        <f>'Raw Data'!$T16/12/100</f>
        <v>2.5000000000000001E-5</v>
      </c>
      <c r="C16" s="17">
        <f>('Raw Data'!P16-'Raw Data'!P17)/'Raw Data'!P17</f>
        <v>1.9742029696721345E-2</v>
      </c>
      <c r="D16" s="17"/>
      <c r="E16" s="17">
        <f>('Raw Data'!$F16+'Raw Data'!$H16-'Raw Data'!$F17)/('Raw Data'!$F17)</f>
        <v>5.3529411764705888E-2</v>
      </c>
      <c r="F16" s="17">
        <f>('Raw Data'!$Z16+'Raw Data'!$AB16-'Raw Data'!$Z17)/'Raw Data'!$Z17</f>
        <v>4.0347102032674109E-2</v>
      </c>
      <c r="G16" s="13">
        <f t="shared" si="1"/>
        <v>4.6938256898689995E-2</v>
      </c>
      <c r="H16" s="13">
        <f t="shared" si="0"/>
        <v>4.6279141412088394E-2</v>
      </c>
    </row>
    <row r="17" spans="1:8" x14ac:dyDescent="0.2">
      <c r="A17" s="2">
        <f t="shared" si="2"/>
        <v>42156</v>
      </c>
      <c r="B17" s="18">
        <f>'Raw Data'!$T17/12/100</f>
        <v>1.6666666666666667E-5</v>
      </c>
      <c r="C17" s="17">
        <f>('Raw Data'!P17-'Raw Data'!P18)/'Raw Data'!P18</f>
        <v>-2.1011672375900521E-2</v>
      </c>
      <c r="D17" s="17"/>
      <c r="E17" s="17">
        <f>('Raw Data'!$F17+'Raw Data'!$H17-'Raw Data'!$F18)/('Raw Data'!$F18)</f>
        <v>7.0755310775666011E-3</v>
      </c>
      <c r="F17" s="17">
        <f>('Raw Data'!$Z17+'Raw Data'!$AB17-'Raw Data'!$Z18)/'Raw Data'!$Z18</f>
        <v>4.2402825856234895E-3</v>
      </c>
      <c r="G17" s="13">
        <f t="shared" si="1"/>
        <v>5.6579068315950453E-3</v>
      </c>
      <c r="H17" s="13">
        <f t="shared" si="0"/>
        <v>5.5161444069978874E-3</v>
      </c>
    </row>
    <row r="18" spans="1:8" x14ac:dyDescent="0.2">
      <c r="A18" s="2">
        <f t="shared" si="2"/>
        <v>42125</v>
      </c>
      <c r="B18" s="18">
        <f>'Raw Data'!$T18/12/100</f>
        <v>1.6666666666666667E-5</v>
      </c>
      <c r="C18" s="17">
        <f>('Raw Data'!P18-'Raw Data'!P19)/'Raw Data'!P19</f>
        <v>1.0491382393316857E-2</v>
      </c>
      <c r="D18" s="17"/>
      <c r="E18" s="17">
        <f>('Raw Data'!$F18+'Raw Data'!$H18-'Raw Data'!$F19)/('Raw Data'!$F19)</f>
        <v>3.4777273788202473E-2</v>
      </c>
      <c r="F18" s="17">
        <f>('Raw Data'!$Z18+'Raw Data'!$AB18-'Raw Data'!$Z19)/'Raw Data'!$Z19</f>
        <v>7.7215215189873468E-2</v>
      </c>
      <c r="G18" s="13">
        <f t="shared" si="1"/>
        <v>5.599624448903797E-2</v>
      </c>
      <c r="H18" s="13">
        <f t="shared" si="0"/>
        <v>5.8118141559121525E-2</v>
      </c>
    </row>
    <row r="19" spans="1:8" x14ac:dyDescent="0.2">
      <c r="A19" s="2">
        <f t="shared" si="2"/>
        <v>42095</v>
      </c>
      <c r="B19" s="18">
        <f>'Raw Data'!$T19/12/100</f>
        <v>1.6666666666666667E-5</v>
      </c>
      <c r="C19" s="17">
        <f>('Raw Data'!P19-'Raw Data'!P20)/'Raw Data'!P20</f>
        <v>8.5208197301247391E-3</v>
      </c>
      <c r="D19" s="17"/>
      <c r="E19" s="17">
        <f>('Raw Data'!$F19+'Raw Data'!$H19-'Raw Data'!$F20)/('Raw Data'!$F20)</f>
        <v>-0.12282579937987163</v>
      </c>
      <c r="F19" s="17">
        <f>('Raw Data'!$Z19+'Raw Data'!$AB19-'Raw Data'!$Z20)/'Raw Data'!$Z20</f>
        <v>3.1331619617013577E-2</v>
      </c>
      <c r="G19" s="13">
        <f t="shared" si="1"/>
        <v>-4.5747089881429032E-2</v>
      </c>
      <c r="H19" s="13">
        <f t="shared" si="0"/>
        <v>-3.8039218931584698E-2</v>
      </c>
    </row>
    <row r="20" spans="1:8" x14ac:dyDescent="0.2">
      <c r="A20" s="2">
        <f t="shared" si="2"/>
        <v>42064</v>
      </c>
      <c r="B20" s="18">
        <f>'Raw Data'!$T20/12/100</f>
        <v>2.5000000000000001E-5</v>
      </c>
      <c r="C20" s="17">
        <f>('Raw Data'!P20-'Raw Data'!P21)/'Raw Data'!P21</f>
        <v>-1.7396106913756221E-2</v>
      </c>
      <c r="D20" s="17"/>
      <c r="E20" s="17">
        <f>('Raw Data'!$F20+'Raw Data'!$H20-'Raw Data'!$F21)/('Raw Data'!$F21)</f>
        <v>3.6187789055585944E-2</v>
      </c>
      <c r="F20" s="17">
        <f>('Raw Data'!$Z20+'Raw Data'!$AB20-'Raw Data'!$Z21)/'Raw Data'!$Z21</f>
        <v>-7.2863760037188086E-2</v>
      </c>
      <c r="G20" s="13">
        <f t="shared" si="1"/>
        <v>-1.8337985490801071E-2</v>
      </c>
      <c r="H20" s="13">
        <f t="shared" si="0"/>
        <v>-2.3790562945439808E-2</v>
      </c>
    </row>
    <row r="21" spans="1:8" x14ac:dyDescent="0.2">
      <c r="A21" s="2">
        <f t="shared" si="2"/>
        <v>42036</v>
      </c>
      <c r="B21" s="18">
        <f>'Raw Data'!$T21/12/100</f>
        <v>1.6666666666666667E-5</v>
      </c>
      <c r="C21" s="17">
        <f>('Raw Data'!P21-'Raw Data'!P22)/'Raw Data'!P22</f>
        <v>5.4892511014553995E-2</v>
      </c>
      <c r="D21" s="17"/>
      <c r="E21" s="17">
        <f>('Raw Data'!$F21+'Raw Data'!$H21-'Raw Data'!$F22)/('Raw Data'!$F22)</f>
        <v>0.10906869206705543</v>
      </c>
      <c r="F21" s="17">
        <f>('Raw Data'!$Z21+'Raw Data'!$AB21-'Raw Data'!$Z22)/'Raw Data'!$Z22</f>
        <v>6.0706965658120879E-2</v>
      </c>
      <c r="G21" s="13">
        <f t="shared" si="1"/>
        <v>8.4887828862588152E-2</v>
      </c>
      <c r="H21" s="13">
        <f t="shared" si="0"/>
        <v>8.2469742542141386E-2</v>
      </c>
    </row>
    <row r="22" spans="1:8" x14ac:dyDescent="0.2">
      <c r="A22" s="2">
        <f t="shared" si="2"/>
        <v>42005</v>
      </c>
      <c r="B22" s="18">
        <f>'Raw Data'!$T22/12/100</f>
        <v>2.5000000000000001E-5</v>
      </c>
      <c r="C22" s="17">
        <f>('Raw Data'!P22-'Raw Data'!P23)/'Raw Data'!P23</f>
        <v>-3.1040805790470173E-2</v>
      </c>
      <c r="D22" s="17"/>
      <c r="E22" s="17">
        <f>('Raw Data'!$F22+'Raw Data'!$H22-'Raw Data'!$F23)/('Raw Data'!$F23)</f>
        <v>-5.2601130208157695E-2</v>
      </c>
      <c r="F22" s="17">
        <f>('Raw Data'!$Z22+'Raw Data'!$AB22-'Raw Data'!$Z23)/'Raw Data'!$Z23</f>
        <v>-2.619104514841623E-2</v>
      </c>
      <c r="G22" s="13">
        <f t="shared" si="1"/>
        <v>-3.9396087678286965E-2</v>
      </c>
      <c r="H22" s="13">
        <f t="shared" si="0"/>
        <v>-3.8075583425299875E-2</v>
      </c>
    </row>
    <row r="23" spans="1:8" x14ac:dyDescent="0.2">
      <c r="A23" s="2">
        <f t="shared" si="2"/>
        <v>41974</v>
      </c>
      <c r="B23" s="18">
        <f>'Raw Data'!$T23/12/100</f>
        <v>2.5000000000000001E-5</v>
      </c>
      <c r="C23" s="17">
        <f>('Raw Data'!P23-'Raw Data'!P24)/'Raw Data'!P24</f>
        <v>-4.1885878779204062E-3</v>
      </c>
      <c r="D23" s="17"/>
      <c r="E23" s="17">
        <f>('Raw Data'!$F23+'Raw Data'!$H23-'Raw Data'!$F24)/('Raw Data'!$F24)</f>
        <v>4.2168583067211322E-2</v>
      </c>
      <c r="F23" s="17">
        <f>('Raw Data'!$Z23+'Raw Data'!$AB23-'Raw Data'!$Z24)/'Raw Data'!$Z24</f>
        <v>-5.3141237600377887E-2</v>
      </c>
      <c r="G23" s="13">
        <f t="shared" si="1"/>
        <v>-5.4863272665832824E-3</v>
      </c>
      <c r="H23" s="13">
        <f t="shared" si="0"/>
        <v>-1.0251818299962776E-2</v>
      </c>
    </row>
    <row r="24" spans="1:8" x14ac:dyDescent="0.2">
      <c r="A24" s="2">
        <f t="shared" si="2"/>
        <v>41944</v>
      </c>
      <c r="B24" s="18">
        <f>'Raw Data'!$T24/12/100</f>
        <v>1.6666666666666667E-5</v>
      </c>
      <c r="C24" s="17">
        <f>('Raw Data'!P24-'Raw Data'!P25)/'Raw Data'!P25</f>
        <v>2.4533588760364766E-2</v>
      </c>
      <c r="D24" s="17"/>
      <c r="E24" s="17">
        <f>('Raw Data'!$F24+'Raw Data'!$H24-'Raw Data'!$F25)/('Raw Data'!$F25)</f>
        <v>3.6275390793507195E-3</v>
      </c>
      <c r="F24" s="17">
        <f>('Raw Data'!$Z24+'Raw Data'!$AB24-'Raw Data'!$Z25)/'Raw Data'!$Z25</f>
        <v>5.179683032450226E-2</v>
      </c>
      <c r="G24" s="13">
        <f t="shared" si="1"/>
        <v>2.771218470192649E-2</v>
      </c>
      <c r="H24" s="13">
        <f t="shared" si="0"/>
        <v>3.012064926418408E-2</v>
      </c>
    </row>
    <row r="25" spans="1:8" x14ac:dyDescent="0.2">
      <c r="A25" s="2">
        <f t="shared" si="2"/>
        <v>41913</v>
      </c>
      <c r="B25" s="18">
        <f>'Raw Data'!$T25/12/100</f>
        <v>1.6666666666666667E-5</v>
      </c>
      <c r="C25" s="17">
        <f>('Raw Data'!P25-'Raw Data'!P26)/'Raw Data'!P26</f>
        <v>2.3201460786772227E-2</v>
      </c>
      <c r="D25" s="17"/>
      <c r="E25" s="17">
        <f>('Raw Data'!$F25+'Raw Data'!$H25-'Raw Data'!$F26)/('Raw Data'!$F26)</f>
        <v>0.13481996569468274</v>
      </c>
      <c r="F25" s="17">
        <f>('Raw Data'!$Z25+'Raw Data'!$AB25-'Raw Data'!$Z26)/'Raw Data'!$Z26</f>
        <v>2.4892025016307454E-2</v>
      </c>
      <c r="G25" s="13">
        <f t="shared" si="1"/>
        <v>7.9855995355495091E-2</v>
      </c>
      <c r="H25" s="13">
        <f t="shared" si="0"/>
        <v>7.4359598321576278E-2</v>
      </c>
    </row>
    <row r="26" spans="1:8" x14ac:dyDescent="0.2">
      <c r="A26" s="2">
        <f t="shared" si="2"/>
        <v>41883</v>
      </c>
      <c r="B26" s="18">
        <f>'Raw Data'!$T26/12/100</f>
        <v>1.6666666666666667E-5</v>
      </c>
      <c r="C26" s="17">
        <f>('Raw Data'!P26-'Raw Data'!P27)/'Raw Data'!P27</f>
        <v>-1.5513837223063749E-2</v>
      </c>
      <c r="D26" s="17"/>
      <c r="E26" s="17">
        <f>('Raw Data'!$F26+'Raw Data'!$H26-'Raw Data'!$F27)/('Raw Data'!$F27)</f>
        <v>-9.3750000000000028E-2</v>
      </c>
      <c r="F26" s="17">
        <f>('Raw Data'!$Z26+'Raw Data'!$AB26-'Raw Data'!$Z27)/'Raw Data'!$Z27</f>
        <v>3.4419284434595791E-2</v>
      </c>
      <c r="G26" s="13">
        <f t="shared" si="1"/>
        <v>-2.9665357782702118E-2</v>
      </c>
      <c r="H26" s="13">
        <f t="shared" si="0"/>
        <v>-2.3256893560972273E-2</v>
      </c>
    </row>
    <row r="27" spans="1:8" x14ac:dyDescent="0.2">
      <c r="A27" s="2">
        <f t="shared" si="2"/>
        <v>41852</v>
      </c>
      <c r="B27" s="18">
        <f>'Raw Data'!$T27/12/100</f>
        <v>2.5000000000000001E-5</v>
      </c>
      <c r="C27" s="17">
        <f>('Raw Data'!P27-'Raw Data'!P28)/'Raw Data'!P28</f>
        <v>3.7655295489735195E-2</v>
      </c>
      <c r="D27" s="17"/>
      <c r="E27" s="17">
        <f>('Raw Data'!$F27+'Raw Data'!$H27-'Raw Data'!$F28)/('Raw Data'!$F28)</f>
        <v>6.2808286747780342E-2</v>
      </c>
      <c r="F27" s="17">
        <f>('Raw Data'!$Z27+'Raw Data'!$AB27-'Raw Data'!$Z28)/'Raw Data'!$Z28</f>
        <v>2.4858963312522506E-2</v>
      </c>
      <c r="G27" s="13">
        <f t="shared" si="1"/>
        <v>4.3833625030151424E-2</v>
      </c>
      <c r="H27" s="13">
        <f t="shared" si="0"/>
        <v>4.1936158858388507E-2</v>
      </c>
    </row>
    <row r="28" spans="1:8" x14ac:dyDescent="0.2">
      <c r="A28" s="2">
        <f t="shared" si="2"/>
        <v>41821</v>
      </c>
      <c r="B28" s="18">
        <f>'Raw Data'!$T28/12/100</f>
        <v>2.5000000000000001E-5</v>
      </c>
      <c r="C28" s="17">
        <f>('Raw Data'!P28-'Raw Data'!P29)/'Raw Data'!P29</f>
        <v>-1.5079830581919834E-2</v>
      </c>
      <c r="D28" s="17"/>
      <c r="E28" s="17">
        <f>('Raw Data'!$F28+'Raw Data'!$H28-'Raw Data'!$F29)/('Raw Data'!$F29)</f>
        <v>-0.15979100220596795</v>
      </c>
      <c r="F28" s="17">
        <f>('Raw Data'!$Z28+'Raw Data'!$AB28-'Raw Data'!$Z29)/'Raw Data'!$Z29</f>
        <v>-8.7906763774458409E-3</v>
      </c>
      <c r="G28" s="13">
        <f t="shared" si="1"/>
        <v>-8.4290839291706901E-2</v>
      </c>
      <c r="H28" s="13">
        <f t="shared" si="0"/>
        <v>-7.674082300028072E-2</v>
      </c>
    </row>
    <row r="29" spans="1:8" x14ac:dyDescent="0.2">
      <c r="A29" s="2">
        <f t="shared" si="2"/>
        <v>41791</v>
      </c>
      <c r="B29" s="18">
        <f>'Raw Data'!$T29/12/100</f>
        <v>3.3333333333333335E-5</v>
      </c>
      <c r="C29" s="17">
        <f>('Raw Data'!P29-'Raw Data'!P30)/'Raw Data'!P30</f>
        <v>1.9058331658920603E-2</v>
      </c>
      <c r="D29" s="17"/>
      <c r="E29" s="17">
        <f>('Raw Data'!$F29+'Raw Data'!$H29-'Raw Data'!$F30)/('Raw Data'!$F30)</f>
        <v>9.3205146915522771E-2</v>
      </c>
      <c r="F29" s="17">
        <f>('Raw Data'!$Z29+'Raw Data'!$AB29-'Raw Data'!$Z30)/'Raw Data'!$Z30</f>
        <v>-0.11587371916801049</v>
      </c>
      <c r="G29" s="13">
        <f t="shared" si="1"/>
        <v>-1.1334286126243862E-2</v>
      </c>
      <c r="H29" s="13">
        <f t="shared" si="0"/>
        <v>-2.1788229430420601E-2</v>
      </c>
    </row>
    <row r="30" spans="1:8" x14ac:dyDescent="0.2">
      <c r="A30" s="2">
        <f t="shared" si="2"/>
        <v>41760</v>
      </c>
      <c r="B30" s="18">
        <f>'Raw Data'!$T30/12/100</f>
        <v>2.5000000000000001E-5</v>
      </c>
      <c r="C30" s="17">
        <f>('Raw Data'!P30-'Raw Data'!P31)/'Raw Data'!P31</f>
        <v>2.103028001299596E-2</v>
      </c>
      <c r="D30" s="17"/>
      <c r="E30" s="17">
        <f>('Raw Data'!$F30+'Raw Data'!$H30-'Raw Data'!$F31)/('Raw Data'!$F31)</f>
        <v>1.4333546375921321E-2</v>
      </c>
      <c r="F30" s="17">
        <f>('Raw Data'!$Z30+'Raw Data'!$AB30-'Raw Data'!$Z31)/'Raw Data'!$Z31</f>
        <v>1.3461948690446843E-2</v>
      </c>
      <c r="G30" s="13">
        <f t="shared" si="1"/>
        <v>1.3897747533184082E-2</v>
      </c>
      <c r="H30" s="13">
        <f t="shared" si="0"/>
        <v>1.3854167648910357E-2</v>
      </c>
    </row>
    <row r="31" spans="1:8" x14ac:dyDescent="0.2">
      <c r="A31" s="2">
        <f t="shared" si="2"/>
        <v>41730</v>
      </c>
      <c r="B31" s="18">
        <f>'Raw Data'!$T31/12/100</f>
        <v>2.5000000000000001E-5</v>
      </c>
      <c r="C31" s="17">
        <f>('Raw Data'!P31-'Raw Data'!P32)/'Raw Data'!P32</f>
        <v>6.2007889650527552E-3</v>
      </c>
      <c r="D31" s="17"/>
      <c r="E31" s="17">
        <f>('Raw Data'!$F31+'Raw Data'!$H31-'Raw Data'!$F32)/('Raw Data'!$F32)</f>
        <v>-6.8355529671354207E-2</v>
      </c>
      <c r="F31" s="17">
        <f>('Raw Data'!$Z31+'Raw Data'!$AB31-'Raw Data'!$Z32)/'Raw Data'!$Z32</f>
        <v>-4.6353035507977064E-2</v>
      </c>
      <c r="G31" s="13">
        <f t="shared" si="1"/>
        <v>-5.7354282589665635E-2</v>
      </c>
      <c r="H31" s="13">
        <f t="shared" si="0"/>
        <v>-5.6254157881496764E-2</v>
      </c>
    </row>
    <row r="32" spans="1:8" x14ac:dyDescent="0.2">
      <c r="A32" s="2">
        <f t="shared" si="2"/>
        <v>41699</v>
      </c>
      <c r="B32" s="18">
        <f>'Raw Data'!$T32/12/100</f>
        <v>4.1666666666666665E-5</v>
      </c>
      <c r="C32" s="17">
        <f>('Raw Data'!P32-'Raw Data'!P33)/'Raw Data'!P33</f>
        <v>6.9321656079357136E-3</v>
      </c>
      <c r="D32" s="17"/>
      <c r="E32" s="17">
        <f>('Raw Data'!$F32+'Raw Data'!$H32-'Raw Data'!$F33)/('Raw Data'!$F33)</f>
        <v>-5.656577406312446E-4</v>
      </c>
      <c r="F32" s="17">
        <f>('Raw Data'!$Z32+'Raw Data'!$AB32-'Raw Data'!$Z33)/'Raw Data'!$Z33</f>
        <v>0.11558927463652036</v>
      </c>
      <c r="G32" s="13">
        <f t="shared" si="1"/>
        <v>5.7511808447944554E-2</v>
      </c>
      <c r="H32" s="13">
        <f t="shared" si="0"/>
        <v>6.3319555066802161E-2</v>
      </c>
    </row>
    <row r="33" spans="1:8" x14ac:dyDescent="0.2">
      <c r="A33" s="2">
        <f t="shared" si="2"/>
        <v>41671</v>
      </c>
      <c r="B33" s="18">
        <f>'Raw Data'!$T33/12/100</f>
        <v>4.1666666666666665E-5</v>
      </c>
      <c r="C33" s="17">
        <f>('Raw Data'!P33-'Raw Data'!P34)/'Raw Data'!P34</f>
        <v>4.3117029976595334E-2</v>
      </c>
      <c r="D33" s="17"/>
      <c r="E33" s="17">
        <f>('Raw Data'!$F33+'Raw Data'!$H33-'Raw Data'!$F34)/('Raw Data'!$F34)</f>
        <v>8.4355833396063395E-2</v>
      </c>
      <c r="F33" s="17">
        <f>('Raw Data'!$Z33+'Raw Data'!$AB33-'Raw Data'!$Z34)/'Raw Data'!$Z34</f>
        <v>5.6818152041810115E-2</v>
      </c>
      <c r="G33" s="13">
        <f t="shared" si="1"/>
        <v>7.0586992718936759E-2</v>
      </c>
      <c r="H33" s="13">
        <f t="shared" si="0"/>
        <v>6.9210108651224067E-2</v>
      </c>
    </row>
    <row r="34" spans="1:8" x14ac:dyDescent="0.2">
      <c r="A34" s="2">
        <f t="shared" si="2"/>
        <v>41640</v>
      </c>
      <c r="B34" s="18">
        <f>'Raw Data'!$T34/12/100</f>
        <v>3.3333333333333335E-5</v>
      </c>
      <c r="C34" s="17">
        <f>('Raw Data'!P34-'Raw Data'!P35)/'Raw Data'!P35</f>
        <v>-3.5582905675162646E-2</v>
      </c>
      <c r="D34" s="17"/>
      <c r="E34" s="17">
        <f>('Raw Data'!$F34+'Raw Data'!$H34-'Raw Data'!$F35)/('Raw Data'!$F35)</f>
        <v>-0.11244219983664573</v>
      </c>
      <c r="F34" s="17">
        <f>('Raw Data'!$Z34+'Raw Data'!$AB34-'Raw Data'!$Z35)/'Raw Data'!$Z35</f>
        <v>0.11775263352518321</v>
      </c>
      <c r="G34" s="13">
        <f t="shared" si="1"/>
        <v>2.6552168442687402E-3</v>
      </c>
      <c r="H34" s="13">
        <f t="shared" si="0"/>
        <v>1.4164958512360278E-2</v>
      </c>
    </row>
    <row r="35" spans="1:8" x14ac:dyDescent="0.2">
      <c r="A35" s="2">
        <f t="shared" si="2"/>
        <v>41609</v>
      </c>
      <c r="B35" s="18">
        <f>'Raw Data'!$T35/12/100</f>
        <v>5.8333333333333333E-5</v>
      </c>
      <c r="C35" s="17">
        <f>('Raw Data'!P35-'Raw Data'!P36)/'Raw Data'!P36</f>
        <v>2.3562791550492821E-2</v>
      </c>
      <c r="D35" s="17"/>
      <c r="E35" s="17">
        <f>('Raw Data'!$F35+'Raw Data'!$H35-'Raw Data'!$F36)/('Raw Data'!$F36)</f>
        <v>1.5289284167748798E-2</v>
      </c>
      <c r="F35" s="17">
        <f>('Raw Data'!$Z35+'Raw Data'!$AB35-'Raw Data'!$Z36)/'Raw Data'!$Z36</f>
        <v>5.5853516697585613E-2</v>
      </c>
      <c r="G35" s="13">
        <f t="shared" si="1"/>
        <v>3.5571400432667204E-2</v>
      </c>
      <c r="H35" s="13">
        <f t="shared" si="0"/>
        <v>3.7599612059159057E-2</v>
      </c>
    </row>
    <row r="36" spans="1:8" x14ac:dyDescent="0.2">
      <c r="A36" s="2">
        <f t="shared" si="2"/>
        <v>41579</v>
      </c>
      <c r="B36" s="18">
        <f>'Raw Data'!$T36/12/100</f>
        <v>5.8333333333333333E-5</v>
      </c>
      <c r="C36" s="17">
        <f>('Raw Data'!P36-'Raw Data'!P37)/'Raw Data'!P37</f>
        <v>2.8049471635186524E-2</v>
      </c>
      <c r="D36" s="17"/>
      <c r="E36" s="17">
        <f>('Raw Data'!$F36+'Raw Data'!$H36-'Raw Data'!$F37)/('Raw Data'!$F37)</f>
        <v>2.3977375910370195E-2</v>
      </c>
      <c r="F36" s="17">
        <f>('Raw Data'!$Z36+'Raw Data'!$AB36-'Raw Data'!$Z37)/'Raw Data'!$Z37</f>
        <v>0.14799425370437283</v>
      </c>
      <c r="G36" s="13">
        <f t="shared" si="1"/>
        <v>8.5985814807371511E-2</v>
      </c>
      <c r="H36" s="13">
        <f t="shared" si="0"/>
        <v>9.2186658697071669E-2</v>
      </c>
    </row>
    <row r="37" spans="1:8" x14ac:dyDescent="0.2">
      <c r="A37" s="2">
        <f t="shared" si="2"/>
        <v>41548</v>
      </c>
      <c r="B37" s="18">
        <f>'Raw Data'!$T37/12/100</f>
        <v>4.1666666666666665E-5</v>
      </c>
      <c r="C37" s="17">
        <f>('Raw Data'!P37-'Raw Data'!P38)/'Raw Data'!P38</f>
        <v>4.45957526180061E-2</v>
      </c>
      <c r="D37" s="17"/>
      <c r="E37" s="17">
        <f>('Raw Data'!$F37+'Raw Data'!$H37-'Raw Data'!$F38)/('Raw Data'!$F38)</f>
        <v>9.2262849247774031E-2</v>
      </c>
      <c r="F37" s="17">
        <f>('Raw Data'!$Z37+'Raw Data'!$AB37-'Raw Data'!$Z38)/'Raw Data'!$Z38</f>
        <v>-2.1570048742218819E-2</v>
      </c>
      <c r="G37" s="13">
        <f t="shared" si="1"/>
        <v>3.5346400252777604E-2</v>
      </c>
      <c r="H37" s="13">
        <f t="shared" si="0"/>
        <v>2.9654755353277912E-2</v>
      </c>
    </row>
    <row r="38" spans="1:8" x14ac:dyDescent="0.2">
      <c r="A38" s="2">
        <f t="shared" si="2"/>
        <v>41518</v>
      </c>
      <c r="B38" s="18">
        <f>'Raw Data'!$T38/12/100</f>
        <v>1.6666666666666667E-5</v>
      </c>
      <c r="C38" s="17">
        <f>('Raw Data'!P38-'Raw Data'!P39)/'Raw Data'!P39</f>
        <v>2.9749523177239098E-2</v>
      </c>
      <c r="D38" s="17"/>
      <c r="E38" s="17">
        <f>('Raw Data'!$F38+'Raw Data'!$H38-'Raw Data'!$F39)/('Raw Data'!$F39)</f>
        <v>4.1573393028461809E-2</v>
      </c>
      <c r="F38" s="17">
        <f>('Raw Data'!$Z38+'Raw Data'!$AB38-'Raw Data'!$Z39)/'Raw Data'!$Z39</f>
        <v>-2.3143349805065695E-2</v>
      </c>
      <c r="G38" s="13">
        <f t="shared" si="1"/>
        <v>9.2150216116980571E-3</v>
      </c>
      <c r="H38" s="13">
        <f t="shared" si="0"/>
        <v>5.9791844700216538E-3</v>
      </c>
    </row>
    <row r="39" spans="1:8" x14ac:dyDescent="0.2">
      <c r="A39" s="2">
        <f t="shared" si="2"/>
        <v>41487</v>
      </c>
    </row>
    <row r="41" spans="1:8" x14ac:dyDescent="0.2">
      <c r="A41" s="3" t="s">
        <v>9</v>
      </c>
      <c r="B41">
        <f>COUNT(B3:B38)</f>
        <v>36</v>
      </c>
      <c r="C41">
        <f>COUNT(C3:C38)</f>
        <v>36</v>
      </c>
      <c r="E41">
        <f>COUNT(E3:E39)</f>
        <v>36</v>
      </c>
      <c r="F41">
        <f>COUNT(F3:F38)</f>
        <v>36</v>
      </c>
      <c r="G41">
        <f>COUNT(G3:G38)</f>
        <v>36</v>
      </c>
      <c r="H41">
        <f>COUNT(H3:H38)</f>
        <v>36</v>
      </c>
    </row>
    <row r="42" spans="1:8" x14ac:dyDescent="0.2">
      <c r="A42" s="3" t="s">
        <v>10</v>
      </c>
      <c r="B42" s="14">
        <f>AVERAGE(B3:B38)</f>
        <v>8.0092592592592542E-5</v>
      </c>
      <c r="C42" s="13">
        <f>AVERAGE(C3:C38)</f>
        <v>8.4140705795262248E-3</v>
      </c>
      <c r="D42" s="13"/>
      <c r="E42" s="13">
        <f>AVERAGE(E3:E39)</f>
        <v>1.3503811581508797E-2</v>
      </c>
      <c r="F42" s="13">
        <f>AVERAGE(F3:F38)</f>
        <v>2.982373396842378E-2</v>
      </c>
      <c r="G42" s="13">
        <f>AVERAGE(G3:G38)</f>
        <v>2.166377277496629E-2</v>
      </c>
      <c r="H42" s="13">
        <f>AVERAGE(H3:H38)</f>
        <v>2.2479768894312042E-2</v>
      </c>
    </row>
    <row r="43" spans="1:8" x14ac:dyDescent="0.2">
      <c r="A43" s="3" t="s">
        <v>11</v>
      </c>
      <c r="B43" s="13">
        <f>_xlfn.STDEV.S(B3:B38)</f>
        <v>8.8847956845535285E-5</v>
      </c>
      <c r="C43" s="13">
        <f>_xlfn.STDEV.S(C3:C38)</f>
        <v>3.1299991575095852E-2</v>
      </c>
      <c r="D43" s="13"/>
      <c r="E43" s="13">
        <f>_xlfn.STDEV.S(E3:E38)</f>
        <v>7.2923369598790616E-2</v>
      </c>
      <c r="F43" s="13">
        <f>_xlfn.STDEV.S(F3:F38)</f>
        <v>6.6169540628479753E-2</v>
      </c>
      <c r="G43" s="13">
        <f>_xlfn.STDEV.S(G3:G38)</f>
        <v>4.7867718756470001E-2</v>
      </c>
      <c r="H43" s="13">
        <f>_xlfn.STDEV.S(H3:H38)</f>
        <v>4.7643635013811275E-2</v>
      </c>
    </row>
    <row r="45" spans="1:8" x14ac:dyDescent="0.2">
      <c r="F45" t="s">
        <v>43</v>
      </c>
      <c r="G45" s="26">
        <v>0.5</v>
      </c>
      <c r="H45" s="27">
        <f>'Efficient Portfolio'!B12</f>
        <v>0.44999999999999951</v>
      </c>
    </row>
    <row r="46" spans="1:8" x14ac:dyDescent="0.2">
      <c r="F46" t="s">
        <v>44</v>
      </c>
      <c r="G46" s="26">
        <v>0.5</v>
      </c>
      <c r="H46" s="17">
        <f>'Efficient Portfolio'!B13</f>
        <v>0.55000000000000027</v>
      </c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S39"/>
  <sheetViews>
    <sheetView workbookViewId="0">
      <selection activeCell="H3" sqref="H3"/>
    </sheetView>
  </sheetViews>
  <sheetFormatPr baseColWidth="10" defaultRowHeight="16" x14ac:dyDescent="0.2"/>
  <cols>
    <col min="1" max="1" width="12.6640625" bestFit="1" customWidth="1"/>
    <col min="2" max="2" width="12.6640625" customWidth="1"/>
    <col min="8" max="8" width="12" bestFit="1" customWidth="1"/>
  </cols>
  <sheetData>
    <row r="1" spans="1:19" ht="17" thickBot="1" x14ac:dyDescent="0.25">
      <c r="A1" s="16"/>
      <c r="B1" s="16"/>
      <c r="C1" s="16"/>
      <c r="D1" s="19"/>
      <c r="F1" s="16" t="s">
        <v>26</v>
      </c>
      <c r="G1" s="16"/>
      <c r="H1" s="16"/>
      <c r="J1" s="21" t="s">
        <v>37</v>
      </c>
      <c r="K1" s="16"/>
      <c r="L1" s="16"/>
      <c r="M1" s="16"/>
      <c r="N1" s="16"/>
      <c r="O1" s="16"/>
      <c r="P1" s="16"/>
      <c r="Q1" s="16"/>
      <c r="R1" s="16"/>
      <c r="S1" s="16"/>
    </row>
    <row r="2" spans="1:19" ht="17" thickBot="1" x14ac:dyDescent="0.25">
      <c r="A2" s="15" t="s">
        <v>8</v>
      </c>
      <c r="B2" s="15" t="s">
        <v>17</v>
      </c>
      <c r="C2" s="15" t="s">
        <v>16</v>
      </c>
      <c r="D2" s="1" t="s">
        <v>23</v>
      </c>
      <c r="F2" s="20" t="s">
        <v>27</v>
      </c>
      <c r="H2">
        <f>CORREL(B3:B38,C3:C38)</f>
        <v>0.68601195053589481</v>
      </c>
    </row>
    <row r="3" spans="1:19" x14ac:dyDescent="0.2">
      <c r="A3" s="2">
        <v>42583</v>
      </c>
      <c r="B3" s="17">
        <f>('Raw Data'!$F3+'Raw Data'!$H3-'Raw Data'!$F4)/('Raw Data'!$F4)</f>
        <v>7.5490246948290374E-2</v>
      </c>
      <c r="C3" s="17">
        <f>('Raw Data'!P3-'Raw Data'!P4)/'Raw Data'!P4</f>
        <v>-1.2192431360480338E-3</v>
      </c>
      <c r="D3" s="18">
        <f>'Raw Data'!$T3/12/100</f>
        <v>2.5000000000000001E-4</v>
      </c>
      <c r="F3" t="s">
        <v>28</v>
      </c>
      <c r="G3" t="s">
        <v>36</v>
      </c>
      <c r="H3">
        <f>H2^2</f>
        <v>0.47061239627806301</v>
      </c>
    </row>
    <row r="4" spans="1:19" x14ac:dyDescent="0.2">
      <c r="A4" s="2">
        <f>EDATE(A3,-1)</f>
        <v>42552</v>
      </c>
      <c r="B4" s="17">
        <f>('Raw Data'!$F4+'Raw Data'!$H4-'Raw Data'!$F5)/('Raw Data'!$F5)</f>
        <v>2.5268901044060415E-2</v>
      </c>
      <c r="C4" s="17">
        <f>('Raw Data'!P4-'Raw Data'!P5)/'Raw Data'!P5</f>
        <v>3.5609801125254283E-2</v>
      </c>
      <c r="D4" s="18">
        <f>'Raw Data'!$T4/12/100</f>
        <v>2.5000000000000001E-4</v>
      </c>
      <c r="F4" t="s">
        <v>29</v>
      </c>
      <c r="H4">
        <f>RR-((k-1)/(N-k)*(1-RR))</f>
        <v>0.45504217263918251</v>
      </c>
    </row>
    <row r="5" spans="1:19" x14ac:dyDescent="0.2">
      <c r="A5" s="2">
        <f t="shared" ref="A5:A38" si="0">EDATE(A4,-1)</f>
        <v>42522</v>
      </c>
      <c r="B5" s="17">
        <f>('Raw Data'!$F5+'Raw Data'!$H5-'Raw Data'!$F6)/('Raw Data'!$F6)</f>
        <v>1.0108693454637432E-2</v>
      </c>
      <c r="C5" s="17">
        <f>('Raw Data'!P5-'Raw Data'!P6)/'Raw Data'!P6</f>
        <v>9.1092112097811118E-4</v>
      </c>
      <c r="D5" s="18">
        <f>'Raw Data'!$T5/12/100</f>
        <v>2.2500000000000002E-4</v>
      </c>
      <c r="F5" t="s">
        <v>30</v>
      </c>
      <c r="G5" t="s">
        <v>33</v>
      </c>
      <c r="H5">
        <f>STEYX(B3:B38,C3:C38)</f>
        <v>5.3832949509775664E-2</v>
      </c>
    </row>
    <row r="6" spans="1:19" x14ac:dyDescent="0.2">
      <c r="A6" s="2">
        <f t="shared" si="0"/>
        <v>42491</v>
      </c>
      <c r="B6" s="17">
        <f>('Raw Data'!$F6+'Raw Data'!$H6-'Raw Data'!$F7)/('Raw Data'!$F7)</f>
        <v>5.2393672999663486E-2</v>
      </c>
      <c r="C6" s="17">
        <f>('Raw Data'!P6-'Raw Data'!P7)/'Raw Data'!P7</f>
        <v>1.5324602357572555E-2</v>
      </c>
      <c r="D6" s="18">
        <f>'Raw Data'!$T6/12/100</f>
        <v>2.2500000000000002E-4</v>
      </c>
      <c r="F6" t="s">
        <v>31</v>
      </c>
      <c r="G6" t="s">
        <v>34</v>
      </c>
      <c r="H6">
        <f>COUNT($B3:$B38)</f>
        <v>36</v>
      </c>
    </row>
    <row r="7" spans="1:19" x14ac:dyDescent="0.2">
      <c r="A7" s="2">
        <f t="shared" si="0"/>
        <v>42461</v>
      </c>
      <c r="B7" s="17">
        <f>('Raw Data'!$F7+'Raw Data'!$H7-'Raw Data'!$F8)/('Raw Data'!$F8)</f>
        <v>-1.0741420526142121E-2</v>
      </c>
      <c r="C7" s="17">
        <f>('Raw Data'!P7-'Raw Data'!P8)/'Raw Data'!P8</f>
        <v>2.6993984808732631E-3</v>
      </c>
      <c r="D7" s="18">
        <f>'Raw Data'!$T7/12/100</f>
        <v>1.916666666666667E-4</v>
      </c>
      <c r="F7" t="s">
        <v>32</v>
      </c>
      <c r="G7" t="s">
        <v>35</v>
      </c>
      <c r="H7">
        <v>2</v>
      </c>
    </row>
    <row r="8" spans="1:19" ht="17" thickBot="1" x14ac:dyDescent="0.25">
      <c r="A8" s="2">
        <f t="shared" si="0"/>
        <v>42430</v>
      </c>
      <c r="B8" s="17">
        <f>('Raw Data'!$F8+'Raw Data'!$H8-'Raw Data'!$F9)/('Raw Data'!$F9)</f>
        <v>0.12463167721366165</v>
      </c>
      <c r="C8" s="17">
        <f>('Raw Data'!P8-'Raw Data'!P9)/'Raw Data'!P9</f>
        <v>6.5991114577365145E-2</v>
      </c>
      <c r="D8" s="18">
        <f>'Raw Data'!$T8/12/100</f>
        <v>2.4166666666666667E-4</v>
      </c>
    </row>
    <row r="9" spans="1:19" ht="17" thickBot="1" x14ac:dyDescent="0.25">
      <c r="A9" s="2">
        <f t="shared" si="0"/>
        <v>42401</v>
      </c>
      <c r="B9" s="17">
        <f>('Raw Data'!$F9+'Raw Data'!$H9-'Raw Data'!$F10)/('Raw Data'!$F10)</f>
        <v>4.0147041368463345E-2</v>
      </c>
      <c r="C9" s="17">
        <f>('Raw Data'!P9-'Raw Data'!P10)/'Raw Data'!P10</f>
        <v>-4.1283604302991229E-3</v>
      </c>
      <c r="D9" s="18">
        <f>'Raw Data'!$T9/12/100</f>
        <v>2.5833333333333334E-4</v>
      </c>
      <c r="F9" s="16" t="s">
        <v>18</v>
      </c>
      <c r="G9" s="16"/>
      <c r="H9" s="16"/>
    </row>
    <row r="10" spans="1:19" x14ac:dyDescent="0.2">
      <c r="A10" s="2">
        <f t="shared" si="0"/>
        <v>42370</v>
      </c>
      <c r="B10" s="17">
        <f>('Raw Data'!$F10+'Raw Data'!$H10-'Raw Data'!$F11)/('Raw Data'!$F11)</f>
        <v>-3.9824331489058305E-2</v>
      </c>
      <c r="C10" s="17">
        <f>('Raw Data'!P10-'Raw Data'!P11)/'Raw Data'!P11</f>
        <v>-5.073532197294639E-2</v>
      </c>
      <c r="D10" s="18">
        <f>'Raw Data'!$T10/12/100</f>
        <v>2.1666666666666668E-4</v>
      </c>
      <c r="F10" t="s">
        <v>20</v>
      </c>
      <c r="G10" t="s">
        <v>22</v>
      </c>
      <c r="H10">
        <f>INTERCEPT($B$3:$B$38,$C$3:$C$38)</f>
        <v>5.5729865023303876E-5</v>
      </c>
    </row>
    <row r="11" spans="1:19" x14ac:dyDescent="0.2">
      <c r="A11" s="2">
        <f>EDATE(A10,-1)</f>
        <v>42339</v>
      </c>
      <c r="B11" s="17">
        <f>('Raw Data'!$F11+'Raw Data'!$H11-'Raw Data'!$F12)/('Raw Data'!$F12)</f>
        <v>-8.0258521942943098E-2</v>
      </c>
      <c r="C11" s="17">
        <f>('Raw Data'!P11-'Raw Data'!P12)/'Raw Data'!P12</f>
        <v>-1.7530185176314418E-2</v>
      </c>
      <c r="D11" s="18">
        <f>'Raw Data'!$T11/12/100</f>
        <v>1.916666666666667E-4</v>
      </c>
      <c r="F11" t="s">
        <v>19</v>
      </c>
      <c r="G11" t="s">
        <v>21</v>
      </c>
      <c r="H11">
        <f>SLOPE($B$3:$B$38,$C$3:$C$38)</f>
        <v>1.5982848716777369</v>
      </c>
    </row>
    <row r="12" spans="1:19" ht="17" thickBot="1" x14ac:dyDescent="0.25">
      <c r="A12" s="2">
        <f t="shared" si="0"/>
        <v>42309</v>
      </c>
      <c r="B12" s="17">
        <f>('Raw Data'!$F12+'Raw Data'!$H12-'Raw Data'!$F13)/('Raw Data'!$F13)</f>
        <v>-2.2380173775671326E-2</v>
      </c>
      <c r="C12" s="17">
        <f>('Raw Data'!P12-'Raw Data'!P13)/'Raw Data'!P13</f>
        <v>5.0486926072401835E-4</v>
      </c>
      <c r="D12" s="18">
        <f>'Raw Data'!$T12/12/100</f>
        <v>1E-4</v>
      </c>
    </row>
    <row r="13" spans="1:19" ht="17" thickBot="1" x14ac:dyDescent="0.25">
      <c r="A13" s="2">
        <f t="shared" si="0"/>
        <v>42278</v>
      </c>
      <c r="B13" s="17">
        <f>('Raw Data'!$F13+'Raw Data'!$H13-'Raw Data'!$F14)/('Raw Data'!$F14)</f>
        <v>0.13406980387758713</v>
      </c>
      <c r="C13" s="17">
        <f>('Raw Data'!P13-'Raw Data'!P14)/'Raw Data'!P14</f>
        <v>8.2983117760394132E-2</v>
      </c>
      <c r="D13" s="18">
        <f>'Raw Data'!$T13/12/100</f>
        <v>1.6666666666666667E-5</v>
      </c>
      <c r="F13" s="16" t="s">
        <v>53</v>
      </c>
      <c r="G13" s="16"/>
      <c r="H13" s="16"/>
    </row>
    <row r="14" spans="1:19" x14ac:dyDescent="0.2">
      <c r="A14" s="2">
        <f>EDATE(A13,-1)</f>
        <v>42248</v>
      </c>
      <c r="B14" s="17">
        <f>('Raw Data'!$F14+'Raw Data'!$H14-'Raw Data'!$F15)/('Raw Data'!$F15)</f>
        <v>-3.6092752792896109E-2</v>
      </c>
      <c r="C14" s="17">
        <f>('Raw Data'!P14-'Raw Data'!P15)/'Raw Data'!P15</f>
        <v>-2.6442831573227094E-2</v>
      </c>
      <c r="D14" s="18">
        <f>'Raw Data'!$T14/12/100</f>
        <v>1.6666666666666667E-5</v>
      </c>
      <c r="G14" t="s">
        <v>57</v>
      </c>
      <c r="H14" t="s">
        <v>48</v>
      </c>
    </row>
    <row r="15" spans="1:19" x14ac:dyDescent="0.2">
      <c r="A15" s="2">
        <f t="shared" si="0"/>
        <v>42217</v>
      </c>
      <c r="B15" s="17">
        <f>('Raw Data'!$F15+'Raw Data'!$H15-'Raw Data'!$F16)/('Raw Data'!$F16)</f>
        <v>-2.5404801786711437E-2</v>
      </c>
      <c r="C15" s="17">
        <f>('Raw Data'!P15-'Raw Data'!P16)/'Raw Data'!P16</f>
        <v>-6.2580818167202831E-2</v>
      </c>
      <c r="D15" s="18">
        <f>'Raw Data'!$T15/12/100</f>
        <v>5.8333333333333333E-5</v>
      </c>
      <c r="F15" t="s">
        <v>54</v>
      </c>
      <c r="G15" s="13">
        <f>MIN(C3:C38)</f>
        <v>-6.2580818167202831E-2</v>
      </c>
      <c r="H15" s="13">
        <f>$H$10+$H$11*$G15</f>
        <v>-9.9966245068832255E-2</v>
      </c>
    </row>
    <row r="16" spans="1:19" x14ac:dyDescent="0.2">
      <c r="A16" s="2">
        <f t="shared" si="0"/>
        <v>42186</v>
      </c>
      <c r="B16" s="17">
        <f>('Raw Data'!$F16+'Raw Data'!$H16-'Raw Data'!$F17)/('Raw Data'!$F17)</f>
        <v>5.3529411764705888E-2</v>
      </c>
      <c r="C16" s="17">
        <f>('Raw Data'!P16-'Raw Data'!P17)/'Raw Data'!P17</f>
        <v>1.9742029696721345E-2</v>
      </c>
      <c r="D16" s="18">
        <f>'Raw Data'!$T16/12/100</f>
        <v>2.5000000000000001E-5</v>
      </c>
      <c r="F16" t="s">
        <v>55</v>
      </c>
      <c r="G16" s="13">
        <f>AVERAGE(C3:C38)</f>
        <v>8.4140705795262248E-3</v>
      </c>
      <c r="H16" s="13">
        <f>$H$10+$H$11*$G16</f>
        <v>1.3503811581508797E-2</v>
      </c>
    </row>
    <row r="17" spans="1:8" x14ac:dyDescent="0.2">
      <c r="A17" s="2">
        <f t="shared" si="0"/>
        <v>42156</v>
      </c>
      <c r="B17" s="17">
        <f>('Raw Data'!$F17+'Raw Data'!$H17-'Raw Data'!$F18)/('Raw Data'!$F18)</f>
        <v>7.0755310775666011E-3</v>
      </c>
      <c r="C17" s="17">
        <f>('Raw Data'!P17-'Raw Data'!P18)/'Raw Data'!P18</f>
        <v>-2.1011672375900521E-2</v>
      </c>
      <c r="D17" s="18">
        <f>'Raw Data'!$T17/12/100</f>
        <v>1.6666666666666667E-5</v>
      </c>
      <c r="F17" t="s">
        <v>56</v>
      </c>
      <c r="G17" s="13">
        <f>MAX(C3:C38)</f>
        <v>8.2983117760394132E-2</v>
      </c>
      <c r="H17" s="13">
        <f>$H$10+$H$11*$G17</f>
        <v>0.13268639158611337</v>
      </c>
    </row>
    <row r="18" spans="1:8" x14ac:dyDescent="0.2">
      <c r="A18" s="2">
        <f t="shared" si="0"/>
        <v>42125</v>
      </c>
      <c r="B18" s="17">
        <f>('Raw Data'!$F18+'Raw Data'!$H18-'Raw Data'!$F19)/('Raw Data'!$F19)</f>
        <v>3.4777273788202473E-2</v>
      </c>
      <c r="C18" s="17">
        <f>('Raw Data'!P18-'Raw Data'!P19)/'Raw Data'!P19</f>
        <v>1.0491382393316857E-2</v>
      </c>
      <c r="D18" s="18">
        <f>'Raw Data'!$T18/12/100</f>
        <v>1.6666666666666667E-5</v>
      </c>
    </row>
    <row r="19" spans="1:8" x14ac:dyDescent="0.2">
      <c r="A19" s="2">
        <f t="shared" si="0"/>
        <v>42095</v>
      </c>
      <c r="B19" s="17">
        <f>('Raw Data'!$F19+'Raw Data'!$H19-'Raw Data'!$F20)/('Raw Data'!$F20)</f>
        <v>-0.12282579937987163</v>
      </c>
      <c r="C19" s="17">
        <f>('Raw Data'!P19-'Raw Data'!P20)/'Raw Data'!P20</f>
        <v>8.5208197301247391E-3</v>
      </c>
      <c r="D19" s="18">
        <f>'Raw Data'!$T19/12/100</f>
        <v>1.6666666666666667E-5</v>
      </c>
    </row>
    <row r="20" spans="1:8" x14ac:dyDescent="0.2">
      <c r="A20" s="2">
        <f t="shared" si="0"/>
        <v>42064</v>
      </c>
      <c r="B20" s="17">
        <f>('Raw Data'!$F20+'Raw Data'!$H20-'Raw Data'!$F21)/('Raw Data'!$F21)</f>
        <v>3.6187789055585944E-2</v>
      </c>
      <c r="C20" s="17">
        <f>('Raw Data'!P20-'Raw Data'!P21)/'Raw Data'!P21</f>
        <v>-1.7396106913756221E-2</v>
      </c>
      <c r="D20" s="18">
        <f>'Raw Data'!$T20/12/100</f>
        <v>2.5000000000000001E-5</v>
      </c>
    </row>
    <row r="21" spans="1:8" x14ac:dyDescent="0.2">
      <c r="A21" s="2">
        <f t="shared" si="0"/>
        <v>42036</v>
      </c>
      <c r="B21" s="17">
        <f>('Raw Data'!$F21+'Raw Data'!$H21-'Raw Data'!$F22)/('Raw Data'!$F22)</f>
        <v>0.10906869206705543</v>
      </c>
      <c r="C21" s="17">
        <f>('Raw Data'!P21-'Raw Data'!P22)/'Raw Data'!P22</f>
        <v>5.4892511014553995E-2</v>
      </c>
      <c r="D21" s="18">
        <f>'Raw Data'!$T21/12/100</f>
        <v>1.6666666666666667E-5</v>
      </c>
    </row>
    <row r="22" spans="1:8" x14ac:dyDescent="0.2">
      <c r="A22" s="2">
        <f t="shared" si="0"/>
        <v>42005</v>
      </c>
      <c r="B22" s="17">
        <f>('Raw Data'!$F22+'Raw Data'!$H22-'Raw Data'!$F23)/('Raw Data'!$F23)</f>
        <v>-5.2601130208157695E-2</v>
      </c>
      <c r="C22" s="17">
        <f>('Raw Data'!P22-'Raw Data'!P23)/'Raw Data'!P23</f>
        <v>-3.1040805790470173E-2</v>
      </c>
      <c r="D22" s="18">
        <f>'Raw Data'!$T22/12/100</f>
        <v>2.5000000000000001E-5</v>
      </c>
    </row>
    <row r="23" spans="1:8" x14ac:dyDescent="0.2">
      <c r="A23" s="2">
        <f t="shared" si="0"/>
        <v>41974</v>
      </c>
      <c r="B23" s="17">
        <f>('Raw Data'!$F23+'Raw Data'!$H23-'Raw Data'!$F24)/('Raw Data'!$F24)</f>
        <v>4.2168583067211322E-2</v>
      </c>
      <c r="C23" s="17">
        <f>('Raw Data'!P23-'Raw Data'!P24)/'Raw Data'!P24</f>
        <v>-4.1885878779204062E-3</v>
      </c>
      <c r="D23" s="18">
        <f>'Raw Data'!$T23/12/100</f>
        <v>2.5000000000000001E-5</v>
      </c>
    </row>
    <row r="24" spans="1:8" x14ac:dyDescent="0.2">
      <c r="A24" s="2">
        <f t="shared" si="0"/>
        <v>41944</v>
      </c>
      <c r="B24" s="17">
        <f>('Raw Data'!$F24+'Raw Data'!$H24-'Raw Data'!$F25)/('Raw Data'!$F25)</f>
        <v>3.6275390793507195E-3</v>
      </c>
      <c r="C24" s="17">
        <f>('Raw Data'!P24-'Raw Data'!P25)/'Raw Data'!P25</f>
        <v>2.4533588760364766E-2</v>
      </c>
      <c r="D24" s="18">
        <f>'Raw Data'!$T24/12/100</f>
        <v>1.6666666666666667E-5</v>
      </c>
    </row>
    <row r="25" spans="1:8" x14ac:dyDescent="0.2">
      <c r="A25" s="2">
        <f t="shared" si="0"/>
        <v>41913</v>
      </c>
      <c r="B25" s="17">
        <f>('Raw Data'!$F25+'Raw Data'!$H25-'Raw Data'!$F26)/('Raw Data'!$F26)</f>
        <v>0.13481996569468274</v>
      </c>
      <c r="C25" s="17">
        <f>('Raw Data'!P25-'Raw Data'!P26)/'Raw Data'!P26</f>
        <v>2.3201460786772227E-2</v>
      </c>
      <c r="D25" s="18">
        <f>'Raw Data'!$T25/12/100</f>
        <v>1.6666666666666667E-5</v>
      </c>
    </row>
    <row r="26" spans="1:8" x14ac:dyDescent="0.2">
      <c r="A26" s="2">
        <f t="shared" si="0"/>
        <v>41883</v>
      </c>
      <c r="B26" s="17">
        <f>('Raw Data'!$F26+'Raw Data'!$H26-'Raw Data'!$F27)/('Raw Data'!$F27)</f>
        <v>-9.3750000000000028E-2</v>
      </c>
      <c r="C26" s="17">
        <f>('Raw Data'!P26-'Raw Data'!P27)/'Raw Data'!P27</f>
        <v>-1.5513837223063749E-2</v>
      </c>
      <c r="D26" s="18">
        <f>'Raw Data'!$T26/12/100</f>
        <v>1.6666666666666667E-5</v>
      </c>
    </row>
    <row r="27" spans="1:8" x14ac:dyDescent="0.2">
      <c r="A27" s="2">
        <f t="shared" si="0"/>
        <v>41852</v>
      </c>
      <c r="B27" s="17">
        <f>('Raw Data'!$F27+'Raw Data'!$H27-'Raw Data'!$F28)/('Raw Data'!$F28)</f>
        <v>6.2808286747780342E-2</v>
      </c>
      <c r="C27" s="17">
        <f>('Raw Data'!P27-'Raw Data'!P28)/'Raw Data'!P28</f>
        <v>3.7655295489735195E-2</v>
      </c>
      <c r="D27" s="18">
        <f>'Raw Data'!$T27/12/100</f>
        <v>2.5000000000000001E-5</v>
      </c>
    </row>
    <row r="28" spans="1:8" x14ac:dyDescent="0.2">
      <c r="A28" s="2">
        <f t="shared" si="0"/>
        <v>41821</v>
      </c>
      <c r="B28" s="17">
        <f>('Raw Data'!$F28+'Raw Data'!$H28-'Raw Data'!$F29)/('Raw Data'!$F29)</f>
        <v>-0.15979100220596795</v>
      </c>
      <c r="C28" s="17">
        <f>('Raw Data'!P28-'Raw Data'!P29)/'Raw Data'!P29</f>
        <v>-1.5079830581919834E-2</v>
      </c>
      <c r="D28" s="18">
        <f>'Raw Data'!$T28/12/100</f>
        <v>2.5000000000000001E-5</v>
      </c>
    </row>
    <row r="29" spans="1:8" x14ac:dyDescent="0.2">
      <c r="A29" s="2">
        <f t="shared" si="0"/>
        <v>41791</v>
      </c>
      <c r="B29" s="17">
        <f>('Raw Data'!$F29+'Raw Data'!$H29-'Raw Data'!$F30)/('Raw Data'!$F30)</f>
        <v>9.3205146915522771E-2</v>
      </c>
      <c r="C29" s="17">
        <f>('Raw Data'!P29-'Raw Data'!P30)/'Raw Data'!P30</f>
        <v>1.9058331658920603E-2</v>
      </c>
      <c r="D29" s="18">
        <f>'Raw Data'!$T29/12/100</f>
        <v>3.3333333333333335E-5</v>
      </c>
    </row>
    <row r="30" spans="1:8" x14ac:dyDescent="0.2">
      <c r="A30" s="2">
        <f t="shared" si="0"/>
        <v>41760</v>
      </c>
      <c r="B30" s="17">
        <f>('Raw Data'!$F30+'Raw Data'!$H30-'Raw Data'!$F31)/('Raw Data'!$F31)</f>
        <v>1.4333546375921321E-2</v>
      </c>
      <c r="C30" s="17">
        <f>('Raw Data'!P30-'Raw Data'!P31)/'Raw Data'!P31</f>
        <v>2.103028001299596E-2</v>
      </c>
      <c r="D30" s="18">
        <f>'Raw Data'!$T30/12/100</f>
        <v>2.5000000000000001E-5</v>
      </c>
    </row>
    <row r="31" spans="1:8" x14ac:dyDescent="0.2">
      <c r="A31" s="2">
        <f t="shared" si="0"/>
        <v>41730</v>
      </c>
      <c r="B31" s="17">
        <f>('Raw Data'!$F31+'Raw Data'!$H31-'Raw Data'!$F32)/('Raw Data'!$F32)</f>
        <v>-6.8355529671354207E-2</v>
      </c>
      <c r="C31" s="17">
        <f>('Raw Data'!P31-'Raw Data'!P32)/'Raw Data'!P32</f>
        <v>6.2007889650527552E-3</v>
      </c>
      <c r="D31" s="18">
        <f>'Raw Data'!$T31/12/100</f>
        <v>2.5000000000000001E-5</v>
      </c>
    </row>
    <row r="32" spans="1:8" x14ac:dyDescent="0.2">
      <c r="A32" s="2">
        <f t="shared" si="0"/>
        <v>41699</v>
      </c>
      <c r="B32" s="17">
        <f>('Raw Data'!$F32+'Raw Data'!$H32-'Raw Data'!$F33)/('Raw Data'!$F33)</f>
        <v>-5.656577406312446E-4</v>
      </c>
      <c r="C32" s="17">
        <f>('Raw Data'!P32-'Raw Data'!P33)/'Raw Data'!P33</f>
        <v>6.9321656079357136E-3</v>
      </c>
      <c r="D32" s="18">
        <f>'Raw Data'!$T32/12/100</f>
        <v>4.1666666666666665E-5</v>
      </c>
    </row>
    <row r="33" spans="1:4" x14ac:dyDescent="0.2">
      <c r="A33" s="2">
        <f t="shared" si="0"/>
        <v>41671</v>
      </c>
      <c r="B33" s="17">
        <f>('Raw Data'!$F33+'Raw Data'!$H33-'Raw Data'!$F34)/('Raw Data'!$F34)</f>
        <v>8.4355833396063395E-2</v>
      </c>
      <c r="C33" s="17">
        <f>('Raw Data'!P33-'Raw Data'!P34)/'Raw Data'!P34</f>
        <v>4.3117029976595334E-2</v>
      </c>
      <c r="D33" s="18">
        <f>'Raw Data'!$T33/12/100</f>
        <v>4.1666666666666665E-5</v>
      </c>
    </row>
    <row r="34" spans="1:4" x14ac:dyDescent="0.2">
      <c r="A34" s="2">
        <f t="shared" si="0"/>
        <v>41640</v>
      </c>
      <c r="B34" s="17">
        <f>('Raw Data'!$F34+'Raw Data'!$H34-'Raw Data'!$F35)/('Raw Data'!$F35)</f>
        <v>-0.11244219983664573</v>
      </c>
      <c r="C34" s="17">
        <f>('Raw Data'!P34-'Raw Data'!P35)/'Raw Data'!P35</f>
        <v>-3.5582905675162646E-2</v>
      </c>
      <c r="D34" s="18">
        <f>'Raw Data'!$T34/12/100</f>
        <v>3.3333333333333335E-5</v>
      </c>
    </row>
    <row r="35" spans="1:4" x14ac:dyDescent="0.2">
      <c r="A35" s="2">
        <f t="shared" si="0"/>
        <v>41609</v>
      </c>
      <c r="B35" s="17">
        <f>('Raw Data'!$F35+'Raw Data'!$H35-'Raw Data'!$F36)/('Raw Data'!$F36)</f>
        <v>1.5289284167748798E-2</v>
      </c>
      <c r="C35" s="17">
        <f>('Raw Data'!P35-'Raw Data'!P36)/'Raw Data'!P36</f>
        <v>2.3562791550492821E-2</v>
      </c>
      <c r="D35" s="18">
        <f>'Raw Data'!$T35/12/100</f>
        <v>5.8333333333333333E-5</v>
      </c>
    </row>
    <row r="36" spans="1:4" x14ac:dyDescent="0.2">
      <c r="A36" s="2">
        <f t="shared" si="0"/>
        <v>41579</v>
      </c>
      <c r="B36" s="17">
        <f>('Raw Data'!$F36+'Raw Data'!$H36-'Raw Data'!$F37)/('Raw Data'!$F37)</f>
        <v>2.3977375910370195E-2</v>
      </c>
      <c r="C36" s="17">
        <f>('Raw Data'!P36-'Raw Data'!P37)/'Raw Data'!P37</f>
        <v>2.8049471635186524E-2</v>
      </c>
      <c r="D36" s="18">
        <f>'Raw Data'!$T36/12/100</f>
        <v>5.8333333333333333E-5</v>
      </c>
    </row>
    <row r="37" spans="1:4" x14ac:dyDescent="0.2">
      <c r="A37" s="2">
        <f t="shared" si="0"/>
        <v>41548</v>
      </c>
      <c r="B37" s="17">
        <f>('Raw Data'!$F37+'Raw Data'!$H37-'Raw Data'!$F38)/('Raw Data'!$F38)</f>
        <v>9.2262849247774031E-2</v>
      </c>
      <c r="C37" s="17">
        <f>('Raw Data'!P37-'Raw Data'!P38)/'Raw Data'!P38</f>
        <v>4.45957526180061E-2</v>
      </c>
      <c r="D37" s="18">
        <f>'Raw Data'!$T37/12/100</f>
        <v>4.1666666666666665E-5</v>
      </c>
    </row>
    <row r="38" spans="1:4" x14ac:dyDescent="0.2">
      <c r="A38" s="2">
        <f t="shared" si="0"/>
        <v>41518</v>
      </c>
      <c r="B38" s="17">
        <f>('Raw Data'!$F38+'Raw Data'!$H38-'Raw Data'!$F39)/('Raw Data'!$F39)</f>
        <v>4.1573393028461809E-2</v>
      </c>
      <c r="C38" s="17">
        <f>('Raw Data'!P38-'Raw Data'!P39)/'Raw Data'!P39</f>
        <v>2.9749523177239098E-2</v>
      </c>
      <c r="D38" s="18">
        <f>'Raw Data'!$T38/12/100</f>
        <v>1.6666666666666667E-5</v>
      </c>
    </row>
    <row r="39" spans="1:4" x14ac:dyDescent="0.2">
      <c r="A39" s="2"/>
      <c r="B39" s="2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I103"/>
  <sheetViews>
    <sheetView zoomScale="101" workbookViewId="0">
      <selection activeCell="M39" sqref="M39"/>
    </sheetView>
  </sheetViews>
  <sheetFormatPr baseColWidth="10" defaultRowHeight="16" x14ac:dyDescent="0.2"/>
  <cols>
    <col min="2" max="2" width="12.6640625" bestFit="1" customWidth="1"/>
    <col min="7" max="7" width="20.33203125" bestFit="1" customWidth="1"/>
    <col min="8" max="8" width="12.6640625" bestFit="1" customWidth="1"/>
  </cols>
  <sheetData>
    <row r="1" spans="1:9" ht="17" thickBot="1" x14ac:dyDescent="0.25">
      <c r="A1" s="16"/>
      <c r="B1" s="4" t="s">
        <v>42</v>
      </c>
      <c r="C1" s="4"/>
      <c r="E1" s="23"/>
      <c r="F1" s="23"/>
      <c r="G1" s="24" t="s">
        <v>47</v>
      </c>
      <c r="H1" s="23"/>
      <c r="I1" s="23"/>
    </row>
    <row r="2" spans="1:9" ht="17" thickBot="1" x14ac:dyDescent="0.25">
      <c r="B2" s="1" t="s">
        <v>43</v>
      </c>
      <c r="C2" s="1" t="s">
        <v>44</v>
      </c>
      <c r="E2" s="1" t="s">
        <v>43</v>
      </c>
      <c r="F2" s="1" t="s">
        <v>44</v>
      </c>
      <c r="G2" s="1" t="s">
        <v>48</v>
      </c>
      <c r="H2" s="1" t="s">
        <v>45</v>
      </c>
      <c r="I2" s="1" t="s">
        <v>49</v>
      </c>
    </row>
    <row r="3" spans="1:9" x14ac:dyDescent="0.2">
      <c r="A3" t="s">
        <v>9</v>
      </c>
      <c r="B3" s="22">
        <f>Returns!E41</f>
        <v>36</v>
      </c>
      <c r="C3" s="22">
        <f>Returns!F41</f>
        <v>36</v>
      </c>
      <c r="E3" s="13">
        <v>1</v>
      </c>
      <c r="F3" s="13">
        <f>0</f>
        <v>0</v>
      </c>
      <c r="G3" s="13">
        <f>E3*$B$4+F3*$C$4</f>
        <v>1.3503811581508797E-2</v>
      </c>
      <c r="H3" s="25">
        <f>SQRT((E3^2*$B$5^2)+(F3^2*$C$5^2)+(2*E3*F3*$B$5*$C$5*$C$6))</f>
        <v>7.2923369598790616E-2</v>
      </c>
      <c r="I3" s="25" t="str">
        <f>IF(G3&gt;=Returns!$H$42,H3,"inefficient")</f>
        <v>inefficient</v>
      </c>
    </row>
    <row r="4" spans="1:9" x14ac:dyDescent="0.2">
      <c r="A4" t="s">
        <v>10</v>
      </c>
      <c r="B4" s="17">
        <f>Returns!E42</f>
        <v>1.3503811581508797E-2</v>
      </c>
      <c r="C4" s="17">
        <f>Returns!F42</f>
        <v>2.982373396842378E-2</v>
      </c>
      <c r="E4" s="13">
        <f>E3-0.01</f>
        <v>0.99</v>
      </c>
      <c r="F4" s="13">
        <f>F3+0.01</f>
        <v>0.01</v>
      </c>
      <c r="G4" s="13">
        <f t="shared" ref="G4:G67" si="0">E4*$B$4+F4*$C$4</f>
        <v>1.3667010805377945E-2</v>
      </c>
      <c r="H4" s="25">
        <f t="shared" ref="H4:H67" si="1">SQRT((E4^2*$B$5^2)+(F4^2*$C$5^2)+(2*E4*F4*$B$5*$C$5*$C$6))</f>
        <v>7.2160755783938491E-2</v>
      </c>
      <c r="I4" s="25" t="str">
        <f>IF(G4&gt;=Returns!$H$42,H4,"inefficient")</f>
        <v>inefficient</v>
      </c>
    </row>
    <row r="5" spans="1:9" x14ac:dyDescent="0.2">
      <c r="A5" t="s">
        <v>46</v>
      </c>
      <c r="B5" s="17">
        <f>Returns!E43</f>
        <v>7.2923369598790616E-2</v>
      </c>
      <c r="C5" s="17">
        <f>Returns!F43</f>
        <v>6.6169540628479753E-2</v>
      </c>
      <c r="E5" s="13">
        <f t="shared" ref="E5:E68" si="2">E4-0.01</f>
        <v>0.98</v>
      </c>
      <c r="F5" s="13">
        <f t="shared" ref="F5:F68" si="3">F4+0.01</f>
        <v>0.02</v>
      </c>
      <c r="G5" s="13">
        <f t="shared" si="0"/>
        <v>1.3830210029247097E-2</v>
      </c>
      <c r="H5" s="25">
        <f t="shared" si="1"/>
        <v>7.1404320265329127E-2</v>
      </c>
      <c r="I5" s="25" t="str">
        <f>IF(G5&gt;=Returns!$H$42,H5,"inefficient")</f>
        <v>inefficient</v>
      </c>
    </row>
    <row r="6" spans="1:9" x14ac:dyDescent="0.2">
      <c r="A6" t="s">
        <v>50</v>
      </c>
      <c r="C6" s="13">
        <f>CORREL(Returns!E3:E38,Returns!F3:F38)</f>
        <v>-5.5017439248291243E-2</v>
      </c>
      <c r="E6" s="13">
        <f t="shared" si="2"/>
        <v>0.97</v>
      </c>
      <c r="F6" s="13">
        <f t="shared" si="3"/>
        <v>0.03</v>
      </c>
      <c r="G6" s="13">
        <f t="shared" si="0"/>
        <v>1.3993409253116245E-2</v>
      </c>
      <c r="H6" s="25">
        <f t="shared" si="1"/>
        <v>7.0654261480644368E-2</v>
      </c>
      <c r="I6" s="25" t="str">
        <f>IF(G6&gt;=Returns!$H$42,H6,"inefficient")</f>
        <v>inefficient</v>
      </c>
    </row>
    <row r="7" spans="1:9" x14ac:dyDescent="0.2">
      <c r="E7" s="13">
        <f t="shared" si="2"/>
        <v>0.96</v>
      </c>
      <c r="F7" s="13">
        <f t="shared" si="3"/>
        <v>0.04</v>
      </c>
      <c r="G7" s="13">
        <f t="shared" si="0"/>
        <v>1.4156608476985397E-2</v>
      </c>
      <c r="H7" s="25">
        <f t="shared" si="1"/>
        <v>6.9910784674282786E-2</v>
      </c>
      <c r="I7" s="25" t="str">
        <f>IF(G7&gt;=Returns!$H$42,H7,"inefficient")</f>
        <v>inefficient</v>
      </c>
    </row>
    <row r="8" spans="1:9" ht="17" thickBot="1" x14ac:dyDescent="0.25">
      <c r="E8" s="13">
        <f t="shared" si="2"/>
        <v>0.95</v>
      </c>
      <c r="F8" s="13">
        <f t="shared" si="3"/>
        <v>0.05</v>
      </c>
      <c r="G8" s="13">
        <f t="shared" si="0"/>
        <v>1.4319807700854545E-2</v>
      </c>
      <c r="H8" s="25">
        <f t="shared" si="1"/>
        <v>6.9174102074039887E-2</v>
      </c>
      <c r="I8" s="25" t="str">
        <f>IF(G8&gt;=Returns!$H$42,H8,"inefficient")</f>
        <v>inefficient</v>
      </c>
    </row>
    <row r="9" spans="1:9" ht="17" thickBot="1" x14ac:dyDescent="0.25">
      <c r="A9" s="16"/>
      <c r="B9" s="16" t="s">
        <v>51</v>
      </c>
      <c r="C9" s="16"/>
      <c r="E9" s="13">
        <f t="shared" si="2"/>
        <v>0.94</v>
      </c>
      <c r="F9" s="13">
        <f t="shared" si="3"/>
        <v>6.0000000000000005E-2</v>
      </c>
      <c r="G9" s="13">
        <f t="shared" si="0"/>
        <v>1.4483006924723695E-2</v>
      </c>
      <c r="H9" s="25">
        <f t="shared" si="1"/>
        <v>6.8444433062905416E-2</v>
      </c>
      <c r="I9" s="25" t="str">
        <f>IF(G9&gt;=Returns!$H$42,H9,"inefficient")</f>
        <v>inefficient</v>
      </c>
    </row>
    <row r="10" spans="1:9" x14ac:dyDescent="0.2">
      <c r="A10" t="s">
        <v>46</v>
      </c>
      <c r="B10" s="25">
        <f>MIN(H3:H103)</f>
        <v>4.7643635013811261E-2</v>
      </c>
      <c r="E10" s="13">
        <f t="shared" si="2"/>
        <v>0.92999999999999994</v>
      </c>
      <c r="F10" s="13">
        <f t="shared" si="3"/>
        <v>7.0000000000000007E-2</v>
      </c>
      <c r="G10" s="13">
        <f t="shared" si="0"/>
        <v>1.4646206148592845E-2</v>
      </c>
      <c r="H10" s="25">
        <f t="shared" si="1"/>
        <v>6.7722004344470496E-2</v>
      </c>
      <c r="I10" s="25" t="str">
        <f>IF(G10&gt;=Returns!$H$42,H10,"inefficient")</f>
        <v>inefficient</v>
      </c>
    </row>
    <row r="11" spans="1:9" x14ac:dyDescent="0.2">
      <c r="A11" t="s">
        <v>52</v>
      </c>
      <c r="B11">
        <v>58</v>
      </c>
      <c r="E11" s="13">
        <f t="shared" si="2"/>
        <v>0.91999999999999993</v>
      </c>
      <c r="F11" s="13">
        <f t="shared" si="3"/>
        <v>0.08</v>
      </c>
      <c r="G11" s="13">
        <f t="shared" si="0"/>
        <v>1.4809405372461995E-2</v>
      </c>
      <c r="H11" s="25">
        <f t="shared" si="1"/>
        <v>6.7007050100265655E-2</v>
      </c>
      <c r="I11" s="25" t="str">
        <f>IF(G11&gt;=Returns!$H$42,H11,"inefficient")</f>
        <v>inefficient</v>
      </c>
    </row>
    <row r="12" spans="1:9" x14ac:dyDescent="0.2">
      <c r="A12" t="s">
        <v>43</v>
      </c>
      <c r="B12" s="13">
        <f>INDEX($E$3:$E$103,MATCH($B$10,$H$3:$H$103,0))</f>
        <v>0.44999999999999951</v>
      </c>
      <c r="E12" s="13">
        <f t="shared" si="2"/>
        <v>0.90999999999999992</v>
      </c>
      <c r="F12" s="13">
        <f t="shared" si="3"/>
        <v>0.09</v>
      </c>
      <c r="G12" s="13">
        <f t="shared" si="0"/>
        <v>1.4972604596331143E-2</v>
      </c>
      <c r="H12" s="25">
        <f t="shared" si="1"/>
        <v>6.6299812137166986E-2</v>
      </c>
      <c r="I12" s="25" t="str">
        <f>IF(G12&gt;=Returns!$H$42,H12,"inefficient")</f>
        <v>inefficient</v>
      </c>
    </row>
    <row r="13" spans="1:9" x14ac:dyDescent="0.2">
      <c r="A13" t="s">
        <v>44</v>
      </c>
      <c r="B13" s="13">
        <f>INDEX($F$3:$F$103,MATCH($B$10,$H$3:$H$103,0))</f>
        <v>0.55000000000000027</v>
      </c>
      <c r="E13" s="13">
        <f t="shared" si="2"/>
        <v>0.89999999999999991</v>
      </c>
      <c r="F13" s="13">
        <f t="shared" si="3"/>
        <v>9.9999999999999992E-2</v>
      </c>
      <c r="G13" s="13">
        <f t="shared" si="0"/>
        <v>1.5135803820200295E-2</v>
      </c>
      <c r="H13" s="25">
        <f t="shared" si="1"/>
        <v>6.5600540022814208E-2</v>
      </c>
      <c r="I13" s="25" t="str">
        <f>IF(G13&gt;=Returns!$H$42,H13,"inefficient")</f>
        <v>inefficient</v>
      </c>
    </row>
    <row r="14" spans="1:9" x14ac:dyDescent="0.2">
      <c r="E14" s="13">
        <f t="shared" si="2"/>
        <v>0.8899999999999999</v>
      </c>
      <c r="F14" s="13">
        <f t="shared" si="3"/>
        <v>0.10999999999999999</v>
      </c>
      <c r="G14" s="13">
        <f t="shared" si="0"/>
        <v>1.5299003044069443E-2</v>
      </c>
      <c r="H14" s="25">
        <f t="shared" si="1"/>
        <v>6.4909491206780814E-2</v>
      </c>
      <c r="I14" s="25" t="str">
        <f>IF(G14&gt;=Returns!$H$42,H14,"inefficient")</f>
        <v>inefficient</v>
      </c>
    </row>
    <row r="15" spans="1:9" x14ac:dyDescent="0.2">
      <c r="E15" s="13">
        <f t="shared" si="2"/>
        <v>0.87999999999999989</v>
      </c>
      <c r="F15" s="13">
        <f t="shared" si="3"/>
        <v>0.11999999999999998</v>
      </c>
      <c r="G15" s="13">
        <f t="shared" si="0"/>
        <v>1.5462202267938593E-2</v>
      </c>
      <c r="H15" s="25">
        <f t="shared" si="1"/>
        <v>6.4226931125023826E-2</v>
      </c>
      <c r="I15" s="25" t="str">
        <f>IF(G15&gt;=Returns!$H$42,H15,"inefficient")</f>
        <v>inefficient</v>
      </c>
    </row>
    <row r="16" spans="1:9" x14ac:dyDescent="0.2">
      <c r="E16" s="13">
        <f t="shared" si="2"/>
        <v>0.86999999999999988</v>
      </c>
      <c r="F16" s="13">
        <f t="shared" si="3"/>
        <v>0.12999999999999998</v>
      </c>
      <c r="G16" s="13">
        <f t="shared" si="0"/>
        <v>1.5625401491807741E-2</v>
      </c>
      <c r="H16" s="25">
        <f t="shared" si="1"/>
        <v>6.3553133284921862E-2</v>
      </c>
      <c r="I16" s="25" t="str">
        <f>IF(G16&gt;=Returns!$H$42,H16,"inefficient")</f>
        <v>inefficient</v>
      </c>
    </row>
    <row r="17" spans="5:9" x14ac:dyDescent="0.2">
      <c r="E17" s="13">
        <f t="shared" si="2"/>
        <v>0.85999999999999988</v>
      </c>
      <c r="F17" s="13">
        <f t="shared" si="3"/>
        <v>0.13999999999999999</v>
      </c>
      <c r="G17" s="13">
        <f t="shared" si="0"/>
        <v>1.5788600715676893E-2</v>
      </c>
      <c r="H17" s="25">
        <f t="shared" si="1"/>
        <v>6.2888379327985744E-2</v>
      </c>
      <c r="I17" s="25" t="str">
        <f>IF(G17&gt;=Returns!$H$42,H17,"inefficient")</f>
        <v>inefficient</v>
      </c>
    </row>
    <row r="18" spans="5:9" x14ac:dyDescent="0.2">
      <c r="E18" s="13">
        <f t="shared" si="2"/>
        <v>0.84999999999999987</v>
      </c>
      <c r="F18" s="13">
        <f t="shared" si="3"/>
        <v>0.15</v>
      </c>
      <c r="G18" s="13">
        <f t="shared" si="0"/>
        <v>1.5951799939546041E-2</v>
      </c>
      <c r="H18" s="25">
        <f t="shared" si="1"/>
        <v>6.2232959067099629E-2</v>
      </c>
      <c r="I18" s="25" t="str">
        <f>IF(G18&gt;=Returns!$H$42,H18,"inefficient")</f>
        <v>inefficient</v>
      </c>
    </row>
    <row r="19" spans="5:9" x14ac:dyDescent="0.2">
      <c r="E19" s="13">
        <f t="shared" si="2"/>
        <v>0.83999999999999986</v>
      </c>
      <c r="F19" s="13">
        <f t="shared" si="3"/>
        <v>0.16</v>
      </c>
      <c r="G19" s="13">
        <f t="shared" si="0"/>
        <v>1.6114999163415192E-2</v>
      </c>
      <c r="H19" s="25">
        <f t="shared" si="1"/>
        <v>6.1587170494925826E-2</v>
      </c>
      <c r="I19" s="25" t="str">
        <f>IF(G19&gt;=Returns!$H$42,H19,"inefficient")</f>
        <v>inefficient</v>
      </c>
    </row>
    <row r="20" spans="5:9" x14ac:dyDescent="0.2">
      <c r="E20" s="13">
        <f t="shared" si="2"/>
        <v>0.82999999999999985</v>
      </c>
      <c r="F20" s="13">
        <f t="shared" si="3"/>
        <v>0.17</v>
      </c>
      <c r="G20" s="13">
        <f t="shared" si="0"/>
        <v>1.6278198387284341E-2</v>
      </c>
      <c r="H20" s="25">
        <f t="shared" si="1"/>
        <v>6.0951319759886394E-2</v>
      </c>
      <c r="I20" s="25" t="str">
        <f>IF(G20&gt;=Returns!$H$42,H20,"inefficient")</f>
        <v>inefficient</v>
      </c>
    </row>
    <row r="21" spans="5:9" x14ac:dyDescent="0.2">
      <c r="E21" s="13">
        <f t="shared" si="2"/>
        <v>0.81999999999999984</v>
      </c>
      <c r="F21" s="13">
        <f t="shared" si="3"/>
        <v>0.18000000000000002</v>
      </c>
      <c r="G21" s="13">
        <f t="shared" si="0"/>
        <v>1.6441397611153492E-2</v>
      </c>
      <c r="H21" s="25">
        <f t="shared" si="1"/>
        <v>6.0325721105925163E-2</v>
      </c>
      <c r="I21" s="25" t="str">
        <f>IF(G21&gt;=Returns!$H$42,H21,"inefficient")</f>
        <v>inefficient</v>
      </c>
    </row>
    <row r="22" spans="5:9" x14ac:dyDescent="0.2">
      <c r="E22" s="13">
        <f t="shared" si="2"/>
        <v>0.80999999999999983</v>
      </c>
      <c r="F22" s="13">
        <f t="shared" si="3"/>
        <v>0.19000000000000003</v>
      </c>
      <c r="G22" s="13">
        <f t="shared" si="0"/>
        <v>1.6604596835022641E-2</v>
      </c>
      <c r="H22" s="25">
        <f t="shared" si="1"/>
        <v>5.9710696772060055E-2</v>
      </c>
      <c r="I22" s="25" t="str">
        <f>IF(G22&gt;=Returns!$H$42,H22,"inefficient")</f>
        <v>inefficient</v>
      </c>
    </row>
    <row r="23" spans="5:9" x14ac:dyDescent="0.2">
      <c r="E23" s="13">
        <f t="shared" si="2"/>
        <v>0.79999999999999982</v>
      </c>
      <c r="F23" s="13">
        <f t="shared" si="3"/>
        <v>0.20000000000000004</v>
      </c>
      <c r="G23" s="13">
        <f t="shared" si="0"/>
        <v>1.6767796058891792E-2</v>
      </c>
      <c r="H23" s="25">
        <f t="shared" si="1"/>
        <v>5.9106576847564374E-2</v>
      </c>
      <c r="I23" s="25" t="str">
        <f>IF(G23&gt;=Returns!$H$42,H23,"inefficient")</f>
        <v>inefficient</v>
      </c>
    </row>
    <row r="24" spans="5:9" x14ac:dyDescent="0.2">
      <c r="E24" s="13">
        <f t="shared" si="2"/>
        <v>0.78999999999999981</v>
      </c>
      <c r="F24" s="13">
        <f t="shared" si="3"/>
        <v>0.21000000000000005</v>
      </c>
      <c r="G24" s="13">
        <f t="shared" si="0"/>
        <v>1.6930995282760944E-2</v>
      </c>
      <c r="H24" s="25">
        <f t="shared" si="1"/>
        <v>5.8513699078474396E-2</v>
      </c>
      <c r="I24" s="25" t="str">
        <f>IF(G24&gt;=Returns!$H$42,H24,"inefficient")</f>
        <v>inefficient</v>
      </c>
    </row>
    <row r="25" spans="5:9" x14ac:dyDescent="0.2">
      <c r="E25" s="13">
        <f t="shared" si="2"/>
        <v>0.7799999999999998</v>
      </c>
      <c r="F25" s="13">
        <f t="shared" si="3"/>
        <v>0.22000000000000006</v>
      </c>
      <c r="G25" s="13">
        <f t="shared" si="0"/>
        <v>1.7094194506630092E-2</v>
      </c>
      <c r="H25" s="25">
        <f t="shared" si="1"/>
        <v>5.7932408621017728E-2</v>
      </c>
      <c r="I25" s="25" t="str">
        <f>IF(G25&gt;=Returns!$H$42,H25,"inefficient")</f>
        <v>inefficient</v>
      </c>
    </row>
    <row r="26" spans="5:9" x14ac:dyDescent="0.2">
      <c r="E26" s="13">
        <f t="shared" si="2"/>
        <v>0.7699999999999998</v>
      </c>
      <c r="F26" s="13">
        <f t="shared" si="3"/>
        <v>0.23000000000000007</v>
      </c>
      <c r="G26" s="13">
        <f t="shared" si="0"/>
        <v>1.725739373049924E-2</v>
      </c>
      <c r="H26" s="25">
        <f t="shared" si="1"/>
        <v>5.7363057737501874E-2</v>
      </c>
      <c r="I26" s="25" t="str">
        <f>IF(G26&gt;=Returns!$H$42,H26,"inefficient")</f>
        <v>inefficient</v>
      </c>
    </row>
    <row r="27" spans="5:9" x14ac:dyDescent="0.2">
      <c r="E27" s="13">
        <f t="shared" si="2"/>
        <v>0.75999999999999979</v>
      </c>
      <c r="F27" s="13">
        <f t="shared" si="3"/>
        <v>0.24000000000000007</v>
      </c>
      <c r="G27" s="13">
        <f t="shared" si="0"/>
        <v>1.7420592954368392E-2</v>
      </c>
      <c r="H27" s="25">
        <f t="shared" si="1"/>
        <v>5.6806005430204913E-2</v>
      </c>
      <c r="I27" s="25" t="str">
        <f>IF(G27&gt;=Returns!$H$42,H27,"inefficient")</f>
        <v>inefficient</v>
      </c>
    </row>
    <row r="28" spans="5:9" x14ac:dyDescent="0.2">
      <c r="E28" s="13">
        <f t="shared" si="2"/>
        <v>0.74999999999999978</v>
      </c>
      <c r="F28" s="13">
        <f t="shared" si="3"/>
        <v>0.25000000000000006</v>
      </c>
      <c r="G28" s="13">
        <f t="shared" si="0"/>
        <v>1.758379217823754E-2</v>
      </c>
      <c r="H28" s="25">
        <f t="shared" si="1"/>
        <v>5.6261617008881444E-2</v>
      </c>
      <c r="I28" s="25" t="str">
        <f>IF(G28&gt;=Returns!$H$42,H28,"inefficient")</f>
        <v>inefficient</v>
      </c>
    </row>
    <row r="29" spans="5:9" x14ac:dyDescent="0.2">
      <c r="E29" s="13">
        <f t="shared" si="2"/>
        <v>0.73999999999999977</v>
      </c>
      <c r="F29" s="13">
        <f t="shared" si="3"/>
        <v>0.26000000000000006</v>
      </c>
      <c r="G29" s="13">
        <f t="shared" si="0"/>
        <v>1.7746991402106692E-2</v>
      </c>
      <c r="H29" s="25">
        <f t="shared" si="1"/>
        <v>5.5730263587648113E-2</v>
      </c>
      <c r="I29" s="25" t="str">
        <f>IF(G29&gt;=Returns!$H$42,H29,"inefficient")</f>
        <v>inefficient</v>
      </c>
    </row>
    <row r="30" spans="5:9" x14ac:dyDescent="0.2">
      <c r="E30" s="13">
        <f t="shared" si="2"/>
        <v>0.72999999999999976</v>
      </c>
      <c r="F30" s="13">
        <f t="shared" si="3"/>
        <v>0.27000000000000007</v>
      </c>
      <c r="G30" s="13">
        <f t="shared" si="0"/>
        <v>1.791019062597584E-2</v>
      </c>
      <c r="H30" s="25">
        <f t="shared" si="1"/>
        <v>5.5212321507255142E-2</v>
      </c>
      <c r="I30" s="25" t="str">
        <f>IF(G30&gt;=Returns!$H$42,H30,"inefficient")</f>
        <v>inefficient</v>
      </c>
    </row>
    <row r="31" spans="5:9" x14ac:dyDescent="0.2">
      <c r="E31" s="13">
        <f t="shared" si="2"/>
        <v>0.71999999999999975</v>
      </c>
      <c r="F31" s="13">
        <f t="shared" si="3"/>
        <v>0.28000000000000008</v>
      </c>
      <c r="G31" s="13">
        <f t="shared" si="0"/>
        <v>1.8073389849844992E-2</v>
      </c>
      <c r="H31" s="25">
        <f t="shared" si="1"/>
        <v>5.4708171679095356E-2</v>
      </c>
      <c r="I31" s="25" t="str">
        <f>IF(G31&gt;=Returns!$H$42,H31,"inefficient")</f>
        <v>inefficient</v>
      </c>
    </row>
    <row r="32" spans="5:9" x14ac:dyDescent="0.2">
      <c r="E32" s="13">
        <f t="shared" si="2"/>
        <v>0.70999999999999974</v>
      </c>
      <c r="F32" s="13">
        <f t="shared" si="3"/>
        <v>0.29000000000000009</v>
      </c>
      <c r="G32" s="13">
        <f t="shared" si="0"/>
        <v>1.8236589073714143E-2</v>
      </c>
      <c r="H32" s="25">
        <f t="shared" si="1"/>
        <v>5.4218198847760753E-2</v>
      </c>
      <c r="I32" s="25" t="str">
        <f>IF(G32&gt;=Returns!$H$42,H32,"inefficient")</f>
        <v>inefficient</v>
      </c>
    </row>
    <row r="33" spans="5:9" x14ac:dyDescent="0.2">
      <c r="E33" s="13">
        <f t="shared" si="2"/>
        <v>0.69999999999999973</v>
      </c>
      <c r="F33" s="13">
        <f t="shared" si="3"/>
        <v>0.3000000000000001</v>
      </c>
      <c r="G33" s="13">
        <f t="shared" si="0"/>
        <v>1.8399788297583292E-2</v>
      </c>
      <c r="H33" s="25">
        <f t="shared" si="1"/>
        <v>5.37427907695383E-2</v>
      </c>
      <c r="I33" s="25" t="str">
        <f>IF(G33&gt;=Returns!$H$42,H33,"inefficient")</f>
        <v>inefficient</v>
      </c>
    </row>
    <row r="34" spans="5:9" x14ac:dyDescent="0.2">
      <c r="E34" s="13">
        <f t="shared" si="2"/>
        <v>0.68999999999999972</v>
      </c>
      <c r="F34" s="13">
        <f t="shared" si="3"/>
        <v>0.31000000000000011</v>
      </c>
      <c r="G34" s="13">
        <f t="shared" si="0"/>
        <v>1.856298752145244E-2</v>
      </c>
      <c r="H34" s="25">
        <f t="shared" si="1"/>
        <v>5.3282337304950397E-2</v>
      </c>
      <c r="I34" s="25" t="str">
        <f>IF(G34&gt;=Returns!$H$42,H34,"inefficient")</f>
        <v>inefficient</v>
      </c>
    </row>
    <row r="35" spans="5:9" x14ac:dyDescent="0.2">
      <c r="E35" s="13">
        <f t="shared" si="2"/>
        <v>0.67999999999999972</v>
      </c>
      <c r="F35" s="13">
        <f t="shared" si="3"/>
        <v>0.32000000000000012</v>
      </c>
      <c r="G35" s="13">
        <f t="shared" si="0"/>
        <v>1.8726186745321591E-2</v>
      </c>
      <c r="H35" s="25">
        <f t="shared" si="1"/>
        <v>5.2837229424296438E-2</v>
      </c>
      <c r="I35" s="25" t="str">
        <f>IF(G35&gt;=Returns!$H$42,H35,"inefficient")</f>
        <v>inefficient</v>
      </c>
    </row>
    <row r="36" spans="5:9" x14ac:dyDescent="0.2">
      <c r="E36" s="13">
        <f t="shared" si="2"/>
        <v>0.66999999999999971</v>
      </c>
      <c r="F36" s="13">
        <f t="shared" si="3"/>
        <v>0.33000000000000013</v>
      </c>
      <c r="G36" s="13">
        <f t="shared" si="0"/>
        <v>1.8889385969190743E-2</v>
      </c>
      <c r="H36" s="25">
        <f t="shared" si="1"/>
        <v>5.2407858126144187E-2</v>
      </c>
      <c r="I36" s="25" t="str">
        <f>IF(G36&gt;=Returns!$H$42,H36,"inefficient")</f>
        <v>inefficient</v>
      </c>
    </row>
    <row r="37" spans="5:9" x14ac:dyDescent="0.2">
      <c r="E37" s="13">
        <f t="shared" si="2"/>
        <v>0.6599999999999997</v>
      </c>
      <c r="F37" s="13">
        <f t="shared" si="3"/>
        <v>0.34000000000000014</v>
      </c>
      <c r="G37" s="13">
        <f t="shared" si="0"/>
        <v>1.9052585193059891E-2</v>
      </c>
      <c r="H37" s="25">
        <f t="shared" si="1"/>
        <v>5.1994613269851997E-2</v>
      </c>
      <c r="I37" s="25" t="str">
        <f>IF(G37&gt;=Returns!$H$42,H37,"inefficient")</f>
        <v>inefficient</v>
      </c>
    </row>
    <row r="38" spans="5:9" x14ac:dyDescent="0.2">
      <c r="E38" s="13">
        <f t="shared" si="2"/>
        <v>0.64999999999999969</v>
      </c>
      <c r="F38" s="13">
        <f t="shared" si="3"/>
        <v>0.35000000000000014</v>
      </c>
      <c r="G38" s="13">
        <f t="shared" si="0"/>
        <v>1.921578441692904E-2</v>
      </c>
      <c r="H38" s="25">
        <f t="shared" si="1"/>
        <v>5.1597882324471149E-2</v>
      </c>
      <c r="I38" s="25" t="str">
        <f>IF(G38&gt;=Returns!$H$42,H38,"inefficient")</f>
        <v>inefficient</v>
      </c>
    </row>
    <row r="39" spans="5:9" x14ac:dyDescent="0.2">
      <c r="E39" s="13">
        <f t="shared" si="2"/>
        <v>0.63999999999999968</v>
      </c>
      <c r="F39" s="13">
        <f t="shared" si="3"/>
        <v>0.36000000000000015</v>
      </c>
      <c r="G39" s="13">
        <f t="shared" si="0"/>
        <v>1.9378983640798191E-2</v>
      </c>
      <c r="H39" s="25">
        <f t="shared" si="1"/>
        <v>5.1218049037771517E-2</v>
      </c>
      <c r="I39" s="25" t="str">
        <f>IF(G39&gt;=Returns!$H$42,H39,"inefficient")</f>
        <v>inefficient</v>
      </c>
    </row>
    <row r="40" spans="5:9" x14ac:dyDescent="0.2">
      <c r="E40" s="13">
        <f t="shared" si="2"/>
        <v>0.62999999999999967</v>
      </c>
      <c r="F40" s="13">
        <f t="shared" si="3"/>
        <v>0.37000000000000016</v>
      </c>
      <c r="G40" s="13">
        <f t="shared" si="0"/>
        <v>1.9542182864667343E-2</v>
      </c>
      <c r="H40" s="25">
        <f t="shared" si="1"/>
        <v>5.0855492030637696E-2</v>
      </c>
      <c r="I40" s="25" t="str">
        <f>IF(G40&gt;=Returns!$H$42,H40,"inefficient")</f>
        <v>inefficient</v>
      </c>
    </row>
    <row r="41" spans="5:9" x14ac:dyDescent="0.2">
      <c r="E41" s="13">
        <f t="shared" si="2"/>
        <v>0.61999999999999966</v>
      </c>
      <c r="F41" s="13">
        <f t="shared" si="3"/>
        <v>0.38000000000000017</v>
      </c>
      <c r="G41" s="13">
        <f t="shared" si="0"/>
        <v>1.9705382088536491E-2</v>
      </c>
      <c r="H41" s="25">
        <f t="shared" si="1"/>
        <v>5.051058332367616E-2</v>
      </c>
      <c r="I41" s="25" t="str">
        <f>IF(G41&gt;=Returns!$H$42,H41,"inefficient")</f>
        <v>inefficient</v>
      </c>
    </row>
    <row r="42" spans="5:9" x14ac:dyDescent="0.2">
      <c r="E42" s="13">
        <f t="shared" si="2"/>
        <v>0.60999999999999965</v>
      </c>
      <c r="F42" s="13">
        <f t="shared" si="3"/>
        <v>0.39000000000000018</v>
      </c>
      <c r="G42" s="13">
        <f t="shared" si="0"/>
        <v>1.9868581312405639E-2</v>
      </c>
      <c r="H42" s="25">
        <f t="shared" si="1"/>
        <v>5.0183686804527443E-2</v>
      </c>
      <c r="I42" s="25" t="str">
        <f>IF(G42&gt;=Returns!$H$42,H42,"inefficient")</f>
        <v>inefficient</v>
      </c>
    </row>
    <row r="43" spans="5:9" x14ac:dyDescent="0.2">
      <c r="E43" s="13">
        <f t="shared" si="2"/>
        <v>0.59999999999999964</v>
      </c>
      <c r="F43" s="13">
        <f t="shared" si="3"/>
        <v>0.40000000000000019</v>
      </c>
      <c r="G43" s="13">
        <f t="shared" si="0"/>
        <v>2.0031780536274791E-2</v>
      </c>
      <c r="H43" s="25">
        <f t="shared" si="1"/>
        <v>4.9875156646058398E-2</v>
      </c>
      <c r="I43" s="25" t="str">
        <f>IF(G43&gt;=Returns!$H$42,H43,"inefficient")</f>
        <v>inefficient</v>
      </c>
    </row>
    <row r="44" spans="5:9" x14ac:dyDescent="0.2">
      <c r="E44" s="13">
        <f t="shared" si="2"/>
        <v>0.58999999999999964</v>
      </c>
      <c r="F44" s="13">
        <f t="shared" si="3"/>
        <v>0.4100000000000002</v>
      </c>
      <c r="G44" s="13">
        <f t="shared" si="0"/>
        <v>2.0194979760143943E-2</v>
      </c>
      <c r="H44" s="25">
        <f t="shared" si="1"/>
        <v>4.9585335687276695E-2</v>
      </c>
      <c r="I44" s="25" t="str">
        <f>IF(G44&gt;=Returns!$H$42,H44,"inefficient")</f>
        <v>inefficient</v>
      </c>
    </row>
    <row r="45" spans="5:9" x14ac:dyDescent="0.2">
      <c r="E45" s="13">
        <f t="shared" si="2"/>
        <v>0.57999999999999963</v>
      </c>
      <c r="F45" s="13">
        <f t="shared" si="3"/>
        <v>0.42000000000000021</v>
      </c>
      <c r="G45" s="13">
        <f t="shared" si="0"/>
        <v>2.0358178984013091E-2</v>
      </c>
      <c r="H45" s="25">
        <f t="shared" si="1"/>
        <v>4.9314553790418297E-2</v>
      </c>
      <c r="I45" s="25" t="str">
        <f>IF(G45&gt;=Returns!$H$42,H45,"inefficient")</f>
        <v>inefficient</v>
      </c>
    </row>
    <row r="46" spans="5:9" x14ac:dyDescent="0.2">
      <c r="E46" s="13">
        <f t="shared" si="2"/>
        <v>0.56999999999999962</v>
      </c>
      <c r="F46" s="13">
        <f t="shared" si="3"/>
        <v>0.43000000000000022</v>
      </c>
      <c r="G46" s="13">
        <f t="shared" si="0"/>
        <v>2.0521378207882239E-2</v>
      </c>
      <c r="H46" s="25">
        <f t="shared" si="1"/>
        <v>4.9063126189158542E-2</v>
      </c>
      <c r="I46" s="25" t="str">
        <f>IF(G46&gt;=Returns!$H$42,H46,"inefficient")</f>
        <v>inefficient</v>
      </c>
    </row>
    <row r="47" spans="5:9" x14ac:dyDescent="0.2">
      <c r="E47" s="13">
        <f t="shared" si="2"/>
        <v>0.55999999999999961</v>
      </c>
      <c r="F47" s="13">
        <f t="shared" si="3"/>
        <v>0.44000000000000022</v>
      </c>
      <c r="G47" s="13">
        <f t="shared" si="0"/>
        <v>2.0684577431751391E-2</v>
      </c>
      <c r="H47" s="25">
        <f t="shared" si="1"/>
        <v>4.8831351844236523E-2</v>
      </c>
      <c r="I47" s="25" t="str">
        <f>IF(G47&gt;=Returns!$H$42,H47,"inefficient")</f>
        <v>inefficient</v>
      </c>
    </row>
    <row r="48" spans="5:9" x14ac:dyDescent="0.2">
      <c r="E48" s="13">
        <f t="shared" si="2"/>
        <v>0.5499999999999996</v>
      </c>
      <c r="F48" s="13">
        <f t="shared" si="3"/>
        <v>0.45000000000000023</v>
      </c>
      <c r="G48" s="13">
        <f t="shared" si="0"/>
        <v>2.0847776655620542E-2</v>
      </c>
      <c r="H48" s="25">
        <f t="shared" si="1"/>
        <v>4.8619511823907086E-2</v>
      </c>
      <c r="I48" s="25" t="str">
        <f>IF(G48&gt;=Returns!$H$42,H48,"inefficient")</f>
        <v>inefficient</v>
      </c>
    </row>
    <row r="49" spans="5:9" x14ac:dyDescent="0.2">
      <c r="E49" s="13">
        <f t="shared" si="2"/>
        <v>0.53999999999999959</v>
      </c>
      <c r="F49" s="13">
        <f t="shared" si="3"/>
        <v>0.46000000000000024</v>
      </c>
      <c r="G49" s="13">
        <f t="shared" si="0"/>
        <v>2.1010975879489691E-2</v>
      </c>
      <c r="H49" s="25">
        <f t="shared" si="1"/>
        <v>4.8427867727492933E-2</v>
      </c>
      <c r="I49" s="25" t="str">
        <f>IF(G49&gt;=Returns!$H$42,H49,"inefficient")</f>
        <v>inefficient</v>
      </c>
    </row>
    <row r="50" spans="5:9" x14ac:dyDescent="0.2">
      <c r="E50" s="13">
        <f t="shared" si="2"/>
        <v>0.52999999999999958</v>
      </c>
      <c r="F50" s="13">
        <f t="shared" si="3"/>
        <v>0.47000000000000025</v>
      </c>
      <c r="G50" s="13">
        <f t="shared" si="0"/>
        <v>2.1174175103358839E-2</v>
      </c>
      <c r="H50" s="25">
        <f t="shared" si="1"/>
        <v>4.8256660170852617E-2</v>
      </c>
      <c r="I50" s="25" t="str">
        <f>IF(G50&gt;=Returns!$H$42,H50,"inefficient")</f>
        <v>inefficient</v>
      </c>
    </row>
    <row r="51" spans="5:9" x14ac:dyDescent="0.2">
      <c r="E51" s="13">
        <f t="shared" si="2"/>
        <v>0.51999999999999957</v>
      </c>
      <c r="F51" s="13">
        <f t="shared" si="3"/>
        <v>0.48000000000000026</v>
      </c>
      <c r="G51" s="13">
        <f t="shared" si="0"/>
        <v>2.133737432722799E-2</v>
      </c>
      <c r="H51" s="25">
        <f t="shared" si="1"/>
        <v>4.8106107352765992E-2</v>
      </c>
      <c r="I51" s="25" t="str">
        <f>IF(G51&gt;=Returns!$H$42,H51,"inefficient")</f>
        <v>inefficient</v>
      </c>
    </row>
    <row r="52" spans="5:9" x14ac:dyDescent="0.2">
      <c r="E52" s="13">
        <f t="shared" si="2"/>
        <v>0.50999999999999956</v>
      </c>
      <c r="F52" s="13">
        <f t="shared" si="3"/>
        <v>0.49000000000000027</v>
      </c>
      <c r="G52" s="13">
        <f t="shared" si="0"/>
        <v>2.1500573551097142E-2</v>
      </c>
      <c r="H52" s="25">
        <f t="shared" si="1"/>
        <v>4.7976403721033858E-2</v>
      </c>
      <c r="I52" s="25" t="str">
        <f>IF(G52&gt;=Returns!$H$42,H52,"inefficient")</f>
        <v>inefficient</v>
      </c>
    </row>
    <row r="53" spans="5:9" x14ac:dyDescent="0.2">
      <c r="E53" s="13">
        <f t="shared" si="2"/>
        <v>0.49999999999999956</v>
      </c>
      <c r="F53" s="13">
        <f t="shared" si="3"/>
        <v>0.50000000000000022</v>
      </c>
      <c r="G53" s="13">
        <f t="shared" si="0"/>
        <v>2.166377277496629E-2</v>
      </c>
      <c r="H53" s="25">
        <f t="shared" si="1"/>
        <v>4.7867718756469974E-2</v>
      </c>
      <c r="I53" s="25" t="str">
        <f>IF(G53&gt;=Returns!$H$42,H53,"inefficient")</f>
        <v>inefficient</v>
      </c>
    </row>
    <row r="54" spans="5:9" x14ac:dyDescent="0.2">
      <c r="E54" s="13">
        <f t="shared" si="2"/>
        <v>0.48999999999999955</v>
      </c>
      <c r="F54" s="13">
        <f t="shared" si="3"/>
        <v>0.51000000000000023</v>
      </c>
      <c r="G54" s="13">
        <f t="shared" si="0"/>
        <v>2.1826971998835439E-2</v>
      </c>
      <c r="H54" s="25">
        <f t="shared" si="1"/>
        <v>4.7780195891922367E-2</v>
      </c>
      <c r="I54" s="25" t="str">
        <f>IF(G54&gt;=Returns!$H$42,H54,"inefficient")</f>
        <v>inefficient</v>
      </c>
    </row>
    <row r="55" spans="5:9" x14ac:dyDescent="0.2">
      <c r="E55" s="13">
        <f t="shared" si="2"/>
        <v>0.47999999999999954</v>
      </c>
      <c r="F55" s="13">
        <f t="shared" si="3"/>
        <v>0.52000000000000024</v>
      </c>
      <c r="G55" s="13">
        <f t="shared" si="0"/>
        <v>2.199017122270459E-2</v>
      </c>
      <c r="H55" s="25">
        <f t="shared" si="1"/>
        <v>4.7713951582000994E-2</v>
      </c>
      <c r="I55" s="25" t="str">
        <f>IF(G55&gt;=Returns!$H$42,H55,"inefficient")</f>
        <v>inefficient</v>
      </c>
    </row>
    <row r="56" spans="5:9" x14ac:dyDescent="0.2">
      <c r="E56" s="13">
        <f t="shared" si="2"/>
        <v>0.46999999999999953</v>
      </c>
      <c r="F56" s="13">
        <f t="shared" si="3"/>
        <v>0.53000000000000025</v>
      </c>
      <c r="G56" s="13">
        <f t="shared" si="0"/>
        <v>2.2153370446573742E-2</v>
      </c>
      <c r="H56" s="25">
        <f t="shared" si="1"/>
        <v>4.7669074537331706E-2</v>
      </c>
      <c r="I56" s="25" t="str">
        <f>IF(G56&gt;=Returns!$H$42,H56,"inefficient")</f>
        <v>inefficient</v>
      </c>
    </row>
    <row r="57" spans="5:9" x14ac:dyDescent="0.2">
      <c r="E57" s="13">
        <f t="shared" si="2"/>
        <v>0.45999999999999952</v>
      </c>
      <c r="F57" s="13">
        <f t="shared" si="3"/>
        <v>0.54000000000000026</v>
      </c>
      <c r="G57" s="13">
        <f t="shared" si="0"/>
        <v>2.2316569670442887E-2</v>
      </c>
      <c r="H57" s="25">
        <f t="shared" si="1"/>
        <v>4.7645625134936878E-2</v>
      </c>
      <c r="I57" s="25" t="str">
        <f>IF(G57&gt;=Returns!$H$42,H57,"inefficient")</f>
        <v>inefficient</v>
      </c>
    </row>
    <row r="58" spans="5:9" x14ac:dyDescent="0.2">
      <c r="E58" s="13">
        <f t="shared" si="2"/>
        <v>0.44999999999999951</v>
      </c>
      <c r="F58" s="13">
        <f t="shared" si="3"/>
        <v>0.55000000000000027</v>
      </c>
      <c r="G58" s="13">
        <f t="shared" si="0"/>
        <v>2.2479768894312038E-2</v>
      </c>
      <c r="H58" s="25">
        <f t="shared" si="1"/>
        <v>4.7643635013811261E-2</v>
      </c>
      <c r="I58" s="25">
        <f>IF(G58&gt;=Returns!$H$42,H58,"inefficient")</f>
        <v>4.7643635013811261E-2</v>
      </c>
    </row>
    <row r="59" spans="5:9" x14ac:dyDescent="0.2">
      <c r="E59" s="13">
        <f t="shared" si="2"/>
        <v>0.4399999999999995</v>
      </c>
      <c r="F59" s="13">
        <f t="shared" si="3"/>
        <v>0.56000000000000028</v>
      </c>
      <c r="G59" s="13">
        <f t="shared" si="0"/>
        <v>2.264296811818119E-2</v>
      </c>
      <c r="H59" s="25">
        <f t="shared" si="1"/>
        <v>4.7663106861981719E-2</v>
      </c>
      <c r="I59" s="25">
        <f>IF(G59&gt;=Returns!$H$42,H59,"inefficient")</f>
        <v>4.7663106861981719E-2</v>
      </c>
    </row>
    <row r="60" spans="5:9" x14ac:dyDescent="0.2">
      <c r="E60" s="13">
        <f t="shared" si="2"/>
        <v>0.42999999999999949</v>
      </c>
      <c r="F60" s="13">
        <f t="shared" si="3"/>
        <v>0.57000000000000028</v>
      </c>
      <c r="G60" s="13">
        <f t="shared" si="0"/>
        <v>2.2806167342050342E-2</v>
      </c>
      <c r="H60" s="25">
        <f t="shared" si="1"/>
        <v>4.7704014398383766E-2</v>
      </c>
      <c r="I60" s="25">
        <f>IF(G60&gt;=Returns!$H$42,H60,"inefficient")</f>
        <v>4.7704014398383766E-2</v>
      </c>
    </row>
    <row r="61" spans="5:9" x14ac:dyDescent="0.2">
      <c r="E61" s="13">
        <f t="shared" si="2"/>
        <v>0.41999999999999948</v>
      </c>
      <c r="F61" s="13">
        <f t="shared" si="3"/>
        <v>0.58000000000000029</v>
      </c>
      <c r="G61" s="13">
        <f t="shared" si="0"/>
        <v>2.296936656591949E-2</v>
      </c>
      <c r="H61" s="25">
        <f t="shared" si="1"/>
        <v>4.7766302549839615E-2</v>
      </c>
      <c r="I61" s="25">
        <f>IF(G61&gt;=Returns!$H$42,H61,"inefficient")</f>
        <v>4.7766302549839615E-2</v>
      </c>
    </row>
    <row r="62" spans="5:9" x14ac:dyDescent="0.2">
      <c r="E62" s="13">
        <f t="shared" si="2"/>
        <v>0.40999999999999948</v>
      </c>
      <c r="F62" s="13">
        <f t="shared" si="3"/>
        <v>0.5900000000000003</v>
      </c>
      <c r="G62" s="13">
        <f t="shared" si="0"/>
        <v>2.3132565789788638E-2</v>
      </c>
      <c r="H62" s="25">
        <f t="shared" si="1"/>
        <v>4.7849887820364999E-2</v>
      </c>
      <c r="I62" s="25">
        <f>IF(G62&gt;=Returns!$H$42,H62,"inefficient")</f>
        <v>4.7849887820364999E-2</v>
      </c>
    </row>
    <row r="63" spans="5:9" x14ac:dyDescent="0.2">
      <c r="E63" s="13">
        <f t="shared" si="2"/>
        <v>0.39999999999999947</v>
      </c>
      <c r="F63" s="13">
        <f t="shared" si="3"/>
        <v>0.60000000000000031</v>
      </c>
      <c r="G63" s="13">
        <f t="shared" si="0"/>
        <v>2.329576501365779E-2</v>
      </c>
      <c r="H63" s="25">
        <f t="shared" si="1"/>
        <v>4.7954658847053709E-2</v>
      </c>
      <c r="I63" s="25">
        <f>IF(G63&gt;=Returns!$H$42,H63,"inefficient")</f>
        <v>4.7954658847053709E-2</v>
      </c>
    </row>
    <row r="64" spans="5:9" x14ac:dyDescent="0.2">
      <c r="E64" s="13">
        <f t="shared" si="2"/>
        <v>0.38999999999999946</v>
      </c>
      <c r="F64" s="13">
        <f t="shared" si="3"/>
        <v>0.61000000000000032</v>
      </c>
      <c r="G64" s="13">
        <f t="shared" si="0"/>
        <v>2.3458964237526941E-2</v>
      </c>
      <c r="H64" s="25">
        <f t="shared" si="1"/>
        <v>4.8080477133969762E-2</v>
      </c>
      <c r="I64" s="25">
        <f>IF(G64&gt;=Returns!$H$42,H64,"inefficient")</f>
        <v>4.8080477133969762E-2</v>
      </c>
    </row>
    <row r="65" spans="5:9" x14ac:dyDescent="0.2">
      <c r="E65" s="13">
        <f t="shared" si="2"/>
        <v>0.37999999999999945</v>
      </c>
      <c r="F65" s="13">
        <f t="shared" si="3"/>
        <v>0.62000000000000033</v>
      </c>
      <c r="G65" s="13">
        <f t="shared" si="0"/>
        <v>2.362216346139609E-2</v>
      </c>
      <c r="H65" s="25">
        <f t="shared" si="1"/>
        <v>4.822717795289462E-2</v>
      </c>
      <c r="I65" s="25">
        <f>IF(G65&gt;=Returns!$H$42,H65,"inefficient")</f>
        <v>4.822717795289462E-2</v>
      </c>
    </row>
    <row r="66" spans="5:9" x14ac:dyDescent="0.2">
      <c r="E66" s="13">
        <f t="shared" si="2"/>
        <v>0.36999999999999944</v>
      </c>
      <c r="F66" s="13">
        <f t="shared" si="3"/>
        <v>0.63000000000000034</v>
      </c>
      <c r="G66" s="13">
        <f t="shared" si="0"/>
        <v>2.3785362685265238E-2</v>
      </c>
      <c r="H66" s="25">
        <f t="shared" si="1"/>
        <v>4.8394571397494895E-2</v>
      </c>
      <c r="I66" s="25">
        <f>IF(G66&gt;=Returns!$H$42,H66,"inefficient")</f>
        <v>4.8394571397494895E-2</v>
      </c>
    </row>
    <row r="67" spans="5:9" x14ac:dyDescent="0.2">
      <c r="E67" s="13">
        <f t="shared" si="2"/>
        <v>0.35999999999999943</v>
      </c>
      <c r="F67" s="13">
        <f t="shared" si="3"/>
        <v>0.64000000000000035</v>
      </c>
      <c r="G67" s="13">
        <f t="shared" si="0"/>
        <v>2.3948561909134389E-2</v>
      </c>
      <c r="H67" s="25">
        <f t="shared" si="1"/>
        <v>4.8582443575548868E-2</v>
      </c>
      <c r="I67" s="25">
        <f>IF(G67&gt;=Returns!$H$42,H67,"inefficient")</f>
        <v>4.8582443575548868E-2</v>
      </c>
    </row>
    <row r="68" spans="5:9" x14ac:dyDescent="0.2">
      <c r="E68" s="13">
        <f t="shared" si="2"/>
        <v>0.34999999999999942</v>
      </c>
      <c r="F68" s="13">
        <f t="shared" si="3"/>
        <v>0.65000000000000036</v>
      </c>
      <c r="G68" s="13">
        <f t="shared" ref="G68:G103" si="4">E68*$B$4+F68*$C$4</f>
        <v>2.4111761133003541E-2</v>
      </c>
      <c r="H68" s="25">
        <f t="shared" ref="H68:H103" si="5">SQRT((E68^2*$B$5^2)+(F68^2*$C$5^2)+(2*E68*F68*$B$5*$C$5*$C$6))</f>
        <v>4.8790557922334103E-2</v>
      </c>
      <c r="I68" s="25">
        <f>IF(G68&gt;=Returns!$H$42,H68,"inefficient")</f>
        <v>4.8790557922334103E-2</v>
      </c>
    </row>
    <row r="69" spans="5:9" x14ac:dyDescent="0.2">
      <c r="E69" s="13">
        <f t="shared" ref="E69:E103" si="6">E68-0.01</f>
        <v>0.33999999999999941</v>
      </c>
      <c r="F69" s="13">
        <f t="shared" ref="F69:F103" si="7">F68+0.01</f>
        <v>0.66000000000000036</v>
      </c>
      <c r="G69" s="13">
        <f t="shared" si="4"/>
        <v>2.4274960356872689E-2</v>
      </c>
      <c r="H69" s="25">
        <f t="shared" si="5"/>
        <v>4.9018656617159338E-2</v>
      </c>
      <c r="I69" s="25">
        <f>IF(G69&gt;=Returns!$H$42,H69,"inefficient")</f>
        <v>4.9018656617159338E-2</v>
      </c>
    </row>
    <row r="70" spans="5:9" x14ac:dyDescent="0.2">
      <c r="E70" s="13">
        <f t="shared" si="6"/>
        <v>0.3299999999999994</v>
      </c>
      <c r="F70" s="13">
        <f t="shared" si="7"/>
        <v>0.67000000000000037</v>
      </c>
      <c r="G70" s="13">
        <f t="shared" si="4"/>
        <v>2.4438159580741838E-2</v>
      </c>
      <c r="H70" s="25">
        <f t="shared" si="5"/>
        <v>4.926646208432682E-2</v>
      </c>
      <c r="I70" s="25">
        <f>IF(G70&gt;=Returns!$H$42,H70,"inefficient")</f>
        <v>4.926646208432682E-2</v>
      </c>
    </row>
    <row r="71" spans="5:9" x14ac:dyDescent="0.2">
      <c r="E71" s="13">
        <f t="shared" si="6"/>
        <v>0.3199999999999994</v>
      </c>
      <c r="F71" s="13">
        <f t="shared" si="7"/>
        <v>0.68000000000000038</v>
      </c>
      <c r="G71" s="13">
        <f t="shared" si="4"/>
        <v>2.4601358804610989E-2</v>
      </c>
      <c r="H71" s="25">
        <f t="shared" si="5"/>
        <v>4.9533678559530947E-2</v>
      </c>
      <c r="I71" s="25">
        <f>IF(G71&gt;=Returns!$H$42,H71,"inefficient")</f>
        <v>4.9533678559530947E-2</v>
      </c>
    </row>
    <row r="72" spans="5:9" x14ac:dyDescent="0.2">
      <c r="E72" s="13">
        <f t="shared" si="6"/>
        <v>0.30999999999999939</v>
      </c>
      <c r="F72" s="13">
        <f t="shared" si="7"/>
        <v>0.69000000000000039</v>
      </c>
      <c r="G72" s="13">
        <f t="shared" si="4"/>
        <v>2.4764558028480141E-2</v>
      </c>
      <c r="H72" s="25">
        <f t="shared" si="5"/>
        <v>4.9819993702815257E-2</v>
      </c>
      <c r="I72" s="25">
        <f>IF(G72&gt;=Returns!$H$42,H72,"inefficient")</f>
        <v>4.9819993702815257E-2</v>
      </c>
    </row>
    <row r="73" spans="5:9" x14ac:dyDescent="0.2">
      <c r="E73" s="13">
        <f t="shared" si="6"/>
        <v>0.29999999999999938</v>
      </c>
      <c r="F73" s="13">
        <f t="shared" si="7"/>
        <v>0.7000000000000004</v>
      </c>
      <c r="G73" s="13">
        <f t="shared" si="4"/>
        <v>2.4927757252349289E-2</v>
      </c>
      <c r="H73" s="25">
        <f t="shared" si="5"/>
        <v>5.0125080239688986E-2</v>
      </c>
      <c r="I73" s="25">
        <f>IF(G73&gt;=Returns!$H$42,H73,"inefficient")</f>
        <v>5.0125080239688986E-2</v>
      </c>
    </row>
    <row r="74" spans="5:9" x14ac:dyDescent="0.2">
      <c r="E74" s="13">
        <f t="shared" si="6"/>
        <v>0.28999999999999937</v>
      </c>
      <c r="F74" s="13">
        <f t="shared" si="7"/>
        <v>0.71000000000000041</v>
      </c>
      <c r="G74" s="13">
        <f t="shared" si="4"/>
        <v>2.5090956476218441E-2</v>
      </c>
      <c r="H74" s="25">
        <f t="shared" si="5"/>
        <v>5.0448597612808406E-2</v>
      </c>
      <c r="I74" s="25">
        <f>IF(G74&gt;=Returns!$H$42,H74,"inefficient")</f>
        <v>5.0448597612808406E-2</v>
      </c>
    </row>
    <row r="75" spans="5:9" x14ac:dyDescent="0.2">
      <c r="E75" s="13">
        <f t="shared" si="6"/>
        <v>0.27999999999999936</v>
      </c>
      <c r="F75" s="13">
        <f t="shared" si="7"/>
        <v>0.72000000000000042</v>
      </c>
      <c r="G75" s="13">
        <f t="shared" si="4"/>
        <v>2.5254155700087589E-2</v>
      </c>
      <c r="H75" s="25">
        <f t="shared" si="5"/>
        <v>5.0790193627706794E-2</v>
      </c>
      <c r="I75" s="25">
        <f>IF(G75&gt;=Returns!$H$42,H75,"inefficient")</f>
        <v>5.0790193627706794E-2</v>
      </c>
    </row>
    <row r="76" spans="5:9" x14ac:dyDescent="0.2">
      <c r="E76" s="13">
        <f t="shared" si="6"/>
        <v>0.26999999999999935</v>
      </c>
      <c r="F76" s="13">
        <f t="shared" si="7"/>
        <v>0.73000000000000043</v>
      </c>
      <c r="G76" s="13">
        <f t="shared" si="4"/>
        <v>2.5417354923956737E-2</v>
      </c>
      <c r="H76" s="25">
        <f t="shared" si="5"/>
        <v>5.1149506077360414E-2</v>
      </c>
      <c r="I76" s="25">
        <f>IF(G76&gt;=Returns!$H$42,H76,"inefficient")</f>
        <v>5.1149506077360414E-2</v>
      </c>
    </row>
    <row r="77" spans="5:9" x14ac:dyDescent="0.2">
      <c r="E77" s="13">
        <f t="shared" si="6"/>
        <v>0.25999999999999934</v>
      </c>
      <c r="F77" s="13">
        <f t="shared" si="7"/>
        <v>0.74000000000000044</v>
      </c>
      <c r="G77" s="13">
        <f t="shared" si="4"/>
        <v>2.5580554147825889E-2</v>
      </c>
      <c r="H77" s="25">
        <f t="shared" si="5"/>
        <v>5.1526164331851865E-2</v>
      </c>
      <c r="I77" s="25">
        <f>IF(G77&gt;=Returns!$H$42,H77,"inefficient")</f>
        <v>5.1526164331851865E-2</v>
      </c>
    </row>
    <row r="78" spans="5:9" x14ac:dyDescent="0.2">
      <c r="E78" s="13">
        <f t="shared" si="6"/>
        <v>0.24999999999999933</v>
      </c>
      <c r="F78" s="13">
        <f t="shared" si="7"/>
        <v>0.75000000000000044</v>
      </c>
      <c r="G78" s="13">
        <f t="shared" si="4"/>
        <v>2.574375337169504E-2</v>
      </c>
      <c r="H78" s="25">
        <f t="shared" si="5"/>
        <v>5.1919790880984563E-2</v>
      </c>
      <c r="I78" s="25">
        <f>IF(G78&gt;=Returns!$H$42,H78,"inefficient")</f>
        <v>5.1919790880984563E-2</v>
      </c>
    </row>
    <row r="79" spans="5:9" x14ac:dyDescent="0.2">
      <c r="E79" s="13">
        <f t="shared" si="6"/>
        <v>0.23999999999999932</v>
      </c>
      <c r="F79" s="13">
        <f t="shared" si="7"/>
        <v>0.76000000000000045</v>
      </c>
      <c r="G79" s="13">
        <f t="shared" si="4"/>
        <v>2.5906952595564189E-2</v>
      </c>
      <c r="H79" s="25">
        <f t="shared" si="5"/>
        <v>5.2330002819361898E-2</v>
      </c>
      <c r="I79" s="25">
        <f>IF(G79&gt;=Returns!$H$42,H79,"inefficient")</f>
        <v>5.2330002819361898E-2</v>
      </c>
    </row>
    <row r="80" spans="5:9" x14ac:dyDescent="0.2">
      <c r="E80" s="13">
        <f t="shared" si="6"/>
        <v>0.22999999999999932</v>
      </c>
      <c r="F80" s="13">
        <f t="shared" si="7"/>
        <v>0.77000000000000046</v>
      </c>
      <c r="G80" s="13">
        <f t="shared" si="4"/>
        <v>2.6070151819433337E-2</v>
      </c>
      <c r="H80" s="25">
        <f t="shared" si="5"/>
        <v>5.275641326512609E-2</v>
      </c>
      <c r="I80" s="25">
        <f>IF(G80&gt;=Returns!$H$42,H80,"inefficient")</f>
        <v>5.275641326512609E-2</v>
      </c>
    </row>
    <row r="81" spans="5:9" x14ac:dyDescent="0.2">
      <c r="E81" s="13">
        <f t="shared" si="6"/>
        <v>0.21999999999999931</v>
      </c>
      <c r="F81" s="13">
        <f t="shared" si="7"/>
        <v>0.78000000000000047</v>
      </c>
      <c r="G81" s="13">
        <f t="shared" si="4"/>
        <v>2.6233351043302489E-2</v>
      </c>
      <c r="H81" s="25">
        <f t="shared" si="5"/>
        <v>5.3198632705213501E-2</v>
      </c>
      <c r="I81" s="25">
        <f>IF(G81&gt;=Returns!$H$42,H81,"inefficient")</f>
        <v>5.3198632705213501E-2</v>
      </c>
    </row>
    <row r="82" spans="5:9" x14ac:dyDescent="0.2">
      <c r="E82" s="13">
        <f t="shared" si="6"/>
        <v>0.2099999999999993</v>
      </c>
      <c r="F82" s="13">
        <f t="shared" si="7"/>
        <v>0.79000000000000048</v>
      </c>
      <c r="G82" s="13">
        <f t="shared" si="4"/>
        <v>2.639655026717164E-2</v>
      </c>
      <c r="H82" s="25">
        <f t="shared" si="5"/>
        <v>5.3656270261589582E-2</v>
      </c>
      <c r="I82" s="25">
        <f>IF(G82&gt;=Returns!$H$42,H82,"inefficient")</f>
        <v>5.3656270261589582E-2</v>
      </c>
    </row>
    <row r="83" spans="5:9" x14ac:dyDescent="0.2">
      <c r="E83" s="13">
        <f t="shared" si="6"/>
        <v>0.19999999999999929</v>
      </c>
      <c r="F83" s="13">
        <f t="shared" si="7"/>
        <v>0.80000000000000049</v>
      </c>
      <c r="G83" s="13">
        <f t="shared" si="4"/>
        <v>2.6559749491040788E-2</v>
      </c>
      <c r="H83" s="25">
        <f t="shared" si="5"/>
        <v>5.4128934874449225E-2</v>
      </c>
      <c r="I83" s="25">
        <f>IF(G83&gt;=Returns!$H$42,H83,"inefficient")</f>
        <v>5.4128934874449225E-2</v>
      </c>
    </row>
    <row r="84" spans="5:9" x14ac:dyDescent="0.2">
      <c r="E84" s="13">
        <f t="shared" si="6"/>
        <v>0.18999999999999928</v>
      </c>
      <c r="F84" s="13">
        <f t="shared" si="7"/>
        <v>0.8100000000000005</v>
      </c>
      <c r="G84" s="13">
        <f t="shared" si="4"/>
        <v>2.6722948714909937E-2</v>
      </c>
      <c r="H84" s="25">
        <f t="shared" si="5"/>
        <v>5.4616236399783899E-2</v>
      </c>
      <c r="I84" s="25">
        <f>IF(G84&gt;=Returns!$H$42,H84,"inefficient")</f>
        <v>5.4616236399783899E-2</v>
      </c>
    </row>
    <row r="85" spans="5:9" x14ac:dyDescent="0.2">
      <c r="E85" s="13">
        <f t="shared" si="6"/>
        <v>0.17999999999999927</v>
      </c>
      <c r="F85" s="13">
        <f t="shared" si="7"/>
        <v>0.82000000000000051</v>
      </c>
      <c r="G85" s="13">
        <f t="shared" si="4"/>
        <v>2.6886147938779088E-2</v>
      </c>
      <c r="H85" s="25">
        <f t="shared" si="5"/>
        <v>5.5117786620009379E-2</v>
      </c>
      <c r="I85" s="25">
        <f>IF(G85&gt;=Returns!$H$42,H85,"inefficient")</f>
        <v>5.5117786620009379E-2</v>
      </c>
    </row>
    <row r="86" spans="5:9" x14ac:dyDescent="0.2">
      <c r="E86" s="13">
        <f t="shared" si="6"/>
        <v>0.16999999999999926</v>
      </c>
      <c r="F86" s="13">
        <f t="shared" si="7"/>
        <v>0.83000000000000052</v>
      </c>
      <c r="G86" s="13">
        <f t="shared" si="4"/>
        <v>2.704934716264824E-2</v>
      </c>
      <c r="H86" s="25">
        <f t="shared" si="5"/>
        <v>5.5633200167505933E-2</v>
      </c>
      <c r="I86" s="25">
        <f>IF(G86&gt;=Returns!$H$42,H86,"inefficient")</f>
        <v>5.5633200167505933E-2</v>
      </c>
    </row>
    <row r="87" spans="5:9" x14ac:dyDescent="0.2">
      <c r="E87" s="13">
        <f t="shared" si="6"/>
        <v>0.15999999999999925</v>
      </c>
      <c r="F87" s="13">
        <f t="shared" si="7"/>
        <v>0.84000000000000052</v>
      </c>
      <c r="G87" s="13">
        <f t="shared" si="4"/>
        <v>2.7212546386517388E-2</v>
      </c>
      <c r="H87" s="25">
        <f t="shared" si="5"/>
        <v>5.6162095361941146E-2</v>
      </c>
      <c r="I87" s="25">
        <f>IF(G87&gt;=Returns!$H$42,H87,"inefficient")</f>
        <v>5.6162095361941146E-2</v>
      </c>
    </row>
    <row r="88" spans="5:9" x14ac:dyDescent="0.2">
      <c r="E88" s="13">
        <f t="shared" si="6"/>
        <v>0.14999999999999925</v>
      </c>
      <c r="F88" s="13">
        <f t="shared" si="7"/>
        <v>0.85000000000000053</v>
      </c>
      <c r="G88" s="13">
        <f t="shared" si="4"/>
        <v>2.7375745610386536E-2</v>
      </c>
      <c r="H88" s="25">
        <f t="shared" si="5"/>
        <v>5.6704094963122821E-2</v>
      </c>
      <c r="I88" s="25">
        <f>IF(G88&gt;=Returns!$H$42,H88,"inefficient")</f>
        <v>5.6704094963122821E-2</v>
      </c>
    </row>
    <row r="89" spans="5:9" x14ac:dyDescent="0.2">
      <c r="E89" s="13">
        <f t="shared" si="6"/>
        <v>0.13999999999999924</v>
      </c>
      <c r="F89" s="13">
        <f t="shared" si="7"/>
        <v>0.86000000000000054</v>
      </c>
      <c r="G89" s="13">
        <f t="shared" si="4"/>
        <v>2.7538944834255688E-2</v>
      </c>
      <c r="H89" s="25">
        <f t="shared" si="5"/>
        <v>5.7258826841867998E-2</v>
      </c>
      <c r="I89" s="25">
        <f>IF(G89&gt;=Returns!$H$42,H89,"inefficient")</f>
        <v>5.7258826841867998E-2</v>
      </c>
    </row>
    <row r="90" spans="5:9" x14ac:dyDescent="0.2">
      <c r="E90" s="13">
        <f t="shared" si="6"/>
        <v>0.12999999999999923</v>
      </c>
      <c r="F90" s="13">
        <f t="shared" si="7"/>
        <v>0.87000000000000055</v>
      </c>
      <c r="G90" s="13">
        <f t="shared" si="4"/>
        <v>2.770214405812484E-2</v>
      </c>
      <c r="H90" s="25">
        <f t="shared" si="5"/>
        <v>5.7825924571979707E-2</v>
      </c>
      <c r="I90" s="25">
        <f>IF(G90&gt;=Returns!$H$42,H90,"inefficient")</f>
        <v>5.7825924571979707E-2</v>
      </c>
    </row>
    <row r="91" spans="5:9" x14ac:dyDescent="0.2">
      <c r="E91" s="13">
        <f t="shared" si="6"/>
        <v>0.11999999999999923</v>
      </c>
      <c r="F91" s="13">
        <f t="shared" si="7"/>
        <v>0.88000000000000056</v>
      </c>
      <c r="G91" s="13">
        <f t="shared" si="4"/>
        <v>2.7865343281993991E-2</v>
      </c>
      <c r="H91" s="25">
        <f t="shared" si="5"/>
        <v>5.8405027946904033E-2</v>
      </c>
      <c r="I91" s="25">
        <f>IF(G91&gt;=Returns!$H$42,H91,"inefficient")</f>
        <v>5.8405027946904033E-2</v>
      </c>
    </row>
    <row r="92" spans="5:9" x14ac:dyDescent="0.2">
      <c r="E92" s="13">
        <f t="shared" si="6"/>
        <v>0.10999999999999924</v>
      </c>
      <c r="F92" s="13">
        <f t="shared" si="7"/>
        <v>0.89000000000000057</v>
      </c>
      <c r="G92" s="13">
        <f t="shared" si="4"/>
        <v>2.8028542505863136E-2</v>
      </c>
      <c r="H92" s="25">
        <f t="shared" si="5"/>
        <v>5.8995783425004937E-2</v>
      </c>
      <c r="I92" s="25">
        <f>IF(G92&gt;=Returns!$H$42,H92,"inefficient")</f>
        <v>5.8995783425004937E-2</v>
      </c>
    </row>
    <row r="93" spans="5:9" x14ac:dyDescent="0.2">
      <c r="E93" s="13">
        <f t="shared" si="6"/>
        <v>9.9999999999999242E-2</v>
      </c>
      <c r="F93" s="13">
        <f t="shared" si="7"/>
        <v>0.90000000000000058</v>
      </c>
      <c r="G93" s="13">
        <f t="shared" si="4"/>
        <v>2.8191741729732288E-2</v>
      </c>
      <c r="H93" s="25">
        <f t="shared" si="5"/>
        <v>5.9597844507655019E-2</v>
      </c>
      <c r="I93" s="25">
        <f>IF(G93&gt;=Returns!$H$42,H93,"inefficient")</f>
        <v>5.9597844507655019E-2</v>
      </c>
    </row>
    <row r="94" spans="5:9" x14ac:dyDescent="0.2">
      <c r="E94" s="13">
        <f t="shared" si="6"/>
        <v>8.9999999999999247E-2</v>
      </c>
      <c r="F94" s="13">
        <f t="shared" si="7"/>
        <v>0.91000000000000059</v>
      </c>
      <c r="G94" s="13">
        <f t="shared" si="4"/>
        <v>2.8354940953601439E-2</v>
      </c>
      <c r="H94" s="25">
        <f t="shared" si="5"/>
        <v>6.0210872054507356E-2</v>
      </c>
      <c r="I94" s="25">
        <f>IF(G94&gt;=Returns!$H$42,H94,"inefficient")</f>
        <v>6.0210872054507356E-2</v>
      </c>
    </row>
    <row r="95" spans="5:9" x14ac:dyDescent="0.2">
      <c r="E95" s="13">
        <f t="shared" si="6"/>
        <v>7.9999999999999252E-2</v>
      </c>
      <c r="F95" s="13">
        <f t="shared" si="7"/>
        <v>0.9200000000000006</v>
      </c>
      <c r="G95" s="13">
        <f t="shared" si="4"/>
        <v>2.8518140177470591E-2</v>
      </c>
      <c r="H95" s="25">
        <f t="shared" si="5"/>
        <v>6.0834534540398812E-2</v>
      </c>
      <c r="I95" s="25">
        <f>IF(G95&gt;=Returns!$H$42,H95,"inefficient")</f>
        <v>6.0834534540398812E-2</v>
      </c>
    </row>
    <row r="96" spans="5:9" x14ac:dyDescent="0.2">
      <c r="E96" s="13">
        <f t="shared" si="6"/>
        <v>6.9999999999999257E-2</v>
      </c>
      <c r="F96" s="13">
        <f t="shared" si="7"/>
        <v>0.9300000000000006</v>
      </c>
      <c r="G96" s="13">
        <f t="shared" si="4"/>
        <v>2.8681339401339739E-2</v>
      </c>
      <c r="H96" s="25">
        <f t="shared" si="5"/>
        <v>6.1468508258349562E-2</v>
      </c>
      <c r="I96" s="25">
        <f>IF(G96&gt;=Returns!$H$42,H96,"inefficient")</f>
        <v>6.1468508258349562E-2</v>
      </c>
    </row>
    <row r="97" spans="5:9" x14ac:dyDescent="0.2">
      <c r="E97" s="13">
        <f t="shared" si="6"/>
        <v>5.9999999999999255E-2</v>
      </c>
      <c r="F97" s="13">
        <f t="shared" si="7"/>
        <v>0.94000000000000061</v>
      </c>
      <c r="G97" s="13">
        <f t="shared" si="4"/>
        <v>2.8844538625208888E-2</v>
      </c>
      <c r="H97" s="25">
        <f t="shared" si="5"/>
        <v>6.2112477473078569E-2</v>
      </c>
      <c r="I97" s="25">
        <f>IF(G97&gt;=Returns!$H$42,H97,"inefficient")</f>
        <v>6.2112477473078569E-2</v>
      </c>
    </row>
    <row r="98" spans="5:9" x14ac:dyDescent="0.2">
      <c r="E98" s="13">
        <f t="shared" si="6"/>
        <v>4.9999999999999253E-2</v>
      </c>
      <c r="F98" s="13">
        <f t="shared" si="7"/>
        <v>0.95000000000000062</v>
      </c>
      <c r="G98" s="13">
        <f t="shared" si="4"/>
        <v>2.9007737849078039E-2</v>
      </c>
      <c r="H98" s="25">
        <f t="shared" si="5"/>
        <v>6.2766134529359766E-2</v>
      </c>
      <c r="I98" s="25">
        <f>IF(G98&gt;=Returns!$H$42,H98,"inefficient")</f>
        <v>6.2766134529359766E-2</v>
      </c>
    </row>
    <row r="99" spans="5:9" x14ac:dyDescent="0.2">
      <c r="E99" s="13">
        <f t="shared" si="6"/>
        <v>3.9999999999999251E-2</v>
      </c>
      <c r="F99" s="13">
        <f t="shared" si="7"/>
        <v>0.96000000000000063</v>
      </c>
      <c r="G99" s="13">
        <f t="shared" si="4"/>
        <v>2.9170937072947191E-2</v>
      </c>
      <c r="H99" s="25">
        <f t="shared" si="5"/>
        <v>6.3429179919409134E-2</v>
      </c>
      <c r="I99" s="25">
        <f>IF(G99&gt;=Returns!$H$42,H99,"inefficient")</f>
        <v>6.3429179919409134E-2</v>
      </c>
    </row>
    <row r="100" spans="5:9" x14ac:dyDescent="0.2">
      <c r="E100" s="13">
        <f t="shared" si="6"/>
        <v>2.9999999999999249E-2</v>
      </c>
      <c r="F100" s="13">
        <f t="shared" si="7"/>
        <v>0.97000000000000064</v>
      </c>
      <c r="G100" s="13">
        <f t="shared" si="4"/>
        <v>2.9334136296816339E-2</v>
      </c>
      <c r="H100" s="25">
        <f t="shared" si="5"/>
        <v>6.4101322313326381E-2</v>
      </c>
      <c r="I100" s="25">
        <f>IF(G100&gt;=Returns!$H$42,H100,"inefficient")</f>
        <v>6.4101322313326381E-2</v>
      </c>
    </row>
    <row r="101" spans="5:9" x14ac:dyDescent="0.2">
      <c r="E101" s="13">
        <f t="shared" si="6"/>
        <v>1.9999999999999248E-2</v>
      </c>
      <c r="F101" s="13">
        <f t="shared" si="7"/>
        <v>0.98000000000000065</v>
      </c>
      <c r="G101" s="13">
        <f t="shared" si="4"/>
        <v>2.9497335520685491E-2</v>
      </c>
      <c r="H101" s="25">
        <f t="shared" si="5"/>
        <v>6.4782278556424863E-2</v>
      </c>
      <c r="I101" s="25">
        <f>IF(G101&gt;=Returns!$H$42,H101,"inefficient")</f>
        <v>6.4782278556424863E-2</v>
      </c>
    </row>
    <row r="102" spans="5:9" x14ac:dyDescent="0.2">
      <c r="E102" s="13">
        <f t="shared" si="6"/>
        <v>9.9999999999992473E-3</v>
      </c>
      <c r="F102" s="13">
        <f t="shared" si="7"/>
        <v>0.99000000000000066</v>
      </c>
      <c r="G102" s="13">
        <f t="shared" si="4"/>
        <v>2.9660534744554639E-2</v>
      </c>
      <c r="H102" s="25">
        <f t="shared" si="5"/>
        <v>6.54717736370765E-2</v>
      </c>
      <c r="I102" s="25">
        <f>IF(G102&gt;=Returns!$H$42,H102,"inefficient")</f>
        <v>6.54717736370765E-2</v>
      </c>
    </row>
    <row r="103" spans="5:9" x14ac:dyDescent="0.2">
      <c r="E103" s="13">
        <f t="shared" si="6"/>
        <v>-7.5286998857393428E-16</v>
      </c>
      <c r="F103" s="13">
        <f t="shared" si="7"/>
        <v>1.0000000000000007</v>
      </c>
      <c r="G103" s="13">
        <f t="shared" si="4"/>
        <v>2.9823733968423791E-2</v>
      </c>
      <c r="H103" s="25">
        <f t="shared" si="5"/>
        <v>6.6169540628479795E-2</v>
      </c>
      <c r="I103" s="25">
        <f>IF(G103&gt;=Returns!$H$42,H103,"inefficient")</f>
        <v>6.6169540628479795E-2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9"/>
  <sheetViews>
    <sheetView tabSelected="1" topLeftCell="A2" workbookViewId="0">
      <selection activeCell="J6" sqref="J6"/>
    </sheetView>
  </sheetViews>
  <sheetFormatPr baseColWidth="10" defaultRowHeight="16" x14ac:dyDescent="0.2"/>
  <cols>
    <col min="1" max="1" width="32.33203125" customWidth="1"/>
    <col min="2" max="2" width="12" bestFit="1" customWidth="1"/>
    <col min="7" max="7" width="10.83203125" customWidth="1"/>
  </cols>
  <sheetData>
    <row r="1" spans="1:7" ht="17" thickBot="1" x14ac:dyDescent="0.25">
      <c r="A1" s="4"/>
      <c r="B1" s="4"/>
      <c r="C1" s="4" t="s">
        <v>58</v>
      </c>
      <c r="D1" s="4"/>
      <c r="E1" s="4"/>
      <c r="F1" s="4"/>
      <c r="G1" s="4"/>
    </row>
    <row r="2" spans="1:7" ht="17" thickBot="1" x14ac:dyDescent="0.25">
      <c r="A2" s="1"/>
      <c r="B2" s="1" t="s">
        <v>59</v>
      </c>
      <c r="C2" s="1"/>
      <c r="D2" s="1" t="s">
        <v>62</v>
      </c>
      <c r="E2" s="1"/>
      <c r="F2" s="1"/>
      <c r="G2" s="30"/>
    </row>
    <row r="3" spans="1:7" ht="17" thickBot="1" x14ac:dyDescent="0.25">
      <c r="A3" s="15" t="s">
        <v>63</v>
      </c>
      <c r="B3" s="15"/>
      <c r="C3" s="15"/>
      <c r="D3" s="15" t="s">
        <v>19</v>
      </c>
      <c r="E3" s="15" t="s">
        <v>64</v>
      </c>
      <c r="F3" s="15" t="s">
        <v>60</v>
      </c>
      <c r="G3" s="1" t="s">
        <v>61</v>
      </c>
    </row>
    <row r="4" spans="1:7" x14ac:dyDescent="0.2">
      <c r="A4" t="str">
        <f>Returns!B2</f>
        <v>RiskFree</v>
      </c>
      <c r="B4" s="18">
        <f>Returns!B42</f>
        <v>8.0092592592592542E-5</v>
      </c>
      <c r="D4" s="28">
        <v>0</v>
      </c>
      <c r="E4" s="14">
        <f>Rf+D4*(Rm-Rf)</f>
        <v>9.611111111111105E-4</v>
      </c>
      <c r="F4" s="14">
        <f>Returns!B42*12</f>
        <v>9.611111111111105E-4</v>
      </c>
      <c r="G4" s="14">
        <f t="shared" ref="G4:G9" si="0">F4-E4</f>
        <v>0</v>
      </c>
    </row>
    <row r="5" spans="1:7" x14ac:dyDescent="0.2">
      <c r="A5" t="str">
        <f>Returns!C2</f>
        <v>S&amp;P 500</v>
      </c>
      <c r="B5" s="18">
        <f>Returns!C42</f>
        <v>8.4140705795262248E-3</v>
      </c>
      <c r="D5" s="28">
        <v>1</v>
      </c>
      <c r="E5" s="14">
        <f>Rf+D5*(Rm-Rf)</f>
        <v>0.1009688469543147</v>
      </c>
      <c r="F5" s="14">
        <f>Returns!C42*12</f>
        <v>0.1009688469543147</v>
      </c>
      <c r="G5" s="14">
        <f t="shared" si="0"/>
        <v>0</v>
      </c>
    </row>
    <row r="6" spans="1:7" x14ac:dyDescent="0.2">
      <c r="A6" t="str">
        <f>'Raw Data'!A1</f>
        <v>Simpson Manufacturing Co</v>
      </c>
      <c r="B6" s="18">
        <f>Returns!E42</f>
        <v>1.3503811581508797E-2</v>
      </c>
      <c r="D6" s="29">
        <f>SLOPE(Returns!E3:E38,Returns!C3:C38)</f>
        <v>1.5982848716777369</v>
      </c>
      <c r="E6" s="14">
        <f t="shared" ref="E6:E9" si="1">Rf+D6*(Rm-Rf)</f>
        <v>0.16080196236004676</v>
      </c>
      <c r="F6" s="14">
        <f>Returns!E42*12</f>
        <v>0.16204573897810556</v>
      </c>
      <c r="G6" s="14">
        <f t="shared" si="0"/>
        <v>1.2437766180588006E-3</v>
      </c>
    </row>
    <row r="7" spans="1:7" x14ac:dyDescent="0.2">
      <c r="A7" t="str">
        <f>Returns!F2</f>
        <v>Tyson</v>
      </c>
      <c r="B7" s="18">
        <f>Returns!F42</f>
        <v>2.982373396842378E-2</v>
      </c>
      <c r="D7" s="29">
        <f>SLOPE(Returns!F3:F38,Returns!C3:C38)</f>
        <v>0.26876053421898877</v>
      </c>
      <c r="E7" s="14">
        <f t="shared" si="1"/>
        <v>2.7839243622362019E-2</v>
      </c>
      <c r="F7" s="14">
        <f>Returns!F42*12</f>
        <v>0.35788480762108538</v>
      </c>
      <c r="G7" s="14">
        <f t="shared" si="0"/>
        <v>0.33004556399872337</v>
      </c>
    </row>
    <row r="8" spans="1:7" x14ac:dyDescent="0.2">
      <c r="A8" t="str">
        <f>Returns!G2</f>
        <v>50/50 Portfolio</v>
      </c>
      <c r="B8" s="18">
        <f>Returns!G42</f>
        <v>2.166377277496629E-2</v>
      </c>
      <c r="D8" s="29">
        <f>SLOPE(Returns!G3:G38,Returns!C3:C38)</f>
        <v>0.93352270294836293</v>
      </c>
      <c r="E8" s="14">
        <f t="shared" si="1"/>
        <v>9.43206029912044E-2</v>
      </c>
      <c r="F8" s="14">
        <f>Returns!G42*12</f>
        <v>0.25996527329959551</v>
      </c>
      <c r="G8" s="14">
        <f t="shared" si="0"/>
        <v>0.16564467030839111</v>
      </c>
    </row>
    <row r="9" spans="1:7" x14ac:dyDescent="0.2">
      <c r="A9" t="str">
        <f>Returns!H2</f>
        <v>MVP</v>
      </c>
      <c r="B9" s="18">
        <f>Returns!H42</f>
        <v>2.2479768894312042E-2</v>
      </c>
      <c r="D9" s="29">
        <f>SLOPE(Returns!H3:H38,Returns!C3:C38)</f>
        <v>0.86704648607542489</v>
      </c>
      <c r="E9" s="14">
        <f t="shared" si="1"/>
        <v>8.7672467054320094E-2</v>
      </c>
      <c r="F9" s="14">
        <f>Returns!H42*12</f>
        <v>0.26975722673174451</v>
      </c>
      <c r="G9" s="14">
        <f t="shared" si="0"/>
        <v>0.18208475967742443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Returns</vt:lpstr>
      <vt:lpstr>MarketModel</vt:lpstr>
      <vt:lpstr>Efficient Portfolio</vt:lpstr>
      <vt:lpstr>CAPM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Microsoft Office User</cp:lastModifiedBy>
  <dcterms:created xsi:type="dcterms:W3CDTF">2016-09-10T21:30:41Z</dcterms:created>
  <dcterms:modified xsi:type="dcterms:W3CDTF">2016-09-28T04:01:18Z</dcterms:modified>
</cp:coreProperties>
</file>