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/Desktop/Project Portfolio/Fin 300/"/>
    </mc:Choice>
  </mc:AlternateContent>
  <bookViews>
    <workbookView xWindow="520" yWindow="460" windowWidth="24560" windowHeight="18080" tabRatio="500"/>
  </bookViews>
  <sheets>
    <sheet name="YTM" sheetId="1" r:id="rId1"/>
    <sheet name="YT1C" sheetId="2" r:id="rId2"/>
    <sheet name="Call Schedule" sheetId="3" r:id="rId3"/>
    <sheet name="Price Yield Curv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D11" i="1"/>
  <c r="D10" i="1"/>
  <c r="J5" i="1"/>
  <c r="C24" i="1"/>
  <c r="G5" i="2"/>
  <c r="D12" i="2"/>
  <c r="D11" i="2"/>
  <c r="J5" i="2"/>
  <c r="C24" i="2"/>
  <c r="F7" i="3"/>
  <c r="F6" i="3"/>
  <c r="J6" i="3"/>
  <c r="A11" i="4"/>
  <c r="A12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9" i="4"/>
  <c r="B18" i="4"/>
  <c r="B17" i="4"/>
  <c r="B16" i="4"/>
  <c r="B15" i="4"/>
  <c r="B14" i="4"/>
  <c r="B13" i="4"/>
  <c r="B12" i="4"/>
  <c r="B11" i="4"/>
  <c r="B10" i="4"/>
  <c r="B5" i="4"/>
  <c r="A20" i="4"/>
  <c r="B20" i="4"/>
  <c r="F5" i="3"/>
  <c r="G6" i="2"/>
  <c r="G4" i="2"/>
  <c r="J6" i="1"/>
  <c r="F24" i="1"/>
  <c r="G24" i="1"/>
  <c r="J9" i="1"/>
  <c r="A24" i="1"/>
  <c r="A25" i="1"/>
  <c r="C25" i="1"/>
  <c r="F25" i="1"/>
  <c r="G25" i="1"/>
  <c r="A26" i="1"/>
  <c r="C26" i="1"/>
  <c r="F26" i="1"/>
  <c r="G26" i="1"/>
  <c r="A27" i="1"/>
  <c r="C27" i="1"/>
  <c r="F27" i="1"/>
  <c r="G27" i="1"/>
  <c r="A28" i="1"/>
  <c r="C28" i="1"/>
  <c r="F28" i="1"/>
  <c r="G28" i="1"/>
  <c r="A29" i="1"/>
  <c r="C29" i="1"/>
  <c r="F29" i="1"/>
  <c r="G29" i="1"/>
  <c r="A30" i="1"/>
  <c r="C30" i="1"/>
  <c r="F30" i="1"/>
  <c r="G30" i="1"/>
  <c r="A31" i="1"/>
  <c r="C31" i="1"/>
  <c r="F31" i="1"/>
  <c r="G31" i="1"/>
  <c r="A32" i="1"/>
  <c r="C32" i="1"/>
  <c r="F32" i="1"/>
  <c r="G32" i="1"/>
  <c r="A33" i="1"/>
  <c r="C33" i="1"/>
  <c r="F33" i="1"/>
  <c r="G33" i="1"/>
  <c r="A34" i="1"/>
  <c r="C34" i="1"/>
  <c r="F34" i="1"/>
  <c r="G34" i="1"/>
  <c r="A35" i="1"/>
  <c r="C35" i="1"/>
  <c r="F35" i="1"/>
  <c r="G35" i="1"/>
  <c r="A36" i="1"/>
  <c r="C36" i="1"/>
  <c r="F36" i="1"/>
  <c r="G36" i="1"/>
  <c r="A37" i="1"/>
  <c r="C37" i="1"/>
  <c r="F37" i="1"/>
  <c r="G37" i="1"/>
  <c r="A38" i="1"/>
  <c r="C38" i="1"/>
  <c r="F38" i="1"/>
  <c r="G38" i="1"/>
  <c r="A39" i="1"/>
  <c r="C39" i="1"/>
  <c r="F39" i="1"/>
  <c r="G39" i="1"/>
  <c r="A40" i="1"/>
  <c r="C40" i="1"/>
  <c r="F40" i="1"/>
  <c r="G40" i="1"/>
  <c r="G22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2" i="1"/>
  <c r="J12" i="1"/>
  <c r="J14" i="1"/>
  <c r="B7" i="4"/>
  <c r="J7" i="3"/>
  <c r="J8" i="3"/>
  <c r="J9" i="3"/>
  <c r="J10" i="3"/>
  <c r="J11" i="3"/>
  <c r="K11" i="3"/>
  <c r="K10" i="3"/>
  <c r="K9" i="3"/>
  <c r="K8" i="3"/>
  <c r="K7" i="3"/>
  <c r="K6" i="3"/>
  <c r="A25" i="2"/>
  <c r="A26" i="2"/>
  <c r="A27" i="2"/>
  <c r="A28" i="2"/>
  <c r="A29" i="2"/>
  <c r="A30" i="2"/>
  <c r="J9" i="2"/>
  <c r="C25" i="2"/>
  <c r="C26" i="2"/>
  <c r="C27" i="2"/>
  <c r="C28" i="2"/>
  <c r="C29" i="2"/>
  <c r="C30" i="2"/>
  <c r="J6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2" i="1"/>
  <c r="J16" i="1"/>
  <c r="J17" i="1"/>
  <c r="G22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K22" i="2"/>
  <c r="J16" i="2"/>
  <c r="J17" i="2"/>
  <c r="J22" i="2"/>
  <c r="J12" i="2"/>
  <c r="J14" i="2"/>
  <c r="J13" i="2"/>
  <c r="I22" i="2"/>
  <c r="J7" i="2"/>
  <c r="B30" i="2"/>
  <c r="B29" i="2"/>
  <c r="B28" i="2"/>
  <c r="B27" i="2"/>
  <c r="B26" i="2"/>
  <c r="B25" i="2"/>
  <c r="B24" i="2"/>
  <c r="J7" i="1"/>
  <c r="B24" i="1"/>
  <c r="A31" i="2"/>
  <c r="J13" i="1"/>
  <c r="J8" i="1"/>
  <c r="J4" i="1"/>
  <c r="J4" i="2"/>
  <c r="J8" i="2"/>
  <c r="G12" i="2"/>
  <c r="G13" i="2"/>
  <c r="G14" i="2"/>
  <c r="A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I22" i="1"/>
  <c r="A42" i="1"/>
  <c r="A43" i="1"/>
  <c r="A44" i="1"/>
  <c r="A45" i="1"/>
  <c r="A46" i="1"/>
  <c r="A47" i="1"/>
  <c r="A48" i="1"/>
  <c r="G12" i="1"/>
  <c r="G13" i="1"/>
  <c r="G14" i="1"/>
</calcChain>
</file>

<file path=xl/sharedStrings.xml><?xml version="1.0" encoding="utf-8"?>
<sst xmlns="http://schemas.openxmlformats.org/spreadsheetml/2006/main" count="145" uniqueCount="62">
  <si>
    <t>Yield To Maturity</t>
  </si>
  <si>
    <t>Bond Details</t>
  </si>
  <si>
    <t>Symbol:</t>
  </si>
  <si>
    <t>Coupon</t>
  </si>
  <si>
    <t>AES4229312</t>
  </si>
  <si>
    <t>00130HBW4</t>
  </si>
  <si>
    <t>AES Corporation</t>
  </si>
  <si>
    <t>Market Data</t>
  </si>
  <si>
    <t>Price Date</t>
  </si>
  <si>
    <t>Settlment</t>
  </si>
  <si>
    <t xml:space="preserve">Price </t>
  </si>
  <si>
    <t>Price Calculations</t>
  </si>
  <si>
    <t>Principle</t>
  </si>
  <si>
    <t>Base Price</t>
  </si>
  <si>
    <t>Accrued Interest</t>
  </si>
  <si>
    <t>Invoice Price</t>
  </si>
  <si>
    <t>Date Calculations</t>
  </si>
  <si>
    <t>Days to Accrue</t>
  </si>
  <si>
    <t>Days to Next Coupon</t>
  </si>
  <si>
    <t>Date of Next Coupon</t>
  </si>
  <si>
    <t>Coupons Remaining</t>
  </si>
  <si>
    <t>Durations(Calculated)</t>
  </si>
  <si>
    <t>Duration(Excel)</t>
  </si>
  <si>
    <t>Modified Duration</t>
  </si>
  <si>
    <t>Convexity</t>
  </si>
  <si>
    <t>Modified Convexity</t>
  </si>
  <si>
    <t>Date of Previous Coupon</t>
  </si>
  <si>
    <t>US Corporate</t>
  </si>
  <si>
    <t>Semi-Annual</t>
  </si>
  <si>
    <t>Excel Codes</t>
  </si>
  <si>
    <t>Treasury</t>
  </si>
  <si>
    <t>European Corporate</t>
  </si>
  <si>
    <t>Annual</t>
  </si>
  <si>
    <t>Date</t>
  </si>
  <si>
    <t>Time</t>
  </si>
  <si>
    <t>PV</t>
  </si>
  <si>
    <t>NPV/Price</t>
  </si>
  <si>
    <t>Duration</t>
  </si>
  <si>
    <t>Total Payments</t>
  </si>
  <si>
    <t>Price</t>
  </si>
  <si>
    <t>days</t>
  </si>
  <si>
    <t>years</t>
  </si>
  <si>
    <t>years squared</t>
  </si>
  <si>
    <t>CUSIP:</t>
  </si>
  <si>
    <t>Issuer:</t>
  </si>
  <si>
    <t>Coupon:</t>
  </si>
  <si>
    <t>Maturity:</t>
  </si>
  <si>
    <t>Type:</t>
  </si>
  <si>
    <t>Frequency:</t>
  </si>
  <si>
    <t>First Call Date</t>
  </si>
  <si>
    <t>Call Price</t>
  </si>
  <si>
    <t>Yield To Call</t>
  </si>
  <si>
    <t>Call Schedule</t>
  </si>
  <si>
    <t xml:space="preserve">Call </t>
  </si>
  <si>
    <t>YTC</t>
  </si>
  <si>
    <t>Yield to Worst</t>
  </si>
  <si>
    <t>Price Yield Curve</t>
  </si>
  <si>
    <t>Yield</t>
  </si>
  <si>
    <t>Price:</t>
  </si>
  <si>
    <t>YTM:</t>
  </si>
  <si>
    <t>Mod Dur</t>
  </si>
  <si>
    <t>AES Corporation 5.50% April 15,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</si>
</sst>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164" formatCode="0.000"/>
    <numFmt numFmtId="165" formatCode="[$-F800]dddd\,\ mmmm\ dd\,\ yyyy"/>
    <numFmt numFmtId="166" formatCode="[$-409]d\-mmm\-yy;@"/>
    <numFmt numFmtId="167" formatCode="0.000%"/>
    <numFmt numFmtId="168" formatCode="&quot;$&quot;#,##0.00"/>
    <numFmt numFmtId="169" formatCode="[$-409]mmmm\ d\,\ yyyy;@"/>
    <numFmt numFmtId="170" formatCode="#\ ??/180"/>
    <numFmt numFmtId="171" formatCode="\1\70/180"/>
    <numFmt numFmtId="172" formatCode="0.000000"/>
    <numFmt numFmtId="173" formatCode="#,##0.0000000"/>
    <numFmt numFmtId="174" formatCode="#,##0.000;[Red]#,##0.000"/>
    <numFmt numFmtId="175" formatCode="0.0000"/>
    <numFmt numFmtId="17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 applyFill="1"/>
    <xf numFmtId="15" fontId="3" fillId="0" borderId="0" xfId="0" applyNumberFormat="1" applyFont="1" applyFill="1"/>
    <xf numFmtId="164" fontId="3" fillId="0" borderId="0" xfId="0" applyNumberFormat="1" applyFont="1" applyFill="1"/>
    <xf numFmtId="8" fontId="0" fillId="0" borderId="0" xfId="0" applyNumberFormat="1"/>
    <xf numFmtId="165" fontId="3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3" fillId="0" borderId="0" xfId="0" applyNumberFormat="1" applyFont="1" applyFill="1"/>
    <xf numFmtId="168" fontId="3" fillId="0" borderId="0" xfId="0" applyNumberFormat="1" applyFon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5" fillId="0" borderId="0" xfId="0" applyNumberFormat="1" applyFont="1" applyFill="1" applyBorder="1"/>
    <xf numFmtId="174" fontId="4" fillId="0" borderId="0" xfId="0" applyNumberFormat="1" applyFont="1"/>
    <xf numFmtId="0" fontId="0" fillId="0" borderId="0" xfId="0" applyNumberFormat="1"/>
    <xf numFmtId="175" fontId="0" fillId="0" borderId="0" xfId="0" applyNumberFormat="1"/>
    <xf numFmtId="4" fontId="0" fillId="0" borderId="0" xfId="0" applyNumberFormat="1"/>
    <xf numFmtId="167" fontId="6" fillId="0" borderId="0" xfId="0" applyNumberFormat="1" applyFont="1"/>
    <xf numFmtId="0" fontId="2" fillId="3" borderId="2" xfId="0" applyFont="1" applyFill="1" applyBorder="1"/>
    <xf numFmtId="0" fontId="7" fillId="0" borderId="0" xfId="0" applyFont="1" applyFill="1"/>
    <xf numFmtId="167" fontId="7" fillId="0" borderId="0" xfId="0" applyNumberFormat="1" applyFont="1" applyFill="1"/>
    <xf numFmtId="165" fontId="7" fillId="0" borderId="0" xfId="0" applyNumberFormat="1" applyFont="1" applyFill="1"/>
    <xf numFmtId="164" fontId="7" fillId="0" borderId="0" xfId="0" applyNumberFormat="1" applyFont="1" applyFill="1"/>
    <xf numFmtId="168" fontId="7" fillId="0" borderId="0" xfId="0" applyNumberFormat="1" applyFont="1" applyFill="1"/>
    <xf numFmtId="169" fontId="7" fillId="0" borderId="0" xfId="0" applyNumberFormat="1" applyFont="1" applyFill="1"/>
    <xf numFmtId="0" fontId="2" fillId="3" borderId="0" xfId="0" applyFont="1" applyFill="1" applyBorder="1"/>
    <xf numFmtId="0" fontId="0" fillId="0" borderId="0" xfId="0"/>
    <xf numFmtId="169" fontId="3" fillId="0" borderId="0" xfId="0" applyNumberFormat="1" applyFont="1" applyFill="1"/>
    <xf numFmtId="169" fontId="7" fillId="0" borderId="0" xfId="0" quotePrefix="1" applyNumberFormat="1" applyFont="1" applyFill="1"/>
    <xf numFmtId="176" fontId="3" fillId="0" borderId="0" xfId="1" applyNumberFormat="1" applyFont="1" applyFill="1"/>
    <xf numFmtId="176" fontId="3" fillId="0" borderId="0" xfId="0" applyNumberFormat="1" applyFont="1" applyFill="1"/>
    <xf numFmtId="167" fontId="0" fillId="0" borderId="0" xfId="0" applyNumberFormat="1"/>
    <xf numFmtId="0" fontId="5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8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 Schedule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028765179154"/>
                  <c:y val="0.06471649208076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06146303814115"/>
                  <c:y val="0.05824484287268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57781196763473"/>
                  <c:y val="0.05824484287268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41659494413259"/>
                  <c:y val="0.04206571985249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341659494413259"/>
                  <c:y val="0.05824484287268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4165949441326"/>
                  <c:y val="0.06795231668480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'Call Schedule'!$H$6:$H$11</c:f>
              <c:numCache>
                <c:formatCode>[$-409]mmmm\ d\,\ yyyy;@</c:formatCode>
                <c:ptCount val="6"/>
                <c:pt idx="0">
                  <c:v>43936.0</c:v>
                </c:pt>
                <c:pt idx="1">
                  <c:v>44301.0</c:v>
                </c:pt>
                <c:pt idx="2">
                  <c:v>44666.0</c:v>
                </c:pt>
                <c:pt idx="3">
                  <c:v>45031.0</c:v>
                </c:pt>
                <c:pt idx="4">
                  <c:v>45397.0</c:v>
                </c:pt>
                <c:pt idx="5">
                  <c:v>45762.0</c:v>
                </c:pt>
              </c:numCache>
            </c:numRef>
          </c:cat>
          <c:val>
            <c:numRef>
              <c:f>'Call Schedule'!$J$6:$J$11</c:f>
              <c:numCache>
                <c:formatCode>General</c:formatCode>
                <c:ptCount val="6"/>
                <c:pt idx="0">
                  <c:v>0.0530298660039804</c:v>
                </c:pt>
                <c:pt idx="1">
                  <c:v>0.0513382531497243</c:v>
                </c:pt>
                <c:pt idx="2">
                  <c:v>0.0503338194859771</c:v>
                </c:pt>
                <c:pt idx="3">
                  <c:v>0.0496949586080193</c:v>
                </c:pt>
                <c:pt idx="4">
                  <c:v>0.0502857576813203</c:v>
                </c:pt>
                <c:pt idx="5">
                  <c:v>0.0507358355500408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320208"/>
        <c:axId val="657324848"/>
      </c:lineChart>
      <c:dateAx>
        <c:axId val="657320208"/>
        <c:scaling>
          <c:orientation val="minMax"/>
          <c:max val="45955.0"/>
          <c:min val="42668.0"/>
        </c:scaling>
        <c:delete val="0"/>
        <c:axPos val="b"/>
        <c:numFmt formatCode="[$-409]mmmm\ d\,\ yyyy;@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4848"/>
        <c:crosses val="autoZero"/>
        <c:auto val="0"/>
        <c:lblOffset val="100"/>
        <c:baseTimeUnit val="months"/>
        <c:majorUnit val="6.0"/>
        <c:majorTimeUnit val="months"/>
      </c:dateAx>
      <c:valAx>
        <c:axId val="6573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AES Corporation 5.50% April 15, 2025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'Price Yield Curve'!$A$10:$A$41</c:f>
              <c:numCache>
                <c:formatCode>0.0%</c:formatCode>
                <c:ptCount val="32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 formatCode="0.000%">
                  <c:v>0.0507358195525339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</c:numCache>
            </c:numRef>
          </c:xVal>
          <c:yVal>
            <c:numRef>
              <c:f>'Price Yield Curve'!$B$10:$B$41</c:f>
              <c:numCache>
                <c:formatCode>"$"#,##0.00_);[Red]\("$"#,##0.00\)</c:formatCode>
                <c:ptCount val="32"/>
                <c:pt idx="0">
                  <c:v>146.6736111111111</c:v>
                </c:pt>
                <c:pt idx="1">
                  <c:v>141.4921329857997</c:v>
                </c:pt>
                <c:pt idx="2">
                  <c:v>136.5244565599146</c:v>
                </c:pt>
                <c:pt idx="3">
                  <c:v>131.7610217593203</c:v>
                </c:pt>
                <c:pt idx="4">
                  <c:v>127.1927229049156</c:v>
                </c:pt>
                <c:pt idx="5">
                  <c:v>122.81088594612</c:v>
                </c:pt>
                <c:pt idx="6">
                  <c:v>118.6072468909141</c:v>
                </c:pt>
                <c:pt idx="7">
                  <c:v>114.573931366683</c:v>
                </c:pt>
                <c:pt idx="8">
                  <c:v>110.703435249891</c:v>
                </c:pt>
                <c:pt idx="9">
                  <c:v>106.9886063061438</c:v>
                </c:pt>
                <c:pt idx="10">
                  <c:v>102.9100111114539</c:v>
                </c:pt>
                <c:pt idx="11">
                  <c:v>103.4226267855424</c:v>
                </c:pt>
                <c:pt idx="12">
                  <c:v>99.99899692135218</c:v>
                </c:pt>
                <c:pt idx="13">
                  <c:v>96.71151928296754</c:v>
                </c:pt>
                <c:pt idx="14">
                  <c:v>93.5542839369202</c:v>
                </c:pt>
                <c:pt idx="15">
                  <c:v>90.52165437229922</c:v>
                </c:pt>
                <c:pt idx="16">
                  <c:v>87.60825414939863</c:v>
                </c:pt>
                <c:pt idx="17">
                  <c:v>84.80895423272946</c:v>
                </c:pt>
                <c:pt idx="18">
                  <c:v>82.11886097170455</c:v>
                </c:pt>
                <c:pt idx="19">
                  <c:v>79.53330469436451</c:v>
                </c:pt>
                <c:pt idx="20">
                  <c:v>77.04782888143604</c:v>
                </c:pt>
                <c:pt idx="21">
                  <c:v>74.65817988984062</c:v>
                </c:pt>
                <c:pt idx="22">
                  <c:v>72.36029719647971</c:v>
                </c:pt>
                <c:pt idx="23">
                  <c:v>70.15030413474543</c:v>
                </c:pt>
                <c:pt idx="24">
                  <c:v>68.02449909772099</c:v>
                </c:pt>
                <c:pt idx="25">
                  <c:v>65.97934718347456</c:v>
                </c:pt>
                <c:pt idx="26">
                  <c:v>64.0114722591986</c:v>
                </c:pt>
                <c:pt idx="27">
                  <c:v>62.11764942222778</c:v>
                </c:pt>
                <c:pt idx="28">
                  <c:v>60.29479783716421</c:v>
                </c:pt>
                <c:pt idx="29">
                  <c:v>58.53997392947764</c:v>
                </c:pt>
                <c:pt idx="30">
                  <c:v>56.85036491701332</c:v>
                </c:pt>
                <c:pt idx="31">
                  <c:v>55.2232826618543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96704"/>
        <c:axId val="657404816"/>
      </c:scatterChart>
      <c:valAx>
        <c:axId val="657396704"/>
        <c:scaling>
          <c:orientation val="minMax"/>
          <c:max val="0.15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Yield</a:t>
                </a:r>
              </a:p>
            </c:rich>
          </c:tx>
          <c:layout>
            <c:manualLayout>
              <c:xMode val="edge"/>
              <c:yMode val="edge"/>
              <c:x val="0.488462185109424"/>
              <c:y val="0.952839506172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04816"/>
        <c:crosses val="autoZero"/>
        <c:crossBetween val="midCat"/>
      </c:valAx>
      <c:valAx>
        <c:axId val="65740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14</xdr:row>
      <xdr:rowOff>88900</xdr:rowOff>
    </xdr:from>
    <xdr:to>
      <xdr:col>10</xdr:col>
      <xdr:colOff>558800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120650</xdr:rowOff>
    </xdr:from>
    <xdr:to>
      <xdr:col>15</xdr:col>
      <xdr:colOff>482600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58"/>
  <sheetViews>
    <sheetView tabSelected="1" zoomScale="118" zoomScaleNormal="118" zoomScalePageLayoutView="118" workbookViewId="0">
      <selection activeCell="C10" sqref="C10"/>
    </sheetView>
  </sheetViews>
  <sheetFormatPr baseColWidth="10" defaultRowHeight="16" x14ac:dyDescent="0.2"/>
  <cols>
    <col min="2" max="2" width="15" customWidth="1"/>
    <col min="3" max="3" width="18" customWidth="1"/>
    <col min="4" max="4" width="4.6640625" customWidth="1"/>
    <col min="5" max="5" width="3.83203125" customWidth="1"/>
    <col min="6" max="6" width="21.5" customWidth="1"/>
    <col min="7" max="7" width="23.6640625" bestFit="1" customWidth="1"/>
    <col min="8" max="8" width="2.5" customWidth="1"/>
    <col min="9" max="9" width="21.83203125" customWidth="1"/>
    <col min="10" max="10" width="24.5" customWidth="1"/>
    <col min="13" max="13" width="23.6640625" bestFit="1" customWidth="1"/>
  </cols>
  <sheetData>
    <row r="1" spans="1:13" ht="17" thickBo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ht="17" thickBot="1" x14ac:dyDescent="0.25"/>
    <row r="3" spans="1:13" ht="17" thickBot="1" x14ac:dyDescent="0.25">
      <c r="B3" s="2" t="s">
        <v>1</v>
      </c>
      <c r="C3" s="2"/>
      <c r="F3" s="2" t="s">
        <v>7</v>
      </c>
      <c r="G3" s="2"/>
      <c r="I3" s="2" t="s">
        <v>16</v>
      </c>
      <c r="J3" s="2"/>
      <c r="K3" s="2"/>
    </row>
    <row r="4" spans="1:13" x14ac:dyDescent="0.2">
      <c r="B4" t="s">
        <v>2</v>
      </c>
      <c r="C4" s="3" t="s">
        <v>4</v>
      </c>
      <c r="F4" t="s">
        <v>8</v>
      </c>
      <c r="G4" s="7">
        <v>42660</v>
      </c>
      <c r="I4" t="s">
        <v>17</v>
      </c>
      <c r="J4">
        <f>COUPDAYBS(G5,C8,D11,D10)</f>
        <v>5</v>
      </c>
      <c r="K4" t="s">
        <v>40</v>
      </c>
      <c r="M4" s="10"/>
    </row>
    <row r="5" spans="1:13" x14ac:dyDescent="0.2">
      <c r="B5" t="s">
        <v>43</v>
      </c>
      <c r="C5" s="3" t="s">
        <v>5</v>
      </c>
      <c r="F5" t="s">
        <v>9</v>
      </c>
      <c r="G5" s="7">
        <f>IF(WEEKDAY(G4+3)=1, G4+4,IF(WEEKDAY(G4+3) = 7, G4+5,G4+3))</f>
        <v>42663</v>
      </c>
      <c r="I5" t="s">
        <v>18</v>
      </c>
      <c r="J5">
        <f>COUPDAYSNC(G5,C8,D11,D10)</f>
        <v>175</v>
      </c>
      <c r="K5" t="s">
        <v>40</v>
      </c>
    </row>
    <row r="6" spans="1:13" x14ac:dyDescent="0.2">
      <c r="B6" t="s">
        <v>44</v>
      </c>
      <c r="C6" s="3" t="s">
        <v>6</v>
      </c>
      <c r="F6" t="s">
        <v>10</v>
      </c>
      <c r="G6" s="5">
        <v>102.91</v>
      </c>
      <c r="I6" t="s">
        <v>3</v>
      </c>
      <c r="J6" s="6">
        <f>G11*C7/D11</f>
        <v>275</v>
      </c>
    </row>
    <row r="7" spans="1:13" x14ac:dyDescent="0.2">
      <c r="B7" t="s">
        <v>45</v>
      </c>
      <c r="C7" s="11">
        <v>5.5E-2</v>
      </c>
      <c r="G7" s="5"/>
      <c r="I7" t="s">
        <v>26</v>
      </c>
      <c r="J7" s="10">
        <f>COUPPCD(G5,C8,D11,D10)</f>
        <v>42658</v>
      </c>
    </row>
    <row r="8" spans="1:13" x14ac:dyDescent="0.2">
      <c r="B8" t="s">
        <v>46</v>
      </c>
      <c r="C8" s="4">
        <v>45762</v>
      </c>
      <c r="I8" t="s">
        <v>19</v>
      </c>
      <c r="J8" s="10">
        <f>COUPNCD(G5,C8,D11,D10)</f>
        <v>42840</v>
      </c>
    </row>
    <row r="9" spans="1:13" ht="17" thickBot="1" x14ac:dyDescent="0.25">
      <c r="C9" s="4"/>
      <c r="I9" t="s">
        <v>20</v>
      </c>
      <c r="J9">
        <f>COUPNUM(G5,C8,D11,D10)</f>
        <v>17</v>
      </c>
    </row>
    <row r="10" spans="1:13" ht="17" thickBot="1" x14ac:dyDescent="0.25">
      <c r="B10" t="s">
        <v>47</v>
      </c>
      <c r="C10" t="s">
        <v>27</v>
      </c>
      <c r="D10" s="39">
        <f>VLOOKUP(C10,B14:C16,2,0)</f>
        <v>0</v>
      </c>
      <c r="F10" s="2" t="s">
        <v>11</v>
      </c>
    </row>
    <row r="11" spans="1:13" x14ac:dyDescent="0.2">
      <c r="B11" t="s">
        <v>48</v>
      </c>
      <c r="C11" t="s">
        <v>28</v>
      </c>
      <c r="D11" s="39">
        <f>VLOOKUP(C11,B17:C18,2,0)</f>
        <v>2</v>
      </c>
      <c r="F11" t="s">
        <v>12</v>
      </c>
      <c r="G11" s="12">
        <v>10000</v>
      </c>
    </row>
    <row r="12" spans="1:13" ht="17" thickBot="1" x14ac:dyDescent="0.25">
      <c r="F12" t="s">
        <v>13</v>
      </c>
      <c r="G12" s="13">
        <f>G11*G6/100</f>
        <v>10291</v>
      </c>
      <c r="I12" t="s">
        <v>21</v>
      </c>
      <c r="J12" s="22">
        <f>J22/D11</f>
        <v>6.9154181295440846</v>
      </c>
      <c r="K12" t="s">
        <v>41</v>
      </c>
    </row>
    <row r="13" spans="1:13" ht="17" thickBot="1" x14ac:dyDescent="0.25">
      <c r="B13" s="2" t="s">
        <v>29</v>
      </c>
      <c r="F13" t="s">
        <v>14</v>
      </c>
      <c r="G13" s="13">
        <f>J6*(J4/(J4+J5))</f>
        <v>7.6388888888888884</v>
      </c>
      <c r="I13" t="s">
        <v>22</v>
      </c>
      <c r="J13">
        <f>DURATION(G5,C8,C7,G18,D11)</f>
        <v>6.9154181295440855</v>
      </c>
      <c r="K13" t="s">
        <v>41</v>
      </c>
    </row>
    <row r="14" spans="1:13" x14ac:dyDescent="0.2">
      <c r="B14" t="s">
        <v>30</v>
      </c>
      <c r="C14">
        <v>1</v>
      </c>
      <c r="F14" t="s">
        <v>15</v>
      </c>
      <c r="G14" s="13">
        <f>G12+G13</f>
        <v>10298.638888888889</v>
      </c>
      <c r="I14" t="s">
        <v>23</v>
      </c>
      <c r="J14">
        <f>$J$12/(1+$G$18/2)</f>
        <v>6.7443286098674706</v>
      </c>
    </row>
    <row r="15" spans="1:13" x14ac:dyDescent="0.2">
      <c r="B15" t="s">
        <v>27</v>
      </c>
      <c r="C15">
        <v>0</v>
      </c>
    </row>
    <row r="16" spans="1:13" x14ac:dyDescent="0.2">
      <c r="B16" t="s">
        <v>31</v>
      </c>
      <c r="C16">
        <v>4</v>
      </c>
      <c r="I16" t="s">
        <v>24</v>
      </c>
      <c r="J16">
        <f>K22/D11^2</f>
        <v>57.739174608697702</v>
      </c>
      <c r="K16" t="s">
        <v>42</v>
      </c>
    </row>
    <row r="17" spans="1:11" ht="17" thickBot="1" x14ac:dyDescent="0.25">
      <c r="B17" t="s">
        <v>32</v>
      </c>
      <c r="C17">
        <v>1</v>
      </c>
      <c r="F17" s="9"/>
      <c r="I17" t="s">
        <v>25</v>
      </c>
      <c r="J17">
        <f>J16/(1+G18/2)^2</f>
        <v>54.917546732098472</v>
      </c>
    </row>
    <row r="18" spans="1:11" ht="17" thickBot="1" x14ac:dyDescent="0.25">
      <c r="B18" t="s">
        <v>28</v>
      </c>
      <c r="C18">
        <v>2</v>
      </c>
      <c r="F18" s="2" t="s">
        <v>0</v>
      </c>
      <c r="G18" s="24">
        <v>5.0735819552533937E-2</v>
      </c>
    </row>
    <row r="20" spans="1:11" ht="17" thickBot="1" x14ac:dyDescent="0.25">
      <c r="F20" s="8"/>
    </row>
    <row r="21" spans="1:11" ht="17" thickBot="1" x14ac:dyDescent="0.25">
      <c r="B21" s="2"/>
      <c r="C21" s="2"/>
      <c r="D21" s="2"/>
      <c r="E21" s="2"/>
      <c r="F21" s="2" t="s">
        <v>38</v>
      </c>
      <c r="G21" s="2" t="s">
        <v>39</v>
      </c>
      <c r="H21" s="2"/>
      <c r="I21" s="2"/>
      <c r="J21" s="2"/>
      <c r="K21" s="2"/>
    </row>
    <row r="22" spans="1:11" ht="17" thickBot="1" x14ac:dyDescent="0.25">
      <c r="F22" s="13"/>
      <c r="G22" s="23">
        <f>SUM(G24:G40)</f>
        <v>10298.640000034278</v>
      </c>
      <c r="I22" s="17">
        <f>SUM(I24:I40)</f>
        <v>1</v>
      </c>
      <c r="J22">
        <f>SUM(J24:J40)</f>
        <v>13.830836259088169</v>
      </c>
      <c r="K22">
        <f>SUM(K24:K40)</f>
        <v>230.95669843479081</v>
      </c>
    </row>
    <row r="23" spans="1:11" ht="17" thickBot="1" x14ac:dyDescent="0.25">
      <c r="B23" s="2" t="s">
        <v>33</v>
      </c>
      <c r="C23" s="2" t="s">
        <v>34</v>
      </c>
      <c r="D23" s="2"/>
      <c r="E23" s="2"/>
      <c r="F23" s="2" t="s">
        <v>3</v>
      </c>
      <c r="G23" s="25" t="s">
        <v>35</v>
      </c>
      <c r="H23" s="2"/>
      <c r="I23" s="2" t="s">
        <v>36</v>
      </c>
      <c r="J23" s="2" t="s">
        <v>37</v>
      </c>
      <c r="K23" s="2" t="s">
        <v>24</v>
      </c>
    </row>
    <row r="24" spans="1:11" x14ac:dyDescent="0.2">
      <c r="A24">
        <f>1</f>
        <v>1</v>
      </c>
      <c r="B24" s="14">
        <f t="shared" ref="B24:B40" si="0">EDATE($J$7,6*(A25-1))</f>
        <v>42840</v>
      </c>
      <c r="C24" s="15">
        <f>J5/180</f>
        <v>0.97222222222222221</v>
      </c>
      <c r="F24" s="6">
        <f t="shared" ref="F24:F39" si="1">$J$6</f>
        <v>275</v>
      </c>
      <c r="G24" s="19">
        <f>PV($G$18/2,$C24,0,-$F24)</f>
        <v>268.38311349699586</v>
      </c>
      <c r="I24" s="18">
        <f>G24/$G$22</f>
        <v>2.6060053899942377E-2</v>
      </c>
      <c r="J24" s="17">
        <f>C24*I24</f>
        <v>2.5336163513832867E-2</v>
      </c>
      <c r="K24" s="17">
        <f>J24*(1+$C24)</f>
        <v>4.9968544707837043E-2</v>
      </c>
    </row>
    <row r="25" spans="1:11" x14ac:dyDescent="0.2">
      <c r="A25">
        <f>A24+1</f>
        <v>2</v>
      </c>
      <c r="B25" s="14">
        <f t="shared" si="0"/>
        <v>43023</v>
      </c>
      <c r="C25" s="15">
        <f>IF($A25&gt;$J$9,"",1+$C24)</f>
        <v>1.9722222222222223</v>
      </c>
      <c r="F25" s="6">
        <f t="shared" si="1"/>
        <v>275</v>
      </c>
      <c r="G25" s="19">
        <f t="shared" ref="G25:G40" si="2">PV($G$18/2,$C25,0,-$F25)</f>
        <v>261.74323473372255</v>
      </c>
      <c r="I25" s="18">
        <f t="shared" ref="I25:I40" si="3">G25/$G$22</f>
        <v>2.5415320346458499E-2</v>
      </c>
      <c r="J25" s="17">
        <f t="shared" ref="J25:J40" si="4">C25*I25</f>
        <v>5.012465957218204E-2</v>
      </c>
      <c r="K25" s="17">
        <f t="shared" ref="K25:K40" si="5">J25*(1+$C25)</f>
        <v>0.14898162706176329</v>
      </c>
    </row>
    <row r="26" spans="1:11" x14ac:dyDescent="0.2">
      <c r="A26">
        <f t="shared" ref="A26:A48" si="6">A25+1</f>
        <v>3</v>
      </c>
      <c r="B26" s="14">
        <f t="shared" si="0"/>
        <v>43205</v>
      </c>
      <c r="C26" s="15">
        <f t="shared" ref="C26:C40" si="7">IF($A26&gt;$J$9,"",1+$C25)</f>
        <v>2.9722222222222223</v>
      </c>
      <c r="F26" s="6">
        <f t="shared" si="1"/>
        <v>275</v>
      </c>
      <c r="G26" s="19">
        <f t="shared" si="2"/>
        <v>255.26762856352153</v>
      </c>
      <c r="I26" s="18">
        <f t="shared" si="3"/>
        <v>2.4786537694556941E-2</v>
      </c>
      <c r="J26" s="17">
        <f t="shared" si="4"/>
        <v>7.3671098147710903E-2</v>
      </c>
      <c r="K26" s="17">
        <f t="shared" si="5"/>
        <v>0.29263797319785168</v>
      </c>
    </row>
    <row r="27" spans="1:11" x14ac:dyDescent="0.2">
      <c r="A27">
        <f t="shared" si="6"/>
        <v>4</v>
      </c>
      <c r="B27" s="14">
        <f t="shared" si="0"/>
        <v>43388</v>
      </c>
      <c r="C27" s="15">
        <f t="shared" si="7"/>
        <v>3.9722222222222223</v>
      </c>
      <c r="F27" s="6">
        <f t="shared" si="1"/>
        <v>275</v>
      </c>
      <c r="G27" s="19">
        <f t="shared" si="2"/>
        <v>248.9522308331459</v>
      </c>
      <c r="I27" s="18">
        <f t="shared" si="3"/>
        <v>2.417331131414607E-2</v>
      </c>
      <c r="J27" s="17">
        <f t="shared" si="4"/>
        <v>9.6021764386746894E-2</v>
      </c>
      <c r="K27" s="17">
        <f t="shared" si="5"/>
        <v>0.47744155070076927</v>
      </c>
    </row>
    <row r="28" spans="1:11" x14ac:dyDescent="0.2">
      <c r="A28">
        <f t="shared" si="6"/>
        <v>5</v>
      </c>
      <c r="B28" s="14">
        <f t="shared" si="0"/>
        <v>43570</v>
      </c>
      <c r="C28" s="15">
        <f t="shared" si="7"/>
        <v>4.9722222222222223</v>
      </c>
      <c r="F28" s="6">
        <f t="shared" si="1"/>
        <v>275</v>
      </c>
      <c r="G28" s="19">
        <f t="shared" si="2"/>
        <v>242.79307793771969</v>
      </c>
      <c r="I28" s="18">
        <f t="shared" si="3"/>
        <v>2.3575256338401147E-2</v>
      </c>
      <c r="J28" s="17">
        <f t="shared" si="4"/>
        <v>0.11722141346038348</v>
      </c>
      <c r="K28" s="17">
        <f t="shared" si="5"/>
        <v>0.70007233038840133</v>
      </c>
    </row>
    <row r="29" spans="1:11" x14ac:dyDescent="0.2">
      <c r="A29">
        <f t="shared" si="6"/>
        <v>6</v>
      </c>
      <c r="B29" s="14">
        <f t="shared" si="0"/>
        <v>43753</v>
      </c>
      <c r="C29" s="15">
        <f t="shared" si="7"/>
        <v>5.9722222222222223</v>
      </c>
      <c r="F29" s="6">
        <f t="shared" si="1"/>
        <v>275</v>
      </c>
      <c r="G29" s="19">
        <f t="shared" si="2"/>
        <v>236.78630433314089</v>
      </c>
      <c r="I29" s="18">
        <f t="shared" si="3"/>
        <v>2.2991997422218153E-2</v>
      </c>
      <c r="J29" s="17">
        <f t="shared" si="4"/>
        <v>0.1373133179382473</v>
      </c>
      <c r="K29" s="17">
        <f t="shared" si="5"/>
        <v>0.95737896673611311</v>
      </c>
    </row>
    <row r="30" spans="1:11" x14ac:dyDescent="0.2">
      <c r="A30">
        <f t="shared" si="6"/>
        <v>7</v>
      </c>
      <c r="B30" s="14">
        <f t="shared" si="0"/>
        <v>43936</v>
      </c>
      <c r="C30" s="15">
        <f t="shared" si="7"/>
        <v>6.9722222222222223</v>
      </c>
      <c r="F30" s="6">
        <f t="shared" si="1"/>
        <v>275</v>
      </c>
      <c r="G30" s="19">
        <f t="shared" si="2"/>
        <v>230.92814011002858</v>
      </c>
      <c r="I30" s="18">
        <f t="shared" si="3"/>
        <v>2.2423168506643592E-2</v>
      </c>
      <c r="J30" s="17">
        <f t="shared" si="4"/>
        <v>0.15633931375465393</v>
      </c>
      <c r="K30" s="17">
        <f t="shared" si="5"/>
        <v>1.2463717513218244</v>
      </c>
    </row>
    <row r="31" spans="1:11" x14ac:dyDescent="0.2">
      <c r="A31">
        <f t="shared" si="6"/>
        <v>8</v>
      </c>
      <c r="B31" s="14">
        <f t="shared" si="0"/>
        <v>44119</v>
      </c>
      <c r="C31" s="15">
        <f t="shared" si="7"/>
        <v>7.9722222222222223</v>
      </c>
      <c r="F31" s="6">
        <f t="shared" si="1"/>
        <v>275</v>
      </c>
      <c r="G31" s="19">
        <f t="shared" si="2"/>
        <v>225.21490862769107</v>
      </c>
      <c r="I31" s="18">
        <f t="shared" si="3"/>
        <v>2.1868412589132299E-2</v>
      </c>
      <c r="J31" s="17">
        <f t="shared" si="4"/>
        <v>0.17433984480780471</v>
      </c>
      <c r="K31" s="17">
        <f t="shared" si="5"/>
        <v>1.5642158298033588</v>
      </c>
    </row>
    <row r="32" spans="1:11" x14ac:dyDescent="0.2">
      <c r="A32">
        <f t="shared" si="6"/>
        <v>9</v>
      </c>
      <c r="B32" s="14">
        <f t="shared" si="0"/>
        <v>44301</v>
      </c>
      <c r="C32" s="15">
        <f t="shared" si="7"/>
        <v>8.9722222222222214</v>
      </c>
      <c r="F32" s="6">
        <f t="shared" si="1"/>
        <v>275</v>
      </c>
      <c r="G32" s="19">
        <f t="shared" si="2"/>
        <v>219.64302420663088</v>
      </c>
      <c r="I32" s="18">
        <f t="shared" si="3"/>
        <v>2.1327381499489234E-2</v>
      </c>
      <c r="J32" s="17">
        <f t="shared" si="4"/>
        <v>0.1913540062315284</v>
      </c>
      <c r="K32" s="17">
        <f t="shared" si="5"/>
        <v>1.908224673253297</v>
      </c>
    </row>
    <row r="33" spans="1:11" x14ac:dyDescent="0.2">
      <c r="A33">
        <f t="shared" si="6"/>
        <v>10</v>
      </c>
      <c r="B33" s="14">
        <f t="shared" si="0"/>
        <v>44484</v>
      </c>
      <c r="C33" s="15">
        <f t="shared" si="7"/>
        <v>9.9722222222222214</v>
      </c>
      <c r="F33" s="6">
        <f t="shared" si="1"/>
        <v>275</v>
      </c>
      <c r="G33" s="19">
        <f t="shared" si="2"/>
        <v>214.208989878137</v>
      </c>
      <c r="I33" s="18">
        <f t="shared" si="3"/>
        <v>2.0799735681354434E-2</v>
      </c>
      <c r="J33" s="17">
        <f t="shared" si="4"/>
        <v>0.20741958637795116</v>
      </c>
      <c r="K33" s="17">
        <f t="shared" si="5"/>
        <v>2.2758537949802973</v>
      </c>
    </row>
    <row r="34" spans="1:11" x14ac:dyDescent="0.2">
      <c r="A34">
        <f t="shared" si="6"/>
        <v>11</v>
      </c>
      <c r="B34" s="14">
        <f t="shared" si="0"/>
        <v>44666</v>
      </c>
      <c r="C34" s="15">
        <f t="shared" si="7"/>
        <v>10.972222222222221</v>
      </c>
      <c r="F34" s="6">
        <f t="shared" si="1"/>
        <v>275</v>
      </c>
      <c r="G34" s="19">
        <f t="shared" si="2"/>
        <v>208.90939518955395</v>
      </c>
      <c r="I34" s="18">
        <f t="shared" si="3"/>
        <v>2.0285143979094193E-2</v>
      </c>
      <c r="J34" s="17">
        <f t="shared" si="4"/>
        <v>0.2225731075483946</v>
      </c>
      <c r="K34" s="17">
        <f t="shared" si="5"/>
        <v>2.6646947042599463</v>
      </c>
    </row>
    <row r="35" spans="1:11" x14ac:dyDescent="0.2">
      <c r="A35">
        <f t="shared" si="6"/>
        <v>12</v>
      </c>
      <c r="B35" s="14">
        <f t="shared" si="0"/>
        <v>44849</v>
      </c>
      <c r="C35" s="15">
        <f t="shared" si="7"/>
        <v>11.972222222222221</v>
      </c>
      <c r="F35" s="6">
        <f t="shared" si="1"/>
        <v>275</v>
      </c>
      <c r="G35" s="19">
        <f t="shared" si="2"/>
        <v>203.74091406384809</v>
      </c>
      <c r="I35" s="18">
        <f t="shared" si="3"/>
        <v>1.9783283429964535E-2</v>
      </c>
      <c r="J35" s="17">
        <f t="shared" si="4"/>
        <v>0.23684986550874207</v>
      </c>
      <c r="K35" s="17">
        <f t="shared" si="5"/>
        <v>3.0724690886828485</v>
      </c>
    </row>
    <row r="36" spans="1:11" x14ac:dyDescent="0.2">
      <c r="A36">
        <f t="shared" si="6"/>
        <v>13</v>
      </c>
      <c r="B36" s="14">
        <f t="shared" si="0"/>
        <v>45031</v>
      </c>
      <c r="C36" s="15">
        <f t="shared" si="7"/>
        <v>12.972222222222221</v>
      </c>
      <c r="F36" s="6">
        <f t="shared" si="1"/>
        <v>275</v>
      </c>
      <c r="G36" s="19">
        <f t="shared" si="2"/>
        <v>198.70030271212985</v>
      </c>
      <c r="I36" s="18">
        <f t="shared" si="3"/>
        <v>1.9293839061416702E-2</v>
      </c>
      <c r="J36" s="17">
        <f t="shared" si="4"/>
        <v>0.25028396782448886</v>
      </c>
      <c r="K36" s="17">
        <f t="shared" si="5"/>
        <v>3.4970232171032749</v>
      </c>
    </row>
    <row r="37" spans="1:11" x14ac:dyDescent="0.2">
      <c r="A37">
        <f t="shared" si="6"/>
        <v>14</v>
      </c>
      <c r="B37" s="14">
        <f t="shared" si="0"/>
        <v>45214</v>
      </c>
      <c r="C37" s="15">
        <f t="shared" si="7"/>
        <v>13.972222222222221</v>
      </c>
      <c r="F37" s="6">
        <f t="shared" si="1"/>
        <v>275</v>
      </c>
      <c r="G37" s="19">
        <f t="shared" si="2"/>
        <v>193.78439759782012</v>
      </c>
      <c r="I37" s="18">
        <f t="shared" si="3"/>
        <v>1.8816503693417298E-2</v>
      </c>
      <c r="J37" s="17">
        <f t="shared" si="4"/>
        <v>0.26290837104969167</v>
      </c>
      <c r="K37" s="17">
        <f t="shared" si="5"/>
        <v>3.9363225554384389</v>
      </c>
    </row>
    <row r="38" spans="1:11" x14ac:dyDescent="0.2">
      <c r="A38">
        <f t="shared" si="6"/>
        <v>15</v>
      </c>
      <c r="B38" s="14">
        <f t="shared" si="0"/>
        <v>45397</v>
      </c>
      <c r="C38" s="15">
        <f t="shared" si="7"/>
        <v>14.972222222222221</v>
      </c>
      <c r="F38" s="6">
        <f t="shared" si="1"/>
        <v>275</v>
      </c>
      <c r="G38" s="19">
        <f t="shared" si="2"/>
        <v>188.99011345118404</v>
      </c>
      <c r="I38" s="18">
        <f t="shared" si="3"/>
        <v>1.8350977745659136E-2</v>
      </c>
      <c r="J38" s="17">
        <f t="shared" si="4"/>
        <v>0.27475491680306319</v>
      </c>
      <c r="K38" s="17">
        <f t="shared" si="5"/>
        <v>4.3884465878267038</v>
      </c>
    </row>
    <row r="39" spans="1:11" x14ac:dyDescent="0.2">
      <c r="A39">
        <f t="shared" si="6"/>
        <v>16</v>
      </c>
      <c r="B39" s="14">
        <f t="shared" si="0"/>
        <v>45580</v>
      </c>
      <c r="C39" s="15">
        <f t="shared" si="7"/>
        <v>15.972222222222221</v>
      </c>
      <c r="F39" s="6">
        <f t="shared" si="1"/>
        <v>275</v>
      </c>
      <c r="G39" s="19">
        <f t="shared" si="2"/>
        <v>184.31444133298584</v>
      </c>
      <c r="I39" s="18">
        <f t="shared" si="3"/>
        <v>1.7896969049541724E-2</v>
      </c>
      <c r="J39" s="17">
        <f t="shared" si="4"/>
        <v>0.28585436676351361</v>
      </c>
      <c r="K39" s="17">
        <f t="shared" si="5"/>
        <v>4.851583835902967</v>
      </c>
    </row>
    <row r="40" spans="1:11" x14ac:dyDescent="0.2">
      <c r="A40">
        <f t="shared" si="6"/>
        <v>17</v>
      </c>
      <c r="B40" s="14">
        <f t="shared" si="0"/>
        <v>45762</v>
      </c>
      <c r="C40" s="15">
        <f t="shared" si="7"/>
        <v>16.972222222222221</v>
      </c>
      <c r="F40" s="6">
        <f>$G$11+$J$6</f>
        <v>10275</v>
      </c>
      <c r="G40" s="19">
        <f t="shared" si="2"/>
        <v>6716.2797829660221</v>
      </c>
      <c r="I40" s="18">
        <f t="shared" si="3"/>
        <v>0.65215210774856369</v>
      </c>
      <c r="J40" s="17">
        <f t="shared" si="4"/>
        <v>11.068470495399234</v>
      </c>
      <c r="K40" s="17">
        <f t="shared" si="5"/>
        <v>198.92501140342512</v>
      </c>
    </row>
    <row r="41" spans="1:11" x14ac:dyDescent="0.2">
      <c r="A41">
        <f t="shared" si="6"/>
        <v>18</v>
      </c>
    </row>
    <row r="42" spans="1:11" x14ac:dyDescent="0.2">
      <c r="A42">
        <f t="shared" si="6"/>
        <v>19</v>
      </c>
      <c r="F42" s="20"/>
    </row>
    <row r="43" spans="1:11" x14ac:dyDescent="0.2">
      <c r="A43">
        <f t="shared" si="6"/>
        <v>20</v>
      </c>
      <c r="B43" s="16"/>
      <c r="F43" s="20"/>
    </row>
    <row r="44" spans="1:11" x14ac:dyDescent="0.2">
      <c r="A44">
        <f t="shared" si="6"/>
        <v>21</v>
      </c>
      <c r="F44" s="20"/>
    </row>
    <row r="45" spans="1:11" x14ac:dyDescent="0.2">
      <c r="A45">
        <f t="shared" si="6"/>
        <v>22</v>
      </c>
      <c r="F45" s="20"/>
    </row>
    <row r="46" spans="1:11" x14ac:dyDescent="0.2">
      <c r="A46">
        <f t="shared" si="6"/>
        <v>23</v>
      </c>
      <c r="F46" s="20"/>
    </row>
    <row r="47" spans="1:11" x14ac:dyDescent="0.2">
      <c r="A47">
        <f t="shared" si="6"/>
        <v>24</v>
      </c>
      <c r="F47" s="20"/>
    </row>
    <row r="48" spans="1:11" x14ac:dyDescent="0.2">
      <c r="A48">
        <f t="shared" si="6"/>
        <v>25</v>
      </c>
      <c r="F48" s="20"/>
    </row>
    <row r="49" spans="6:6" x14ac:dyDescent="0.2">
      <c r="F49" s="20"/>
    </row>
    <row r="50" spans="6:6" x14ac:dyDescent="0.2">
      <c r="F50" s="20"/>
    </row>
    <row r="51" spans="6:6" x14ac:dyDescent="0.2">
      <c r="F51" s="20"/>
    </row>
    <row r="52" spans="6:6" x14ac:dyDescent="0.2">
      <c r="F52" s="20"/>
    </row>
    <row r="53" spans="6:6" x14ac:dyDescent="0.2">
      <c r="F53" s="20"/>
    </row>
    <row r="54" spans="6:6" x14ac:dyDescent="0.2">
      <c r="F54" s="20"/>
    </row>
    <row r="55" spans="6:6" x14ac:dyDescent="0.2">
      <c r="F55" s="20"/>
    </row>
    <row r="56" spans="6:6" x14ac:dyDescent="0.2">
      <c r="F56" s="20"/>
    </row>
    <row r="57" spans="6:6" x14ac:dyDescent="0.2">
      <c r="F57" s="20"/>
    </row>
    <row r="58" spans="6:6" x14ac:dyDescent="0.2">
      <c r="F58" s="20"/>
    </row>
  </sheetData>
  <dataValidations count="2">
    <dataValidation type="list" allowBlank="1" showInputMessage="1" showErrorMessage="1" sqref="C10">
      <formula1>$B$14:$B$16</formula1>
    </dataValidation>
    <dataValidation type="list" allowBlank="1" showInputMessage="1" showErrorMessage="1" sqref="C11">
      <formula1>$B$17:$B$18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31"/>
  <sheetViews>
    <sheetView topLeftCell="A2" zoomScale="119" workbookViewId="0">
      <selection activeCell="G18" sqref="G18"/>
    </sheetView>
  </sheetViews>
  <sheetFormatPr baseColWidth="10" defaultRowHeight="16" x14ac:dyDescent="0.2"/>
  <cols>
    <col min="2" max="2" width="17" bestFit="1" customWidth="1"/>
    <col min="3" max="3" width="12.33203125" bestFit="1" customWidth="1"/>
    <col min="7" max="7" width="28.1640625" customWidth="1"/>
    <col min="9" max="9" width="21.6640625" customWidth="1"/>
    <col min="10" max="10" width="29.33203125" customWidth="1"/>
  </cols>
  <sheetData>
    <row r="1" spans="1:11" ht="17" thickBo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7" thickBot="1" x14ac:dyDescent="0.25">
      <c r="A2" s="32"/>
    </row>
    <row r="3" spans="1:11" ht="17" thickBot="1" x14ac:dyDescent="0.25">
      <c r="A3" s="32"/>
      <c r="B3" s="2" t="s">
        <v>1</v>
      </c>
      <c r="C3" s="2"/>
      <c r="F3" s="2" t="s">
        <v>7</v>
      </c>
      <c r="G3" s="2"/>
      <c r="I3" s="2" t="s">
        <v>16</v>
      </c>
      <c r="J3" s="2"/>
      <c r="K3" s="2"/>
    </row>
    <row r="4" spans="1:11" x14ac:dyDescent="0.2">
      <c r="A4" s="32"/>
      <c r="B4" t="s">
        <v>2</v>
      </c>
      <c r="C4" s="26" t="s">
        <v>4</v>
      </c>
      <c r="F4" t="s">
        <v>8</v>
      </c>
      <c r="G4" s="28">
        <f>YTM!G4</f>
        <v>42660</v>
      </c>
      <c r="I4" t="s">
        <v>17</v>
      </c>
      <c r="J4">
        <f>COUPDAYBS(G5,C9,D12,D11)</f>
        <v>5</v>
      </c>
      <c r="K4" t="s">
        <v>40</v>
      </c>
    </row>
    <row r="5" spans="1:11" x14ac:dyDescent="0.2">
      <c r="A5" s="32"/>
      <c r="B5" t="s">
        <v>43</v>
      </c>
      <c r="C5" s="26" t="s">
        <v>5</v>
      </c>
      <c r="F5" t="s">
        <v>9</v>
      </c>
      <c r="G5" s="28">
        <f>YTM!G5</f>
        <v>42663</v>
      </c>
      <c r="I5" t="s">
        <v>18</v>
      </c>
      <c r="J5">
        <f>COUPDAYSNC(G5,C9,D12,D11)</f>
        <v>175</v>
      </c>
      <c r="K5" t="s">
        <v>40</v>
      </c>
    </row>
    <row r="6" spans="1:11" x14ac:dyDescent="0.2">
      <c r="A6" s="32"/>
      <c r="B6" t="s">
        <v>44</v>
      </c>
      <c r="C6" s="26" t="s">
        <v>6</v>
      </c>
      <c r="F6" t="s">
        <v>10</v>
      </c>
      <c r="G6" s="29">
        <f>YTM!G6</f>
        <v>102.91</v>
      </c>
      <c r="I6" t="s">
        <v>3</v>
      </c>
      <c r="J6" s="6">
        <f>G11*C7/D12</f>
        <v>275</v>
      </c>
    </row>
    <row r="7" spans="1:11" x14ac:dyDescent="0.2">
      <c r="A7" s="32"/>
      <c r="B7" t="s">
        <v>45</v>
      </c>
      <c r="C7" s="27">
        <v>5.5E-2</v>
      </c>
      <c r="G7" s="5"/>
      <c r="I7" t="s">
        <v>26</v>
      </c>
      <c r="J7" s="10">
        <f>COUPPCD(G5,C8,D12,D11)</f>
        <v>42658</v>
      </c>
    </row>
    <row r="8" spans="1:11" x14ac:dyDescent="0.2">
      <c r="A8" s="32"/>
      <c r="B8" t="s">
        <v>46</v>
      </c>
      <c r="C8" s="31">
        <v>45762</v>
      </c>
      <c r="I8" t="s">
        <v>19</v>
      </c>
      <c r="J8" s="10">
        <f>COUPNCD(G5,C8,D12,D11)</f>
        <v>42840</v>
      </c>
    </row>
    <row r="9" spans="1:11" ht="17" thickBot="1" x14ac:dyDescent="0.25">
      <c r="A9" s="32"/>
      <c r="B9" t="s">
        <v>49</v>
      </c>
      <c r="C9" s="34">
        <v>43936</v>
      </c>
      <c r="I9" t="s">
        <v>20</v>
      </c>
      <c r="J9">
        <f>COUPNUM(G5,C9,D12,D11)</f>
        <v>7</v>
      </c>
    </row>
    <row r="10" spans="1:11" ht="17" thickBot="1" x14ac:dyDescent="0.25">
      <c r="A10" s="32"/>
      <c r="B10" t="s">
        <v>50</v>
      </c>
      <c r="C10" s="3">
        <v>102.75</v>
      </c>
      <c r="F10" s="2" t="s">
        <v>11</v>
      </c>
    </row>
    <row r="11" spans="1:11" x14ac:dyDescent="0.2">
      <c r="A11" s="32"/>
      <c r="B11" t="s">
        <v>47</v>
      </c>
      <c r="C11" t="s">
        <v>27</v>
      </c>
      <c r="D11">
        <f>VLOOKUP(C11,B14:C16,2,0)</f>
        <v>0</v>
      </c>
      <c r="F11" t="s">
        <v>12</v>
      </c>
      <c r="G11" s="30">
        <v>10000</v>
      </c>
    </row>
    <row r="12" spans="1:11" ht="17" thickBot="1" x14ac:dyDescent="0.25">
      <c r="A12" s="32"/>
      <c r="B12" t="s">
        <v>48</v>
      </c>
      <c r="C12" t="s">
        <v>28</v>
      </c>
      <c r="D12">
        <f>VLOOKUP(C12,B17:C18,2,0)</f>
        <v>2</v>
      </c>
      <c r="F12" t="s">
        <v>13</v>
      </c>
      <c r="G12" s="13">
        <f>G11*G6/100</f>
        <v>10291</v>
      </c>
      <c r="I12" t="s">
        <v>21</v>
      </c>
      <c r="J12" s="22">
        <f>J22/D12</f>
        <v>3.2242455480309564</v>
      </c>
      <c r="K12" t="s">
        <v>41</v>
      </c>
    </row>
    <row r="13" spans="1:11" ht="17" thickBot="1" x14ac:dyDescent="0.25">
      <c r="A13" s="32"/>
      <c r="B13" s="2" t="s">
        <v>29</v>
      </c>
      <c r="F13" t="s">
        <v>14</v>
      </c>
      <c r="G13" s="13">
        <f>J6*(J4/(J4+J5))</f>
        <v>7.6388888888888884</v>
      </c>
      <c r="I13" t="s">
        <v>22</v>
      </c>
      <c r="J13">
        <f>DURATION(G5,C9,C7,G18,D12)</f>
        <v>3.2182867067730081</v>
      </c>
      <c r="K13" t="s">
        <v>41</v>
      </c>
    </row>
    <row r="14" spans="1:11" x14ac:dyDescent="0.2">
      <c r="A14" s="32"/>
      <c r="B14" t="s">
        <v>30</v>
      </c>
      <c r="C14">
        <v>1</v>
      </c>
      <c r="F14" t="s">
        <v>15</v>
      </c>
      <c r="G14" s="13">
        <f>G12+G13</f>
        <v>10298.638888888889</v>
      </c>
      <c r="I14" t="s">
        <v>23</v>
      </c>
      <c r="J14">
        <f>J12/(1+G18/2)</f>
        <v>3.1409631738607646</v>
      </c>
    </row>
    <row r="15" spans="1:11" x14ac:dyDescent="0.2">
      <c r="A15" s="32"/>
      <c r="B15" t="s">
        <v>27</v>
      </c>
      <c r="C15">
        <v>0</v>
      </c>
    </row>
    <row r="16" spans="1:11" x14ac:dyDescent="0.2">
      <c r="A16" s="32"/>
      <c r="B16" t="s">
        <v>31</v>
      </c>
      <c r="C16">
        <v>4</v>
      </c>
      <c r="I16" t="s">
        <v>24</v>
      </c>
      <c r="J16">
        <f>K22/D12^2</f>
        <v>12.5142106318425</v>
      </c>
      <c r="K16" t="s">
        <v>42</v>
      </c>
    </row>
    <row r="17" spans="1:11" ht="17" thickBot="1" x14ac:dyDescent="0.25">
      <c r="A17" s="32"/>
      <c r="B17" t="s">
        <v>32</v>
      </c>
      <c r="C17">
        <v>1</v>
      </c>
      <c r="F17" s="9"/>
      <c r="I17" t="s">
        <v>25</v>
      </c>
      <c r="J17">
        <f>J16/(1+G18/2)^2</f>
        <v>11.876075008613357</v>
      </c>
    </row>
    <row r="18" spans="1:11" ht="17" thickBot="1" x14ac:dyDescent="0.25">
      <c r="A18" s="32"/>
      <c r="B18" t="s">
        <v>28</v>
      </c>
      <c r="C18">
        <v>2</v>
      </c>
      <c r="F18" s="2" t="s">
        <v>51</v>
      </c>
      <c r="G18" s="24">
        <v>5.3029831653723894E-2</v>
      </c>
    </row>
    <row r="19" spans="1:11" x14ac:dyDescent="0.2">
      <c r="A19" s="32"/>
    </row>
    <row r="20" spans="1:11" ht="17" thickBot="1" x14ac:dyDescent="0.25">
      <c r="A20" s="32"/>
    </row>
    <row r="21" spans="1:11" ht="17" thickBot="1" x14ac:dyDescent="0.25">
      <c r="A21" s="2"/>
      <c r="B21" s="2"/>
      <c r="C21" s="2"/>
      <c r="D21" s="2"/>
      <c r="E21" s="2"/>
      <c r="F21" s="2" t="s">
        <v>38</v>
      </c>
      <c r="G21" s="2" t="s">
        <v>39</v>
      </c>
      <c r="H21" s="2"/>
      <c r="I21" s="2"/>
      <c r="J21" s="2"/>
      <c r="K21" s="2"/>
    </row>
    <row r="22" spans="1:11" ht="17" thickBot="1" x14ac:dyDescent="0.25">
      <c r="A22" s="32"/>
      <c r="G22" s="6">
        <f>SUM(G24:G30)</f>
        <v>10298.640000038864</v>
      </c>
      <c r="I22">
        <f>SUM(I24:I30)</f>
        <v>1</v>
      </c>
      <c r="J22">
        <f>SUM(J24:J30)</f>
        <v>6.4484910960619128</v>
      </c>
      <c r="K22">
        <f>SUM(K24:K30)</f>
        <v>50.056842527370002</v>
      </c>
    </row>
    <row r="23" spans="1:11" ht="17" thickBot="1" x14ac:dyDescent="0.25">
      <c r="A23" s="2"/>
      <c r="B23" s="2" t="s">
        <v>33</v>
      </c>
      <c r="C23" s="2" t="s">
        <v>34</v>
      </c>
      <c r="D23" s="2"/>
      <c r="E23" s="2"/>
      <c r="F23" s="2" t="s">
        <v>3</v>
      </c>
      <c r="G23" s="2" t="s">
        <v>35</v>
      </c>
      <c r="H23" s="2"/>
      <c r="I23" s="2" t="s">
        <v>36</v>
      </c>
      <c r="J23" s="2" t="s">
        <v>37</v>
      </c>
      <c r="K23" s="2" t="s">
        <v>24</v>
      </c>
    </row>
    <row r="24" spans="1:11" x14ac:dyDescent="0.2">
      <c r="A24" s="32">
        <v>1</v>
      </c>
      <c r="B24" s="14">
        <f>EDATE($J$7,6*(A24-1))</f>
        <v>42658</v>
      </c>
      <c r="C24" s="15">
        <f>J5/180</f>
        <v>0.97222222222222221</v>
      </c>
      <c r="F24" s="6">
        <f t="shared" ref="F24:F29" si="0">$J$6</f>
        <v>275</v>
      </c>
      <c r="G24" s="6">
        <f>PV($G$18/2,C24,0,-F24)</f>
        <v>268.09155351322858</v>
      </c>
      <c r="I24">
        <f t="shared" ref="I24:I30" si="1">G24/$G$22</f>
        <v>2.6031743367300623E-2</v>
      </c>
      <c r="J24" s="21">
        <f t="shared" ref="J24:J30" si="2">I24*C24</f>
        <v>2.5308639384875604E-2</v>
      </c>
      <c r="K24" s="21">
        <f>J24*(1+C24)</f>
        <v>4.9914261009060219E-2</v>
      </c>
    </row>
    <row r="25" spans="1:11" x14ac:dyDescent="0.2">
      <c r="A25" s="32">
        <f>A24+1</f>
        <v>2</v>
      </c>
      <c r="B25" s="14">
        <f t="shared" ref="B25:B30" si="3">EDATE($J$7,6*(A25-1))</f>
        <v>42840</v>
      </c>
      <c r="C25" s="15">
        <f t="shared" ref="C25:C30" si="4">IF(A25&gt;$J$9,"", 1+C24)</f>
        <v>1.9722222222222223</v>
      </c>
      <c r="F25" s="6">
        <f t="shared" si="0"/>
        <v>275</v>
      </c>
      <c r="G25" s="6">
        <f t="shared" ref="G25:G30" si="5">PV($G$18/2,C25,0,-F25)</f>
        <v>261.16673940122894</v>
      </c>
      <c r="I25" s="33">
        <f t="shared" si="1"/>
        <v>2.5359342534571883E-2</v>
      </c>
      <c r="J25" s="21">
        <f t="shared" si="2"/>
        <v>5.0014258887627887E-2</v>
      </c>
      <c r="K25" s="21">
        <f t="shared" ref="K25:K30" si="6">J25*(1+C25)</f>
        <v>0.14865349169378289</v>
      </c>
    </row>
    <row r="26" spans="1:11" x14ac:dyDescent="0.2">
      <c r="A26" s="32">
        <f t="shared" ref="A26:A31" si="7">A25+1</f>
        <v>3</v>
      </c>
      <c r="B26" s="14">
        <f t="shared" si="3"/>
        <v>43023</v>
      </c>
      <c r="C26" s="15">
        <f t="shared" si="4"/>
        <v>2.9722222222222223</v>
      </c>
      <c r="F26" s="6">
        <f t="shared" si="0"/>
        <v>275</v>
      </c>
      <c r="G26" s="6">
        <f t="shared" si="5"/>
        <v>254.42079347756783</v>
      </c>
      <c r="I26" s="33">
        <f t="shared" si="1"/>
        <v>2.4704309838639638E-2</v>
      </c>
      <c r="J26" s="21">
        <f t="shared" si="2"/>
        <v>7.3426698687067818E-2</v>
      </c>
      <c r="K26" s="21">
        <f t="shared" si="6"/>
        <v>0.29166716422918604</v>
      </c>
    </row>
    <row r="27" spans="1:11" x14ac:dyDescent="0.2">
      <c r="A27" s="32">
        <f t="shared" si="7"/>
        <v>4</v>
      </c>
      <c r="B27" s="14">
        <f t="shared" si="3"/>
        <v>43205</v>
      </c>
      <c r="C27" s="15">
        <f t="shared" si="4"/>
        <v>3.9722222222222223</v>
      </c>
      <c r="F27" s="6">
        <f t="shared" si="0"/>
        <v>275</v>
      </c>
      <c r="G27" s="6">
        <f t="shared" si="5"/>
        <v>247.84909557074559</v>
      </c>
      <c r="I27" s="33">
        <f t="shared" si="1"/>
        <v>2.4066196659928912E-2</v>
      </c>
      <c r="J27" s="21">
        <f t="shared" si="2"/>
        <v>9.5596281176939843E-2</v>
      </c>
      <c r="K27" s="21">
        <f t="shared" si="6"/>
        <v>0.47532595362978425</v>
      </c>
    </row>
    <row r="28" spans="1:11" x14ac:dyDescent="0.2">
      <c r="A28" s="32">
        <f t="shared" si="7"/>
        <v>5</v>
      </c>
      <c r="B28" s="14">
        <f t="shared" si="3"/>
        <v>43388</v>
      </c>
      <c r="C28" s="15">
        <f t="shared" si="4"/>
        <v>4.9722222222222223</v>
      </c>
      <c r="F28" s="6">
        <f t="shared" si="0"/>
        <v>275</v>
      </c>
      <c r="G28" s="6">
        <f t="shared" si="5"/>
        <v>241.44714484845269</v>
      </c>
      <c r="I28" s="33">
        <f t="shared" si="1"/>
        <v>2.3444565966723913E-2</v>
      </c>
      <c r="J28" s="21">
        <f t="shared" si="2"/>
        <v>0.11657159189009945</v>
      </c>
      <c r="K28" s="21">
        <f t="shared" si="6"/>
        <v>0.6961914515658717</v>
      </c>
    </row>
    <row r="29" spans="1:11" x14ac:dyDescent="0.2">
      <c r="A29" s="32">
        <f t="shared" si="7"/>
        <v>6</v>
      </c>
      <c r="B29" s="14">
        <f t="shared" si="3"/>
        <v>43570</v>
      </c>
      <c r="C29" s="15">
        <f t="shared" si="4"/>
        <v>5.9722222222222223</v>
      </c>
      <c r="F29" s="6">
        <f t="shared" si="0"/>
        <v>275</v>
      </c>
      <c r="G29" s="6">
        <f t="shared" si="5"/>
        <v>235.21055673503392</v>
      </c>
      <c r="I29" s="33">
        <f t="shared" si="1"/>
        <v>2.2838992015853189E-2</v>
      </c>
      <c r="J29" s="21">
        <f t="shared" si="2"/>
        <v>0.13639953565023433</v>
      </c>
      <c r="K29" s="21">
        <f t="shared" si="6"/>
        <v>0.95100787356135597</v>
      </c>
    </row>
    <row r="30" spans="1:11" x14ac:dyDescent="0.2">
      <c r="A30" s="32">
        <f t="shared" si="7"/>
        <v>7</v>
      </c>
      <c r="B30" s="14">
        <f t="shared" si="3"/>
        <v>43753</v>
      </c>
      <c r="C30" s="15">
        <f t="shared" si="4"/>
        <v>6.9722222222222223</v>
      </c>
      <c r="F30" s="6">
        <f>G11*C10/100 +J6</f>
        <v>10550</v>
      </c>
      <c r="G30" s="6">
        <f t="shared" si="5"/>
        <v>8790.4541164926068</v>
      </c>
      <c r="I30" s="33">
        <f t="shared" si="1"/>
        <v>0.85355484961698191</v>
      </c>
      <c r="J30" s="21">
        <f t="shared" si="2"/>
        <v>5.9511740903850683</v>
      </c>
      <c r="K30" s="21">
        <f t="shared" si="6"/>
        <v>47.44408233168096</v>
      </c>
    </row>
    <row r="31" spans="1:11" x14ac:dyDescent="0.2">
      <c r="A31" s="32">
        <f t="shared" si="7"/>
        <v>8</v>
      </c>
    </row>
  </sheetData>
  <dataValidations count="2">
    <dataValidation type="list" allowBlank="1" showInputMessage="1" showErrorMessage="1" sqref="C12">
      <formula1>$B$17:$B$18</formula1>
    </dataValidation>
    <dataValidation type="list" allowBlank="1" showInputMessage="1" showErrorMessage="1" sqref="C11">
      <formula1>$B$14:$B$16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1"/>
  <sheetViews>
    <sheetView topLeftCell="B3" zoomScale="149" zoomScaleNormal="149" zoomScalePageLayoutView="149" workbookViewId="0">
      <selection activeCell="J6" sqref="J6"/>
    </sheetView>
  </sheetViews>
  <sheetFormatPr baseColWidth="10" defaultRowHeight="16" x14ac:dyDescent="0.2"/>
  <cols>
    <col min="3" max="3" width="16.33203125" customWidth="1"/>
    <col min="6" max="6" width="24.1640625" customWidth="1"/>
    <col min="8" max="8" width="12.33203125" bestFit="1" customWidth="1"/>
  </cols>
  <sheetData>
    <row r="1" spans="1:11" ht="17" thickBot="1" x14ac:dyDescent="0.25">
      <c r="A1" s="2" t="s">
        <v>52</v>
      </c>
      <c r="B1" s="2"/>
      <c r="C1" s="2"/>
      <c r="D1" s="2"/>
      <c r="E1" s="2"/>
      <c r="F1" s="2"/>
      <c r="G1" s="2"/>
      <c r="H1" s="2"/>
      <c r="I1" s="2"/>
    </row>
    <row r="2" spans="1:11" ht="17" thickBot="1" x14ac:dyDescent="0.25"/>
    <row r="3" spans="1:11" ht="17" thickBot="1" x14ac:dyDescent="0.25">
      <c r="A3" s="2"/>
      <c r="B3" s="2" t="s">
        <v>1</v>
      </c>
      <c r="C3" s="2"/>
      <c r="D3" s="2"/>
      <c r="E3" s="2" t="s">
        <v>7</v>
      </c>
      <c r="F3" s="2"/>
      <c r="G3" s="2"/>
      <c r="H3" s="2" t="s">
        <v>52</v>
      </c>
      <c r="I3" s="2"/>
    </row>
    <row r="5" spans="1:11" x14ac:dyDescent="0.2">
      <c r="B5" s="33" t="s">
        <v>2</v>
      </c>
      <c r="C5" s="26" t="s">
        <v>4</v>
      </c>
      <c r="E5" s="33" t="s">
        <v>8</v>
      </c>
      <c r="F5" s="28">
        <f>YTM!G4</f>
        <v>42660</v>
      </c>
      <c r="H5" t="s">
        <v>53</v>
      </c>
      <c r="I5" t="s">
        <v>50</v>
      </c>
      <c r="J5" t="s">
        <v>54</v>
      </c>
      <c r="K5" t="s">
        <v>55</v>
      </c>
    </row>
    <row r="6" spans="1:11" x14ac:dyDescent="0.2">
      <c r="B6" s="33" t="s">
        <v>43</v>
      </c>
      <c r="C6" s="26" t="s">
        <v>5</v>
      </c>
      <c r="E6" s="33" t="s">
        <v>9</v>
      </c>
      <c r="F6" s="28">
        <f>YTM!G5</f>
        <v>42663</v>
      </c>
      <c r="H6" s="35">
        <v>43936</v>
      </c>
      <c r="I6" s="29">
        <v>102.75</v>
      </c>
      <c r="J6">
        <f>YIELD($F$6,H6,$C$8,$F$7,I6,2)</f>
        <v>5.3029866003980408E-2</v>
      </c>
      <c r="K6" t="str">
        <f t="shared" ref="K6:K11" si="0">IF(MIN($J$6:$J$11)=J6,"Yield to Worst","")</f>
        <v/>
      </c>
    </row>
    <row r="7" spans="1:11" x14ac:dyDescent="0.2">
      <c r="B7" s="33" t="s">
        <v>44</v>
      </c>
      <c r="C7" s="26" t="s">
        <v>6</v>
      </c>
      <c r="E7" s="33" t="s">
        <v>10</v>
      </c>
      <c r="F7" s="29">
        <f>YTM!G6</f>
        <v>102.91</v>
      </c>
      <c r="H7" s="34">
        <v>44301</v>
      </c>
      <c r="I7" s="5">
        <v>101.833</v>
      </c>
      <c r="J7" s="33">
        <f t="shared" ref="J7:J11" si="1">YIELD($F$6,H7,$C$8,$F$7,I7,2)</f>
        <v>5.1338253149724296E-2</v>
      </c>
      <c r="K7" s="33" t="str">
        <f t="shared" si="0"/>
        <v/>
      </c>
    </row>
    <row r="8" spans="1:11" x14ac:dyDescent="0.2">
      <c r="B8" s="33" t="s">
        <v>45</v>
      </c>
      <c r="C8" s="27">
        <v>5.5E-2</v>
      </c>
      <c r="H8" s="34">
        <v>44666</v>
      </c>
      <c r="I8" s="5">
        <v>100.917</v>
      </c>
      <c r="J8" s="33">
        <f t="shared" si="1"/>
        <v>5.033381948597708E-2</v>
      </c>
      <c r="K8" s="33" t="str">
        <f t="shared" si="0"/>
        <v/>
      </c>
    </row>
    <row r="9" spans="1:11" x14ac:dyDescent="0.2">
      <c r="B9" s="33" t="s">
        <v>46</v>
      </c>
      <c r="C9" s="31">
        <v>45762</v>
      </c>
      <c r="H9" s="34">
        <v>45031</v>
      </c>
      <c r="I9" s="5">
        <v>100</v>
      </c>
      <c r="J9" s="33">
        <f t="shared" si="1"/>
        <v>4.9694958608019341E-2</v>
      </c>
      <c r="K9" s="33" t="str">
        <f t="shared" si="0"/>
        <v>Yield to Worst</v>
      </c>
    </row>
    <row r="10" spans="1:11" x14ac:dyDescent="0.2">
      <c r="B10" s="33" t="s">
        <v>49</v>
      </c>
      <c r="C10" s="31">
        <v>43936</v>
      </c>
      <c r="H10" s="34">
        <v>45397</v>
      </c>
      <c r="I10" s="5">
        <v>100</v>
      </c>
      <c r="J10" s="33">
        <f t="shared" si="1"/>
        <v>5.0285757681320299E-2</v>
      </c>
      <c r="K10" s="33" t="str">
        <f t="shared" si="0"/>
        <v/>
      </c>
    </row>
    <row r="11" spans="1:11" x14ac:dyDescent="0.2">
      <c r="B11" s="33" t="s">
        <v>50</v>
      </c>
      <c r="C11" s="26">
        <v>102.75</v>
      </c>
      <c r="H11" s="34">
        <v>45762</v>
      </c>
      <c r="I11" s="5">
        <v>100</v>
      </c>
      <c r="J11" s="33">
        <f t="shared" si="1"/>
        <v>5.0735835550040818E-2</v>
      </c>
      <c r="K11" s="33" t="str">
        <f t="shared" si="0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O41"/>
  <sheetViews>
    <sheetView workbookViewId="0">
      <selection activeCell="B5" sqref="B5"/>
    </sheetView>
  </sheetViews>
  <sheetFormatPr baseColWidth="10" defaultRowHeight="16" x14ac:dyDescent="0.2"/>
  <cols>
    <col min="2" max="2" width="11.33203125" bestFit="1" customWidth="1"/>
  </cols>
  <sheetData>
    <row r="1" spans="1:15" ht="17" thickBot="1" x14ac:dyDescent="0.25">
      <c r="A1" s="2" t="s">
        <v>56</v>
      </c>
      <c r="B1" s="2"/>
      <c r="C1" s="2"/>
    </row>
    <row r="2" spans="1:15" ht="17" thickBot="1" x14ac:dyDescent="0.25"/>
    <row r="3" spans="1:15" ht="17" thickBot="1" x14ac:dyDescent="0.25">
      <c r="A3" s="2" t="s">
        <v>57</v>
      </c>
      <c r="B3" s="2" t="s">
        <v>39</v>
      </c>
      <c r="C3" s="2"/>
      <c r="H3" s="1" t="s">
        <v>61</v>
      </c>
      <c r="I3" s="1"/>
      <c r="J3" s="1"/>
      <c r="K3" s="1"/>
      <c r="L3" s="1"/>
      <c r="M3" s="1"/>
      <c r="N3" s="1"/>
      <c r="O3" s="1"/>
    </row>
    <row r="4" spans="1:15" x14ac:dyDescent="0.2">
      <c r="A4" t="s">
        <v>58</v>
      </c>
      <c r="B4" s="29">
        <v>103.6</v>
      </c>
    </row>
    <row r="5" spans="1:15" x14ac:dyDescent="0.2">
      <c r="A5" t="s">
        <v>59</v>
      </c>
      <c r="B5" s="27">
        <f>YTM!G18</f>
        <v>5.0735819552533937E-2</v>
      </c>
    </row>
    <row r="6" spans="1:15" x14ac:dyDescent="0.2">
      <c r="N6" s="8"/>
    </row>
    <row r="7" spans="1:15" x14ac:dyDescent="0.2">
      <c r="A7" t="s">
        <v>60</v>
      </c>
      <c r="B7" s="26">
        <f>YTM!J14</f>
        <v>6.7443286098674706</v>
      </c>
      <c r="N7" s="8"/>
    </row>
    <row r="8" spans="1:15" ht="17" thickBot="1" x14ac:dyDescent="0.25">
      <c r="N8" s="38"/>
    </row>
    <row r="9" spans="1:15" ht="17" thickBot="1" x14ac:dyDescent="0.25">
      <c r="A9" s="2" t="s">
        <v>57</v>
      </c>
      <c r="B9" s="2" t="s">
        <v>39</v>
      </c>
      <c r="C9" s="2" t="s">
        <v>37</v>
      </c>
      <c r="N9" s="38"/>
    </row>
    <row r="10" spans="1:15" x14ac:dyDescent="0.2">
      <c r="A10" s="36">
        <v>0</v>
      </c>
      <c r="B10" s="6">
        <f>PRICE(YTM!$G$5,YTM!$C$8,YTM!$C$7,A10,100,YTM!$D$11,YTM!$D$10)</f>
        <v>146.67361111111111</v>
      </c>
    </row>
    <row r="11" spans="1:15" x14ac:dyDescent="0.2">
      <c r="A11" s="37">
        <f>A10+0.005</f>
        <v>5.0000000000000001E-3</v>
      </c>
      <c r="B11" s="6">
        <f>PRICE(YTM!$G$5,YTM!$C$8,YTM!$C$7,A11,100,YTM!$D$11,YTM!$D$10)</f>
        <v>141.49213298579969</v>
      </c>
    </row>
    <row r="12" spans="1:15" x14ac:dyDescent="0.2">
      <c r="A12" s="37">
        <f>A11+0.005</f>
        <v>0.01</v>
      </c>
      <c r="B12" s="6">
        <f>PRICE(YTM!$G$5,YTM!$C$8,YTM!$C$7,A12,100,YTM!$D$11,YTM!$D$10)</f>
        <v>136.5244565599146</v>
      </c>
    </row>
    <row r="13" spans="1:15" x14ac:dyDescent="0.2">
      <c r="A13" s="37">
        <f t="shared" ref="A13:A41" si="0">A12+0.005</f>
        <v>1.4999999999999999E-2</v>
      </c>
      <c r="B13" s="6">
        <f>PRICE(YTM!$G$5,YTM!$C$8,YTM!$C$7,A13,100,YTM!$D$11,YTM!$D$10)</f>
        <v>131.7610217593203</v>
      </c>
    </row>
    <row r="14" spans="1:15" x14ac:dyDescent="0.2">
      <c r="A14" s="37">
        <f t="shared" si="0"/>
        <v>0.02</v>
      </c>
      <c r="B14" s="6">
        <f>PRICE(YTM!$G$5,YTM!$C$8,YTM!$C$7,A14,100,YTM!$D$11,YTM!$D$10)</f>
        <v>127.19272290491563</v>
      </c>
    </row>
    <row r="15" spans="1:15" x14ac:dyDescent="0.2">
      <c r="A15" s="37">
        <f t="shared" si="0"/>
        <v>2.5000000000000001E-2</v>
      </c>
      <c r="B15" s="6">
        <f>PRICE(YTM!$G$5,YTM!$C$8,YTM!$C$7,A15,100,YTM!$D$11,YTM!$D$10)</f>
        <v>122.81088594612004</v>
      </c>
    </row>
    <row r="16" spans="1:15" x14ac:dyDescent="0.2">
      <c r="A16" s="37">
        <f t="shared" si="0"/>
        <v>3.0000000000000002E-2</v>
      </c>
      <c r="B16" s="6">
        <f>PRICE(YTM!$G$5,YTM!$C$8,YTM!$C$7,A16,100,YTM!$D$11,YTM!$D$10)</f>
        <v>118.60724689091407</v>
      </c>
    </row>
    <row r="17" spans="1:2" x14ac:dyDescent="0.2">
      <c r="A17" s="37">
        <f t="shared" si="0"/>
        <v>3.5000000000000003E-2</v>
      </c>
      <c r="B17" s="6">
        <f>PRICE(YTM!$G$5,YTM!$C$8,YTM!$C$7,A17,100,YTM!$D$11,YTM!$D$10)</f>
        <v>114.57393136668298</v>
      </c>
    </row>
    <row r="18" spans="1:2" x14ac:dyDescent="0.2">
      <c r="A18" s="37">
        <f t="shared" si="0"/>
        <v>0.04</v>
      </c>
      <c r="B18" s="6">
        <f>PRICE(YTM!$G$5,YTM!$C$8,YTM!$C$7,A18,100,YTM!$D$11,YTM!$D$10)</f>
        <v>110.703435249891</v>
      </c>
    </row>
    <row r="19" spans="1:2" x14ac:dyDescent="0.2">
      <c r="A19" s="37">
        <f t="shared" si="0"/>
        <v>4.4999999999999998E-2</v>
      </c>
      <c r="B19" s="6">
        <f>PRICE(YTM!$G$5,YTM!$C$8,YTM!$C$7,A19,100,YTM!$D$11,YTM!$D$10)</f>
        <v>106.98860630614377</v>
      </c>
    </row>
    <row r="20" spans="1:2" x14ac:dyDescent="0.2">
      <c r="A20" s="27">
        <f>B5</f>
        <v>5.0735819552533937E-2</v>
      </c>
      <c r="B20" s="6">
        <f>PRICE(YTM!$G$5,YTM!$C$8,YTM!$C$7,A20,100,YTM!$D$11,YTM!$D$10)</f>
        <v>102.91001111145388</v>
      </c>
    </row>
    <row r="21" spans="1:2" x14ac:dyDescent="0.2">
      <c r="A21" s="37">
        <f>A19+0.005</f>
        <v>4.9999999999999996E-2</v>
      </c>
      <c r="B21" s="6">
        <f>PRICE(YTM!$G$5,YTM!$C$8,YTM!$C$7,A21,100,YTM!$D$11,YTM!$D$10)</f>
        <v>103.42262678554239</v>
      </c>
    </row>
    <row r="22" spans="1:2" x14ac:dyDescent="0.2">
      <c r="A22" s="37">
        <f t="shared" si="0"/>
        <v>5.4999999999999993E-2</v>
      </c>
      <c r="B22" s="6">
        <f>PRICE(YTM!$G$5,YTM!$C$8,YTM!$C$7,A22,100,YTM!$D$11,YTM!$D$10)</f>
        <v>99.998996921352187</v>
      </c>
    </row>
    <row r="23" spans="1:2" x14ac:dyDescent="0.2">
      <c r="A23" s="37">
        <f t="shared" si="0"/>
        <v>5.9999999999999991E-2</v>
      </c>
      <c r="B23" s="6">
        <f>PRICE(YTM!$G$5,YTM!$C$8,YTM!$C$7,A23,100,YTM!$D$11,YTM!$D$10)</f>
        <v>96.711519282967544</v>
      </c>
    </row>
    <row r="24" spans="1:2" x14ac:dyDescent="0.2">
      <c r="A24" s="37">
        <f t="shared" si="0"/>
        <v>6.4999999999999988E-2</v>
      </c>
      <c r="B24" s="6">
        <f>PRICE(YTM!$G$5,YTM!$C$8,YTM!$C$7,A24,100,YTM!$D$11,YTM!$D$10)</f>
        <v>93.5542839369202</v>
      </c>
    </row>
    <row r="25" spans="1:2" x14ac:dyDescent="0.2">
      <c r="A25" s="37">
        <f t="shared" si="0"/>
        <v>6.9999999999999993E-2</v>
      </c>
      <c r="B25" s="6">
        <f>PRICE(YTM!$G$5,YTM!$C$8,YTM!$C$7,A25,100,YTM!$D$11,YTM!$D$10)</f>
        <v>90.521654372299224</v>
      </c>
    </row>
    <row r="26" spans="1:2" x14ac:dyDescent="0.2">
      <c r="A26" s="37">
        <f t="shared" si="0"/>
        <v>7.4999999999999997E-2</v>
      </c>
      <c r="B26" s="6">
        <f>PRICE(YTM!$G$5,YTM!$C$8,YTM!$C$7,A26,100,YTM!$D$11,YTM!$D$10)</f>
        <v>87.608254149398633</v>
      </c>
    </row>
    <row r="27" spans="1:2" x14ac:dyDescent="0.2">
      <c r="A27" s="37">
        <f t="shared" si="0"/>
        <v>0.08</v>
      </c>
      <c r="B27" s="6">
        <f>PRICE(YTM!$G$5,YTM!$C$8,YTM!$C$7,A27,100,YTM!$D$11,YTM!$D$10)</f>
        <v>84.808954232729462</v>
      </c>
    </row>
    <row r="28" spans="1:2" x14ac:dyDescent="0.2">
      <c r="A28" s="37">
        <f t="shared" si="0"/>
        <v>8.5000000000000006E-2</v>
      </c>
      <c r="B28" s="6">
        <f>PRICE(YTM!$G$5,YTM!$C$8,YTM!$C$7,A28,100,YTM!$D$11,YTM!$D$10)</f>
        <v>82.118860971704549</v>
      </c>
    </row>
    <row r="29" spans="1:2" x14ac:dyDescent="0.2">
      <c r="A29" s="37">
        <f t="shared" si="0"/>
        <v>9.0000000000000011E-2</v>
      </c>
      <c r="B29" s="6">
        <f>PRICE(YTM!$G$5,YTM!$C$8,YTM!$C$7,A29,100,YTM!$D$11,YTM!$D$10)</f>
        <v>79.533304694364517</v>
      </c>
    </row>
    <row r="30" spans="1:2" x14ac:dyDescent="0.2">
      <c r="A30" s="37">
        <f t="shared" si="0"/>
        <v>9.5000000000000015E-2</v>
      </c>
      <c r="B30" s="6">
        <f>PRICE(YTM!$G$5,YTM!$C$8,YTM!$C$7,A30,100,YTM!$D$11,YTM!$D$10)</f>
        <v>77.047828881436047</v>
      </c>
    </row>
    <row r="31" spans="1:2" x14ac:dyDescent="0.2">
      <c r="A31" s="37">
        <f t="shared" si="0"/>
        <v>0.10000000000000002</v>
      </c>
      <c r="B31" s="6">
        <f>PRICE(YTM!$G$5,YTM!$C$8,YTM!$C$7,A31,100,YTM!$D$11,YTM!$D$10)</f>
        <v>74.658179889840625</v>
      </c>
    </row>
    <row r="32" spans="1:2" x14ac:dyDescent="0.2">
      <c r="A32" s="37">
        <f t="shared" si="0"/>
        <v>0.10500000000000002</v>
      </c>
      <c r="B32" s="6">
        <f>PRICE(YTM!$G$5,YTM!$C$8,YTM!$C$7,A32,100,YTM!$D$11,YTM!$D$10)</f>
        <v>72.360297196479706</v>
      </c>
    </row>
    <row r="33" spans="1:2" x14ac:dyDescent="0.2">
      <c r="A33" s="37">
        <f t="shared" si="0"/>
        <v>0.11000000000000003</v>
      </c>
      <c r="B33" s="6">
        <f>PRICE(YTM!$G$5,YTM!$C$8,YTM!$C$7,A33,100,YTM!$D$11,YTM!$D$10)</f>
        <v>70.150304134745426</v>
      </c>
    </row>
    <row r="34" spans="1:2" x14ac:dyDescent="0.2">
      <c r="A34" s="37">
        <f t="shared" si="0"/>
        <v>0.11500000000000003</v>
      </c>
      <c r="B34" s="6">
        <f>PRICE(YTM!$G$5,YTM!$C$8,YTM!$C$7,A34,100,YTM!$D$11,YTM!$D$10)</f>
        <v>68.024499097720991</v>
      </c>
    </row>
    <row r="35" spans="1:2" x14ac:dyDescent="0.2">
      <c r="A35" s="37">
        <f t="shared" si="0"/>
        <v>0.12000000000000004</v>
      </c>
      <c r="B35" s="6">
        <f>PRICE(YTM!$G$5,YTM!$C$8,YTM!$C$7,A35,100,YTM!$D$11,YTM!$D$10)</f>
        <v>65.979347183474559</v>
      </c>
    </row>
    <row r="36" spans="1:2" x14ac:dyDescent="0.2">
      <c r="A36" s="37">
        <f t="shared" si="0"/>
        <v>0.12500000000000003</v>
      </c>
      <c r="B36" s="6">
        <f>PRICE(YTM!$G$5,YTM!$C$8,YTM!$C$7,A36,100,YTM!$D$11,YTM!$D$10)</f>
        <v>64.011472259198598</v>
      </c>
    </row>
    <row r="37" spans="1:2" x14ac:dyDescent="0.2">
      <c r="A37" s="37">
        <f t="shared" si="0"/>
        <v>0.13000000000000003</v>
      </c>
      <c r="B37" s="6">
        <f>PRICE(YTM!$G$5,YTM!$C$8,YTM!$C$7,A37,100,YTM!$D$11,YTM!$D$10)</f>
        <v>62.117649422227778</v>
      </c>
    </row>
    <row r="38" spans="1:2" x14ac:dyDescent="0.2">
      <c r="A38" s="37">
        <f t="shared" si="0"/>
        <v>0.13500000000000004</v>
      </c>
      <c r="B38" s="6">
        <f>PRICE(YTM!$G$5,YTM!$C$8,YTM!$C$7,A38,100,YTM!$D$11,YTM!$D$10)</f>
        <v>60.294797837164211</v>
      </c>
    </row>
    <row r="39" spans="1:2" x14ac:dyDescent="0.2">
      <c r="A39" s="37">
        <f t="shared" si="0"/>
        <v>0.14000000000000004</v>
      </c>
      <c r="B39" s="6">
        <f>PRICE(YTM!$G$5,YTM!$C$8,YTM!$C$7,A39,100,YTM!$D$11,YTM!$D$10)</f>
        <v>58.53997392947764</v>
      </c>
    </row>
    <row r="40" spans="1:2" x14ac:dyDescent="0.2">
      <c r="A40" s="37">
        <f t="shared" si="0"/>
        <v>0.14500000000000005</v>
      </c>
      <c r="B40" s="6">
        <f>PRICE(YTM!$G$5,YTM!$C$8,YTM!$C$7,A40,100,YTM!$D$11,YTM!$D$10)</f>
        <v>56.850364917013323</v>
      </c>
    </row>
    <row r="41" spans="1:2" x14ac:dyDescent="0.2">
      <c r="A41" s="37">
        <f t="shared" si="0"/>
        <v>0.15000000000000005</v>
      </c>
      <c r="B41" s="6">
        <f>PRICE(YTM!$G$5,YTM!$C$8,YTM!$C$7,A41,100,YTM!$D$11,YTM!$D$10)</f>
        <v>55.223282661854299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YTM</vt:lpstr>
      <vt:lpstr>YT1C</vt:lpstr>
      <vt:lpstr>Call Schedule</vt:lpstr>
      <vt:lpstr>Price Yield 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2016-10-22T00:57:07Z</dcterms:created>
  <dcterms:modified xsi:type="dcterms:W3CDTF">2017-05-29T20:38:00Z</dcterms:modified>
</cp:coreProperties>
</file>