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izz_1/Documents/information for modeling/"/>
    </mc:Choice>
  </mc:AlternateContent>
  <xr:revisionPtr revIDLastSave="325" documentId="8_{0BE58B9C-733E-40C0-B992-D36CDAE2A0A0}" xr6:coauthVersionLast="47" xr6:coauthVersionMax="47" xr10:uidLastSave="{235C83CF-325C-4871-A091-9F23B3EEEAA1}"/>
  <bookViews>
    <workbookView xWindow="1020" yWindow="660" windowWidth="29220" windowHeight="18980" activeTab="6" xr2:uid="{F18118C1-DC07-4C75-A3CC-FA3CA7D69945}"/>
  </bookViews>
  <sheets>
    <sheet name="General Overview " sheetId="3" r:id="rId1"/>
    <sheet name="Cooling Load" sheetId="1" r:id="rId2"/>
    <sheet name="The better radiator calc" sheetId="9" r:id="rId3"/>
    <sheet name="Radiator Max Capable Load" sheetId="2" r:id="rId4"/>
    <sheet name="Fan Selection + Battery Sizing " sheetId="7" r:id="rId5"/>
    <sheet name="Battery Sizing But Better " sheetId="11" r:id="rId6"/>
    <sheet name="E24 Temperature Test 11-23-24" sheetId="10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1" l="1"/>
  <c r="C11" i="11"/>
  <c r="E6" i="11"/>
  <c r="E7" i="11"/>
  <c r="D8" i="11"/>
  <c r="E8" i="11" s="1"/>
  <c r="E3" i="11" s="1"/>
  <c r="D7" i="11"/>
  <c r="D6" i="11"/>
  <c r="H3" i="7"/>
  <c r="H90" i="7"/>
  <c r="H8" i="7"/>
  <c r="H87" i="7"/>
  <c r="H76" i="7"/>
  <c r="H65" i="7"/>
  <c r="H54" i="7"/>
  <c r="H43" i="7"/>
  <c r="H28" i="7"/>
  <c r="H17" i="7"/>
  <c r="P37" i="2"/>
  <c r="E18" i="10"/>
  <c r="E17" i="10"/>
  <c r="E19" i="10"/>
  <c r="E16" i="10"/>
  <c r="B17" i="10"/>
  <c r="B18" i="10"/>
  <c r="B19" i="10"/>
  <c r="B16" i="10"/>
  <c r="E13" i="10"/>
  <c r="E12" i="10"/>
  <c r="E11" i="10"/>
  <c r="E10" i="10"/>
  <c r="R34" i="2"/>
  <c r="R35" i="2" s="1"/>
  <c r="B4" i="9"/>
  <c r="B7" i="9"/>
  <c r="G6" i="1"/>
  <c r="A35" i="2"/>
  <c r="A36" i="2" s="1"/>
  <c r="A37" i="2" s="1"/>
  <c r="A38" i="2" s="1"/>
  <c r="A39" i="2" s="1"/>
  <c r="I35" i="2"/>
  <c r="Q3" i="3"/>
  <c r="H11" i="2"/>
  <c r="H12" i="2"/>
  <c r="R9" i="2"/>
  <c r="G27" i="2"/>
  <c r="B27" i="2"/>
  <c r="C12" i="11" l="1"/>
  <c r="A40" i="2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D35" i="2"/>
  <c r="D34" i="2"/>
  <c r="E34" i="2" s="1"/>
  <c r="F34" i="2" s="1"/>
  <c r="D36" i="2"/>
  <c r="R7" i="2"/>
  <c r="R11" i="2" s="1"/>
  <c r="L7" i="2"/>
  <c r="L11" i="2" s="1"/>
  <c r="L9" i="2"/>
  <c r="R36" i="2"/>
  <c r="R37" i="2" s="1"/>
  <c r="R38" i="2" s="1"/>
  <c r="L27" i="2"/>
  <c r="B5" i="1"/>
  <c r="J34" i="2"/>
  <c r="K34" i="2" s="1"/>
  <c r="I36" i="2"/>
  <c r="H14" i="2"/>
  <c r="H9" i="2"/>
  <c r="H10" i="2" s="1"/>
  <c r="X9" i="2"/>
  <c r="X7" i="2"/>
  <c r="U9" i="2"/>
  <c r="U7" i="2"/>
  <c r="O9" i="2"/>
  <c r="O7" i="2"/>
  <c r="B4" i="1"/>
  <c r="G4" i="1"/>
  <c r="O11" i="2" l="1"/>
  <c r="L23" i="2"/>
  <c r="T74" i="2" s="1"/>
  <c r="L28" i="2"/>
  <c r="L22" i="2" s="1"/>
  <c r="T45" i="2" s="1"/>
  <c r="T37" i="2"/>
  <c r="T53" i="2"/>
  <c r="T69" i="2"/>
  <c r="T85" i="2"/>
  <c r="T54" i="2"/>
  <c r="T70" i="2"/>
  <c r="T86" i="2"/>
  <c r="T38" i="2"/>
  <c r="T39" i="2"/>
  <c r="T55" i="2"/>
  <c r="T71" i="2"/>
  <c r="T90" i="2"/>
  <c r="T89" i="2"/>
  <c r="T42" i="2"/>
  <c r="T43" i="2"/>
  <c r="T59" i="2"/>
  <c r="T75" i="2"/>
  <c r="T91" i="2"/>
  <c r="T60" i="2"/>
  <c r="T44" i="2"/>
  <c r="T61" i="2"/>
  <c r="T77" i="2"/>
  <c r="T62" i="2"/>
  <c r="T94" i="2"/>
  <c r="T52" i="2"/>
  <c r="T47" i="2"/>
  <c r="T83" i="2"/>
  <c r="T48" i="2"/>
  <c r="T64" i="2"/>
  <c r="T80" i="2"/>
  <c r="T51" i="2"/>
  <c r="T49" i="2"/>
  <c r="T65" i="2"/>
  <c r="T81" i="2"/>
  <c r="T50" i="2"/>
  <c r="T82" i="2"/>
  <c r="R39" i="2"/>
  <c r="R40" i="2" s="1"/>
  <c r="R41" i="2" s="1"/>
  <c r="R42" i="2" s="1"/>
  <c r="R43" i="2" s="1"/>
  <c r="R44" i="2" s="1"/>
  <c r="R45" i="2" s="1"/>
  <c r="R46" i="2" s="1"/>
  <c r="R47" i="2" s="1"/>
  <c r="R48" i="2" s="1"/>
  <c r="R49" i="2" s="1"/>
  <c r="R50" i="2" s="1"/>
  <c r="R51" i="2" s="1"/>
  <c r="R52" i="2" s="1"/>
  <c r="R53" i="2" s="1"/>
  <c r="R54" i="2" s="1"/>
  <c r="R55" i="2" s="1"/>
  <c r="R56" i="2" s="1"/>
  <c r="R57" i="2" s="1"/>
  <c r="R58" i="2" s="1"/>
  <c r="R59" i="2" s="1"/>
  <c r="R60" i="2" s="1"/>
  <c r="R61" i="2" s="1"/>
  <c r="R62" i="2" s="1"/>
  <c r="R63" i="2" s="1"/>
  <c r="R64" i="2" s="1"/>
  <c r="R65" i="2" s="1"/>
  <c r="R66" i="2" s="1"/>
  <c r="R67" i="2" s="1"/>
  <c r="R68" i="2" s="1"/>
  <c r="R69" i="2" s="1"/>
  <c r="R70" i="2" s="1"/>
  <c r="R71" i="2" s="1"/>
  <c r="R72" i="2" s="1"/>
  <c r="R73" i="2" s="1"/>
  <c r="R74" i="2" s="1"/>
  <c r="R75" i="2" s="1"/>
  <c r="R76" i="2" s="1"/>
  <c r="R77" i="2" s="1"/>
  <c r="R78" i="2" s="1"/>
  <c r="R79" i="2" s="1"/>
  <c r="R80" i="2" s="1"/>
  <c r="R81" i="2" s="1"/>
  <c r="R82" i="2" s="1"/>
  <c r="R83" i="2" s="1"/>
  <c r="R84" i="2" s="1"/>
  <c r="R85" i="2" s="1"/>
  <c r="R86" i="2" s="1"/>
  <c r="R87" i="2" s="1"/>
  <c r="R88" i="2" s="1"/>
  <c r="R89" i="2" s="1"/>
  <c r="R90" i="2" s="1"/>
  <c r="R91" i="2" s="1"/>
  <c r="R92" i="2" s="1"/>
  <c r="R93" i="2" s="1"/>
  <c r="R94" i="2" s="1"/>
  <c r="L26" i="2"/>
  <c r="B7" i="1"/>
  <c r="L24" i="2" s="1"/>
  <c r="D37" i="2"/>
  <c r="E37" i="2" s="1"/>
  <c r="F37" i="2" s="1"/>
  <c r="E35" i="2"/>
  <c r="F35" i="2" s="1"/>
  <c r="X11" i="2"/>
  <c r="B35" i="2"/>
  <c r="C35" i="2" s="1"/>
  <c r="G35" i="2" s="1"/>
  <c r="B34" i="2"/>
  <c r="C34" i="2" s="1"/>
  <c r="G34" i="2" s="1"/>
  <c r="L34" i="2"/>
  <c r="J35" i="2"/>
  <c r="I37" i="2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J36" i="2"/>
  <c r="U11" i="2"/>
  <c r="T76" i="2" l="1"/>
  <c r="T68" i="2"/>
  <c r="T36" i="2"/>
  <c r="T66" i="2"/>
  <c r="T78" i="2"/>
  <c r="T73" i="2"/>
  <c r="T35" i="2"/>
  <c r="T84" i="2"/>
  <c r="T46" i="2"/>
  <c r="T88" i="2"/>
  <c r="T40" i="2"/>
  <c r="T67" i="2"/>
  <c r="T93" i="2"/>
  <c r="T72" i="2"/>
  <c r="T56" i="2"/>
  <c r="T92" i="2"/>
  <c r="T58" i="2"/>
  <c r="T57" i="2"/>
  <c r="T87" i="2"/>
  <c r="T79" i="2"/>
  <c r="T41" i="2"/>
  <c r="O23" i="2"/>
  <c r="T34" i="2"/>
  <c r="T63" i="2"/>
  <c r="B8" i="1"/>
  <c r="V34" i="2"/>
  <c r="E36" i="2"/>
  <c r="F36" i="2" s="1"/>
  <c r="B36" i="2"/>
  <c r="C36" i="2" s="1"/>
  <c r="G36" i="2" s="1"/>
  <c r="D38" i="2"/>
  <c r="B37" i="2"/>
  <c r="P31" i="2"/>
  <c r="C37" i="2"/>
  <c r="G37" i="2" s="1"/>
  <c r="I54" i="2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J94" i="2" s="1"/>
  <c r="J53" i="2"/>
  <c r="K35" i="2"/>
  <c r="L35" i="2" s="1"/>
  <c r="J49" i="2"/>
  <c r="J37" i="2"/>
  <c r="J38" i="2"/>
  <c r="J50" i="2"/>
  <c r="J46" i="2"/>
  <c r="J41" i="2"/>
  <c r="J48" i="2"/>
  <c r="J42" i="2"/>
  <c r="J44" i="2"/>
  <c r="K36" i="2"/>
  <c r="L36" i="2" s="1"/>
  <c r="J52" i="2"/>
  <c r="J47" i="2"/>
  <c r="J39" i="2"/>
  <c r="J43" i="2"/>
  <c r="K43" i="2" s="1"/>
  <c r="J51" i="2"/>
  <c r="J40" i="2"/>
  <c r="J45" i="2"/>
  <c r="N36" i="2" l="1"/>
  <c r="P36" i="2"/>
  <c r="Z36" i="2" s="1"/>
  <c r="AB34" i="2"/>
  <c r="X34" i="2"/>
  <c r="Z34" i="2"/>
  <c r="AD34" i="2"/>
  <c r="E38" i="2"/>
  <c r="F38" i="2" s="1"/>
  <c r="P35" i="2"/>
  <c r="N35" i="2"/>
  <c r="D39" i="2"/>
  <c r="E39" i="2" s="1"/>
  <c r="F39" i="2" s="1"/>
  <c r="B38" i="2"/>
  <c r="C38" i="2" s="1"/>
  <c r="G38" i="2" s="1"/>
  <c r="J57" i="2"/>
  <c r="K57" i="2" s="1"/>
  <c r="L57" i="2" s="1"/>
  <c r="J68" i="2"/>
  <c r="K68" i="2" s="1"/>
  <c r="L68" i="2" s="1"/>
  <c r="J79" i="2"/>
  <c r="K79" i="2" s="1"/>
  <c r="L79" i="2" s="1"/>
  <c r="J71" i="2"/>
  <c r="K71" i="2" s="1"/>
  <c r="L71" i="2" s="1"/>
  <c r="J87" i="2"/>
  <c r="K87" i="2" s="1"/>
  <c r="L87" i="2" s="1"/>
  <c r="J59" i="2"/>
  <c r="K59" i="2" s="1"/>
  <c r="L59" i="2" s="1"/>
  <c r="J54" i="2"/>
  <c r="K54" i="2" s="1"/>
  <c r="L54" i="2" s="1"/>
  <c r="J64" i="2"/>
  <c r="K64" i="2" s="1"/>
  <c r="L64" i="2" s="1"/>
  <c r="J78" i="2"/>
  <c r="K78" i="2" s="1"/>
  <c r="L78" i="2" s="1"/>
  <c r="J89" i="2"/>
  <c r="K89" i="2" s="1"/>
  <c r="L89" i="2" s="1"/>
  <c r="J66" i="2"/>
  <c r="K66" i="2" s="1"/>
  <c r="L66" i="2" s="1"/>
  <c r="J83" i="2"/>
  <c r="K83" i="2" s="1"/>
  <c r="L83" i="2" s="1"/>
  <c r="J61" i="2"/>
  <c r="K61" i="2" s="1"/>
  <c r="L61" i="2" s="1"/>
  <c r="J80" i="2"/>
  <c r="K80" i="2" s="1"/>
  <c r="L80" i="2" s="1"/>
  <c r="J77" i="2"/>
  <c r="K77" i="2" s="1"/>
  <c r="L77" i="2" s="1"/>
  <c r="J82" i="2"/>
  <c r="K82" i="2" s="1"/>
  <c r="L82" i="2" s="1"/>
  <c r="J81" i="2"/>
  <c r="K81" i="2" s="1"/>
  <c r="L81" i="2" s="1"/>
  <c r="J60" i="2"/>
  <c r="K60" i="2" s="1"/>
  <c r="L60" i="2" s="1"/>
  <c r="J93" i="2"/>
  <c r="K93" i="2" s="1"/>
  <c r="L93" i="2" s="1"/>
  <c r="J73" i="2"/>
  <c r="K73" i="2" s="1"/>
  <c r="L73" i="2" s="1"/>
  <c r="J72" i="2"/>
  <c r="K72" i="2" s="1"/>
  <c r="L72" i="2" s="1"/>
  <c r="J88" i="2"/>
  <c r="K88" i="2" s="1"/>
  <c r="L88" i="2" s="1"/>
  <c r="J67" i="2"/>
  <c r="K67" i="2" s="1"/>
  <c r="L67" i="2" s="1"/>
  <c r="J55" i="2"/>
  <c r="K55" i="2" s="1"/>
  <c r="L55" i="2" s="1"/>
  <c r="J62" i="2"/>
  <c r="K62" i="2" s="1"/>
  <c r="L62" i="2" s="1"/>
  <c r="J92" i="2"/>
  <c r="J91" i="2"/>
  <c r="J90" i="2"/>
  <c r="K90" i="2" s="1"/>
  <c r="L90" i="2" s="1"/>
  <c r="J74" i="2"/>
  <c r="J70" i="2"/>
  <c r="K70" i="2" s="1"/>
  <c r="L70" i="2" s="1"/>
  <c r="J56" i="2"/>
  <c r="J75" i="2"/>
  <c r="J84" i="2"/>
  <c r="J65" i="2"/>
  <c r="K94" i="2"/>
  <c r="L94" i="2" s="1"/>
  <c r="J86" i="2"/>
  <c r="K86" i="2" s="1"/>
  <c r="L86" i="2" s="1"/>
  <c r="J76" i="2"/>
  <c r="J58" i="2"/>
  <c r="J63" i="2"/>
  <c r="J69" i="2"/>
  <c r="J85" i="2"/>
  <c r="K52" i="2"/>
  <c r="L52" i="2" s="1"/>
  <c r="K42" i="2"/>
  <c r="L42" i="2" s="1"/>
  <c r="K39" i="2"/>
  <c r="L39" i="2" s="1"/>
  <c r="K37" i="2"/>
  <c r="L37" i="2" s="1"/>
  <c r="K53" i="2"/>
  <c r="L53" i="2" s="1"/>
  <c r="K47" i="2"/>
  <c r="L47" i="2" s="1"/>
  <c r="K48" i="2"/>
  <c r="L48" i="2" s="1"/>
  <c r="L43" i="2"/>
  <c r="K44" i="2"/>
  <c r="K38" i="2"/>
  <c r="L38" i="2" s="1"/>
  <c r="K45" i="2"/>
  <c r="L45" i="2" s="1"/>
  <c r="K40" i="2"/>
  <c r="L40" i="2" s="1"/>
  <c r="K49" i="2"/>
  <c r="L49" i="2" s="1"/>
  <c r="K41" i="2"/>
  <c r="L41" i="2" s="1"/>
  <c r="K50" i="2"/>
  <c r="L50" i="2" s="1"/>
  <c r="K51" i="2"/>
  <c r="L51" i="2" s="1"/>
  <c r="K46" i="2"/>
  <c r="L46" i="2" s="1"/>
  <c r="X36" i="2" l="1"/>
  <c r="P38" i="2"/>
  <c r="X38" i="2" s="1"/>
  <c r="N38" i="2"/>
  <c r="AB36" i="2"/>
  <c r="AD36" i="2"/>
  <c r="AB35" i="2"/>
  <c r="AD35" i="2"/>
  <c r="Z35" i="2"/>
  <c r="X35" i="2"/>
  <c r="V36" i="2"/>
  <c r="N39" i="2"/>
  <c r="N37" i="2"/>
  <c r="D40" i="2"/>
  <c r="E40" i="2" s="1"/>
  <c r="F40" i="2" s="1"/>
  <c r="N40" i="2" s="1"/>
  <c r="B39" i="2"/>
  <c r="V35" i="2"/>
  <c r="L44" i="2"/>
  <c r="K92" i="2"/>
  <c r="L92" i="2" s="1"/>
  <c r="K91" i="2"/>
  <c r="L91" i="2" s="1"/>
  <c r="K56" i="2"/>
  <c r="L56" i="2" s="1"/>
  <c r="K76" i="2"/>
  <c r="L76" i="2" s="1"/>
  <c r="K63" i="2"/>
  <c r="L63" i="2" s="1"/>
  <c r="K58" i="2"/>
  <c r="L58" i="2" s="1"/>
  <c r="K75" i="2"/>
  <c r="L75" i="2" s="1"/>
  <c r="K74" i="2"/>
  <c r="L74" i="2" s="1"/>
  <c r="K85" i="2"/>
  <c r="L85" i="2" s="1"/>
  <c r="K69" i="2"/>
  <c r="L69" i="2" s="1"/>
  <c r="K84" i="2"/>
  <c r="L84" i="2" s="1"/>
  <c r="K65" i="2"/>
  <c r="L65" i="2" s="1"/>
  <c r="AB40" i="2" l="1"/>
  <c r="AD40" i="2"/>
  <c r="AB38" i="2"/>
  <c r="AD38" i="2"/>
  <c r="V38" i="2"/>
  <c r="Z38" i="2"/>
  <c r="X37" i="2"/>
  <c r="Z37" i="2"/>
  <c r="AB37" i="2"/>
  <c r="AD37" i="2"/>
  <c r="AB39" i="2"/>
  <c r="AD39" i="2"/>
  <c r="V37" i="2"/>
  <c r="C39" i="2"/>
  <c r="G39" i="2" s="1"/>
  <c r="P39" i="2" s="1"/>
  <c r="D41" i="2"/>
  <c r="E41" i="2" s="1"/>
  <c r="B40" i="2"/>
  <c r="C40" i="2" s="1"/>
  <c r="G40" i="2" s="1"/>
  <c r="P40" i="2" s="1"/>
  <c r="F41" i="2" l="1"/>
  <c r="N41" i="2" s="1"/>
  <c r="X40" i="2"/>
  <c r="Z40" i="2"/>
  <c r="X39" i="2"/>
  <c r="Z39" i="2"/>
  <c r="D42" i="2"/>
  <c r="E42" i="2" s="1"/>
  <c r="F42" i="2" s="1"/>
  <c r="N42" i="2" s="1"/>
  <c r="B41" i="2"/>
  <c r="C41" i="2" s="1"/>
  <c r="G41" i="2" s="1"/>
  <c r="P41" i="2" s="1"/>
  <c r="V39" i="2"/>
  <c r="V40" i="2"/>
  <c r="AB41" i="2" l="1"/>
  <c r="AD41" i="2"/>
  <c r="Z41" i="2"/>
  <c r="X41" i="2"/>
  <c r="AB42" i="2"/>
  <c r="AD42" i="2"/>
  <c r="V41" i="2"/>
  <c r="D43" i="2"/>
  <c r="E43" i="2" s="1"/>
  <c r="F43" i="2" s="1"/>
  <c r="N43" i="2" s="1"/>
  <c r="B42" i="2"/>
  <c r="C42" i="2" s="1"/>
  <c r="G42" i="2" l="1"/>
  <c r="P42" i="2" s="1"/>
  <c r="AD43" i="2"/>
  <c r="AB43" i="2"/>
  <c r="D44" i="2"/>
  <c r="E44" i="2" s="1"/>
  <c r="F44" i="2" s="1"/>
  <c r="N44" i="2" s="1"/>
  <c r="B43" i="2"/>
  <c r="C43" i="2" s="1"/>
  <c r="G43" i="2" s="1"/>
  <c r="P43" i="2" s="1"/>
  <c r="X42" i="2" l="1"/>
  <c r="Z42" i="2"/>
  <c r="V42" i="2"/>
  <c r="Z43" i="2"/>
  <c r="X43" i="2"/>
  <c r="AD44" i="2"/>
  <c r="AB44" i="2"/>
  <c r="D45" i="2"/>
  <c r="E45" i="2" s="1"/>
  <c r="F45" i="2" s="1"/>
  <c r="N45" i="2" s="1"/>
  <c r="B44" i="2"/>
  <c r="C44" i="2" s="1"/>
  <c r="G44" i="2" s="1"/>
  <c r="P44" i="2" s="1"/>
  <c r="V43" i="2"/>
  <c r="AD45" i="2" l="1"/>
  <c r="AB45" i="2"/>
  <c r="Z44" i="2"/>
  <c r="X44" i="2"/>
  <c r="V44" i="2"/>
  <c r="D46" i="2"/>
  <c r="E46" i="2" s="1"/>
  <c r="F46" i="2" s="1"/>
  <c r="N46" i="2" s="1"/>
  <c r="B45" i="2"/>
  <c r="C45" i="2" s="1"/>
  <c r="G45" i="2" s="1"/>
  <c r="P45" i="2" s="1"/>
  <c r="X45" i="2" l="1"/>
  <c r="Z45" i="2"/>
  <c r="AD46" i="2"/>
  <c r="AB46" i="2"/>
  <c r="V45" i="2"/>
  <c r="D47" i="2"/>
  <c r="E47" i="2" s="1"/>
  <c r="F47" i="2" s="1"/>
  <c r="N47" i="2" s="1"/>
  <c r="B46" i="2"/>
  <c r="C46" i="2" s="1"/>
  <c r="G46" i="2" s="1"/>
  <c r="P46" i="2" s="1"/>
  <c r="X46" i="2" l="1"/>
  <c r="Z46" i="2"/>
  <c r="AD47" i="2"/>
  <c r="AB47" i="2"/>
  <c r="V46" i="2"/>
  <c r="D48" i="2"/>
  <c r="E48" i="2" s="1"/>
  <c r="F48" i="2" s="1"/>
  <c r="N48" i="2" s="1"/>
  <c r="B47" i="2"/>
  <c r="C47" i="2" s="1"/>
  <c r="G47" i="2" s="1"/>
  <c r="P47" i="2" s="1"/>
  <c r="X47" i="2" l="1"/>
  <c r="Z47" i="2"/>
  <c r="AB48" i="2"/>
  <c r="AD48" i="2"/>
  <c r="D49" i="2"/>
  <c r="E49" i="2" s="1"/>
  <c r="F49" i="2" s="1"/>
  <c r="N49" i="2" s="1"/>
  <c r="B48" i="2"/>
  <c r="C48" i="2" s="1"/>
  <c r="G48" i="2" s="1"/>
  <c r="P48" i="2" s="1"/>
  <c r="V47" i="2"/>
  <c r="X48" i="2" l="1"/>
  <c r="Z48" i="2"/>
  <c r="AB49" i="2"/>
  <c r="AD49" i="2"/>
  <c r="V48" i="2"/>
  <c r="D50" i="2"/>
  <c r="E50" i="2" s="1"/>
  <c r="F50" i="2" s="1"/>
  <c r="N50" i="2" s="1"/>
  <c r="B49" i="2"/>
  <c r="C49" i="2" s="1"/>
  <c r="G49" i="2" s="1"/>
  <c r="P49" i="2" s="1"/>
  <c r="X49" i="2" l="1"/>
  <c r="Z49" i="2"/>
  <c r="AB50" i="2"/>
  <c r="AD50" i="2"/>
  <c r="V49" i="2"/>
  <c r="D51" i="2"/>
  <c r="E51" i="2" s="1"/>
  <c r="F51" i="2" s="1"/>
  <c r="N51" i="2" s="1"/>
  <c r="B50" i="2"/>
  <c r="C50" i="2" s="1"/>
  <c r="G50" i="2" s="1"/>
  <c r="P50" i="2" s="1"/>
  <c r="X50" i="2" l="1"/>
  <c r="Z50" i="2"/>
  <c r="AB51" i="2"/>
  <c r="AD51" i="2"/>
  <c r="V50" i="2"/>
  <c r="D52" i="2"/>
  <c r="E52" i="2" s="1"/>
  <c r="F52" i="2" s="1"/>
  <c r="N52" i="2" s="1"/>
  <c r="B51" i="2"/>
  <c r="C51" i="2" s="1"/>
  <c r="G51" i="2" s="1"/>
  <c r="P51" i="2" s="1"/>
  <c r="X51" i="2" l="1"/>
  <c r="Z51" i="2"/>
  <c r="AD52" i="2"/>
  <c r="AB52" i="2"/>
  <c r="V51" i="2"/>
  <c r="D53" i="2"/>
  <c r="E53" i="2" s="1"/>
  <c r="F53" i="2" s="1"/>
  <c r="N53" i="2" s="1"/>
  <c r="B52" i="2"/>
  <c r="C52" i="2" s="1"/>
  <c r="G52" i="2" s="1"/>
  <c r="P52" i="2" s="1"/>
  <c r="Z52" i="2" l="1"/>
  <c r="X52" i="2"/>
  <c r="AD53" i="2"/>
  <c r="AB53" i="2"/>
  <c r="V52" i="2"/>
  <c r="D54" i="2"/>
  <c r="E54" i="2" s="1"/>
  <c r="F54" i="2" s="1"/>
  <c r="N54" i="2" s="1"/>
  <c r="B53" i="2"/>
  <c r="C53" i="2" s="1"/>
  <c r="G53" i="2" s="1"/>
  <c r="P53" i="2" s="1"/>
  <c r="X53" i="2" l="1"/>
  <c r="Z53" i="2"/>
  <c r="AD54" i="2"/>
  <c r="AB54" i="2"/>
  <c r="D55" i="2"/>
  <c r="E55" i="2" s="1"/>
  <c r="F55" i="2" s="1"/>
  <c r="N55" i="2" s="1"/>
  <c r="B54" i="2"/>
  <c r="C54" i="2" s="1"/>
  <c r="G54" i="2" s="1"/>
  <c r="P54" i="2" s="1"/>
  <c r="V53" i="2"/>
  <c r="AB55" i="2" l="1"/>
  <c r="AD55" i="2"/>
  <c r="X54" i="2"/>
  <c r="Z54" i="2"/>
  <c r="V54" i="2"/>
  <c r="D56" i="2"/>
  <c r="E56" i="2" s="1"/>
  <c r="F56" i="2" s="1"/>
  <c r="N56" i="2" s="1"/>
  <c r="B55" i="2"/>
  <c r="C55" i="2" s="1"/>
  <c r="G55" i="2" s="1"/>
  <c r="P55" i="2" s="1"/>
  <c r="X55" i="2" l="1"/>
  <c r="Z55" i="2"/>
  <c r="AD56" i="2"/>
  <c r="AB56" i="2"/>
  <c r="D57" i="2"/>
  <c r="E57" i="2" s="1"/>
  <c r="F57" i="2" s="1"/>
  <c r="N57" i="2" s="1"/>
  <c r="B56" i="2"/>
  <c r="C56" i="2" s="1"/>
  <c r="G56" i="2" s="1"/>
  <c r="P56" i="2" s="1"/>
  <c r="V55" i="2"/>
  <c r="Z56" i="2" l="1"/>
  <c r="X56" i="2"/>
  <c r="AD57" i="2"/>
  <c r="AB57" i="2"/>
  <c r="V56" i="2"/>
  <c r="D58" i="2"/>
  <c r="E58" i="2" s="1"/>
  <c r="F58" i="2" s="1"/>
  <c r="N58" i="2" s="1"/>
  <c r="B57" i="2"/>
  <c r="C57" i="2" s="1"/>
  <c r="G57" i="2" s="1"/>
  <c r="P57" i="2" s="1"/>
  <c r="Z57" i="2" l="1"/>
  <c r="X57" i="2"/>
  <c r="AB58" i="2"/>
  <c r="AD58" i="2"/>
  <c r="V57" i="2"/>
  <c r="D59" i="2"/>
  <c r="E59" i="2" s="1"/>
  <c r="F59" i="2" s="1"/>
  <c r="N59" i="2" s="1"/>
  <c r="B58" i="2"/>
  <c r="C58" i="2" s="1"/>
  <c r="G58" i="2" s="1"/>
  <c r="P58" i="2" s="1"/>
  <c r="Z58" i="2" l="1"/>
  <c r="X58" i="2"/>
  <c r="AB59" i="2"/>
  <c r="AD59" i="2"/>
  <c r="V58" i="2"/>
  <c r="D60" i="2"/>
  <c r="E60" i="2" s="1"/>
  <c r="F60" i="2" s="1"/>
  <c r="N60" i="2" s="1"/>
  <c r="B59" i="2"/>
  <c r="C59" i="2" s="1"/>
  <c r="G59" i="2" s="1"/>
  <c r="P59" i="2" s="1"/>
  <c r="Z59" i="2" l="1"/>
  <c r="X59" i="2"/>
  <c r="AB60" i="2"/>
  <c r="AD60" i="2"/>
  <c r="V59" i="2"/>
  <c r="D61" i="2"/>
  <c r="E61" i="2" s="1"/>
  <c r="F61" i="2" s="1"/>
  <c r="N61" i="2" s="1"/>
  <c r="B60" i="2"/>
  <c r="C60" i="2" s="1"/>
  <c r="G60" i="2" s="1"/>
  <c r="P60" i="2" s="1"/>
  <c r="Z60" i="2" l="1"/>
  <c r="X60" i="2"/>
  <c r="AB61" i="2"/>
  <c r="AD61" i="2"/>
  <c r="V60" i="2"/>
  <c r="D62" i="2"/>
  <c r="E62" i="2" s="1"/>
  <c r="F62" i="2" s="1"/>
  <c r="N62" i="2" s="1"/>
  <c r="B61" i="2"/>
  <c r="C61" i="2" s="1"/>
  <c r="G61" i="2" s="1"/>
  <c r="P61" i="2" s="1"/>
  <c r="X61" i="2" l="1"/>
  <c r="Z61" i="2"/>
  <c r="AB62" i="2"/>
  <c r="AD62" i="2"/>
  <c r="V61" i="2"/>
  <c r="D63" i="2"/>
  <c r="E63" i="2" s="1"/>
  <c r="F63" i="2" s="1"/>
  <c r="N63" i="2" s="1"/>
  <c r="B62" i="2"/>
  <c r="C62" i="2" s="1"/>
  <c r="G62" i="2" s="1"/>
  <c r="P62" i="2" s="1"/>
  <c r="X62" i="2" l="1"/>
  <c r="Z62" i="2"/>
  <c r="AB63" i="2"/>
  <c r="AD63" i="2"/>
  <c r="V62" i="2"/>
  <c r="D64" i="2"/>
  <c r="E64" i="2" s="1"/>
  <c r="F64" i="2" s="1"/>
  <c r="N64" i="2" s="1"/>
  <c r="B63" i="2"/>
  <c r="C63" i="2" s="1"/>
  <c r="G63" i="2" s="1"/>
  <c r="P63" i="2" s="1"/>
  <c r="X63" i="2" l="1"/>
  <c r="Z63" i="2"/>
  <c r="AD64" i="2"/>
  <c r="AB64" i="2"/>
  <c r="V63" i="2"/>
  <c r="D65" i="2"/>
  <c r="E65" i="2" s="1"/>
  <c r="F65" i="2" s="1"/>
  <c r="N65" i="2" s="1"/>
  <c r="B64" i="2"/>
  <c r="C64" i="2" s="1"/>
  <c r="G64" i="2" s="1"/>
  <c r="P64" i="2" s="1"/>
  <c r="AD65" i="2" l="1"/>
  <c r="AB65" i="2"/>
  <c r="X64" i="2"/>
  <c r="Z64" i="2"/>
  <c r="V64" i="2"/>
  <c r="D66" i="2"/>
  <c r="E66" i="2" s="1"/>
  <c r="F66" i="2" s="1"/>
  <c r="N66" i="2" s="1"/>
  <c r="B65" i="2"/>
  <c r="C65" i="2" s="1"/>
  <c r="G65" i="2" s="1"/>
  <c r="P65" i="2" s="1"/>
  <c r="AD66" i="2" l="1"/>
  <c r="AB66" i="2"/>
  <c r="Z65" i="2"/>
  <c r="X65" i="2"/>
  <c r="V65" i="2"/>
  <c r="D67" i="2"/>
  <c r="E67" i="2" s="1"/>
  <c r="F67" i="2" s="1"/>
  <c r="N67" i="2" s="1"/>
  <c r="B66" i="2"/>
  <c r="C66" i="2" s="1"/>
  <c r="G66" i="2" s="1"/>
  <c r="P66" i="2" s="1"/>
  <c r="AD67" i="2" l="1"/>
  <c r="AB67" i="2"/>
  <c r="Z66" i="2"/>
  <c r="X66" i="2"/>
  <c r="V66" i="2"/>
  <c r="D68" i="2"/>
  <c r="E68" i="2" s="1"/>
  <c r="F68" i="2" s="1"/>
  <c r="N68" i="2" s="1"/>
  <c r="B67" i="2"/>
  <c r="C67" i="2" s="1"/>
  <c r="G67" i="2" s="1"/>
  <c r="P67" i="2" s="1"/>
  <c r="AD68" i="2" l="1"/>
  <c r="AB68" i="2"/>
  <c r="Z67" i="2"/>
  <c r="X67" i="2"/>
  <c r="V67" i="2"/>
  <c r="D69" i="2"/>
  <c r="E69" i="2" s="1"/>
  <c r="F69" i="2" s="1"/>
  <c r="N69" i="2" s="1"/>
  <c r="B68" i="2"/>
  <c r="C68" i="2" s="1"/>
  <c r="G68" i="2" s="1"/>
  <c r="P68" i="2" s="1"/>
  <c r="Z68" i="2" l="1"/>
  <c r="X68" i="2"/>
  <c r="AD69" i="2"/>
  <c r="AB69" i="2"/>
  <c r="V68" i="2"/>
  <c r="D70" i="2"/>
  <c r="E70" i="2" s="1"/>
  <c r="F70" i="2" s="1"/>
  <c r="N70" i="2" s="1"/>
  <c r="B69" i="2"/>
  <c r="C69" i="2" s="1"/>
  <c r="G69" i="2" s="1"/>
  <c r="P69" i="2" s="1"/>
  <c r="X69" i="2" l="1"/>
  <c r="Z69" i="2"/>
  <c r="AD70" i="2"/>
  <c r="AB70" i="2"/>
  <c r="V69" i="2"/>
  <c r="D71" i="2"/>
  <c r="E71" i="2" s="1"/>
  <c r="F71" i="2" s="1"/>
  <c r="N71" i="2" s="1"/>
  <c r="B70" i="2"/>
  <c r="C70" i="2" s="1"/>
  <c r="G70" i="2" s="1"/>
  <c r="P70" i="2" s="1"/>
  <c r="X70" i="2" l="1"/>
  <c r="Z70" i="2"/>
  <c r="AD71" i="2"/>
  <c r="AB71" i="2"/>
  <c r="V70" i="2"/>
  <c r="D72" i="2"/>
  <c r="E72" i="2" s="1"/>
  <c r="F72" i="2" s="1"/>
  <c r="N72" i="2" s="1"/>
  <c r="B71" i="2"/>
  <c r="C71" i="2" s="1"/>
  <c r="G71" i="2" s="1"/>
  <c r="P71" i="2" s="1"/>
  <c r="X71" i="2" l="1"/>
  <c r="Z71" i="2"/>
  <c r="AB72" i="2"/>
  <c r="AD72" i="2"/>
  <c r="V71" i="2"/>
  <c r="D73" i="2"/>
  <c r="E73" i="2" s="1"/>
  <c r="F73" i="2" s="1"/>
  <c r="N73" i="2" s="1"/>
  <c r="B72" i="2"/>
  <c r="C72" i="2" s="1"/>
  <c r="G72" i="2" s="1"/>
  <c r="P72" i="2" s="1"/>
  <c r="X72" i="2" l="1"/>
  <c r="Z72" i="2"/>
  <c r="AB73" i="2"/>
  <c r="AD73" i="2"/>
  <c r="V72" i="2"/>
  <c r="D74" i="2"/>
  <c r="E74" i="2" s="1"/>
  <c r="F74" i="2" s="1"/>
  <c r="N74" i="2" s="1"/>
  <c r="B73" i="2"/>
  <c r="C73" i="2" s="1"/>
  <c r="G73" i="2" s="1"/>
  <c r="P73" i="2" s="1"/>
  <c r="X73" i="2" l="1"/>
  <c r="Z73" i="2"/>
  <c r="AB74" i="2"/>
  <c r="AD74" i="2"/>
  <c r="D75" i="2"/>
  <c r="E75" i="2" s="1"/>
  <c r="F75" i="2" s="1"/>
  <c r="N75" i="2" s="1"/>
  <c r="B74" i="2"/>
  <c r="C74" i="2" s="1"/>
  <c r="G74" i="2" s="1"/>
  <c r="P74" i="2" s="1"/>
  <c r="V73" i="2"/>
  <c r="Z74" i="2" l="1"/>
  <c r="X74" i="2"/>
  <c r="AB75" i="2"/>
  <c r="AD75" i="2"/>
  <c r="V74" i="2"/>
  <c r="D76" i="2"/>
  <c r="E76" i="2" s="1"/>
  <c r="F76" i="2" s="1"/>
  <c r="N76" i="2" s="1"/>
  <c r="B75" i="2"/>
  <c r="C75" i="2" s="1"/>
  <c r="G75" i="2" s="1"/>
  <c r="P75" i="2" s="1"/>
  <c r="AD76" i="2" l="1"/>
  <c r="AB76" i="2"/>
  <c r="Z75" i="2"/>
  <c r="X75" i="2"/>
  <c r="V75" i="2"/>
  <c r="D77" i="2"/>
  <c r="E77" i="2" s="1"/>
  <c r="F77" i="2" s="1"/>
  <c r="N77" i="2" s="1"/>
  <c r="B76" i="2"/>
  <c r="C76" i="2" s="1"/>
  <c r="G76" i="2" s="1"/>
  <c r="P76" i="2" s="1"/>
  <c r="X76" i="2" l="1"/>
  <c r="Z76" i="2"/>
  <c r="AD77" i="2"/>
  <c r="AB77" i="2"/>
  <c r="V76" i="2"/>
  <c r="D78" i="2"/>
  <c r="E78" i="2" s="1"/>
  <c r="F78" i="2" s="1"/>
  <c r="N78" i="2" s="1"/>
  <c r="B77" i="2"/>
  <c r="C77" i="2" s="1"/>
  <c r="G77" i="2" s="1"/>
  <c r="P77" i="2" s="1"/>
  <c r="AD78" i="2" l="1"/>
  <c r="AB78" i="2"/>
  <c r="X77" i="2"/>
  <c r="Z77" i="2"/>
  <c r="V77" i="2"/>
  <c r="D79" i="2"/>
  <c r="E79" i="2" s="1"/>
  <c r="F79" i="2" s="1"/>
  <c r="N79" i="2" s="1"/>
  <c r="B78" i="2"/>
  <c r="C78" i="2" s="1"/>
  <c r="G78" i="2" s="1"/>
  <c r="P78" i="2" s="1"/>
  <c r="X78" i="2" l="1"/>
  <c r="Z78" i="2"/>
  <c r="AD79" i="2"/>
  <c r="AB79" i="2"/>
  <c r="D80" i="2"/>
  <c r="E80" i="2" s="1"/>
  <c r="F80" i="2" s="1"/>
  <c r="N80" i="2" s="1"/>
  <c r="B79" i="2"/>
  <c r="C79" i="2" s="1"/>
  <c r="G79" i="2" s="1"/>
  <c r="P79" i="2" s="1"/>
  <c r="V78" i="2"/>
  <c r="X79" i="2" l="1"/>
  <c r="Z79" i="2"/>
  <c r="AD80" i="2"/>
  <c r="AB80" i="2"/>
  <c r="V79" i="2"/>
  <c r="D81" i="2"/>
  <c r="E81" i="2" s="1"/>
  <c r="F81" i="2" s="1"/>
  <c r="N81" i="2" s="1"/>
  <c r="B80" i="2"/>
  <c r="C80" i="2" s="1"/>
  <c r="G80" i="2" s="1"/>
  <c r="P80" i="2" s="1"/>
  <c r="Z80" i="2" l="1"/>
  <c r="X80" i="2"/>
  <c r="AD81" i="2"/>
  <c r="AB81" i="2"/>
  <c r="D82" i="2"/>
  <c r="E82" i="2" s="1"/>
  <c r="F82" i="2" s="1"/>
  <c r="N82" i="2" s="1"/>
  <c r="B81" i="2"/>
  <c r="C81" i="2" s="1"/>
  <c r="G81" i="2" s="1"/>
  <c r="P81" i="2" s="1"/>
  <c r="V80" i="2"/>
  <c r="Z81" i="2" l="1"/>
  <c r="X81" i="2"/>
  <c r="AB82" i="2"/>
  <c r="AD82" i="2"/>
  <c r="V81" i="2"/>
  <c r="D83" i="2"/>
  <c r="E83" i="2" s="1"/>
  <c r="F83" i="2" s="1"/>
  <c r="N83" i="2" s="1"/>
  <c r="B82" i="2"/>
  <c r="C82" i="2" s="1"/>
  <c r="G82" i="2" s="1"/>
  <c r="P82" i="2" s="1"/>
  <c r="Z82" i="2" l="1"/>
  <c r="X82" i="2"/>
  <c r="AB83" i="2"/>
  <c r="AD83" i="2"/>
  <c r="V82" i="2"/>
  <c r="D84" i="2"/>
  <c r="E84" i="2" s="1"/>
  <c r="F84" i="2" s="1"/>
  <c r="N84" i="2" s="1"/>
  <c r="B83" i="2"/>
  <c r="C83" i="2" s="1"/>
  <c r="G83" i="2" s="1"/>
  <c r="P83" i="2" s="1"/>
  <c r="Z83" i="2" l="1"/>
  <c r="X83" i="2"/>
  <c r="AB84" i="2"/>
  <c r="AD84" i="2"/>
  <c r="V83" i="2"/>
  <c r="D85" i="2"/>
  <c r="E85" i="2" s="1"/>
  <c r="F85" i="2" s="1"/>
  <c r="N85" i="2" s="1"/>
  <c r="B84" i="2"/>
  <c r="C84" i="2" s="1"/>
  <c r="G84" i="2" s="1"/>
  <c r="P84" i="2" s="1"/>
  <c r="Z84" i="2" l="1"/>
  <c r="X84" i="2"/>
  <c r="AB85" i="2"/>
  <c r="AD85" i="2"/>
  <c r="V84" i="2"/>
  <c r="D86" i="2"/>
  <c r="E86" i="2" s="1"/>
  <c r="F86" i="2" s="1"/>
  <c r="N86" i="2" s="1"/>
  <c r="B85" i="2"/>
  <c r="C85" i="2" s="1"/>
  <c r="G85" i="2" s="1"/>
  <c r="P85" i="2" s="1"/>
  <c r="X85" i="2" l="1"/>
  <c r="Z85" i="2"/>
  <c r="AB86" i="2"/>
  <c r="AD86" i="2"/>
  <c r="V85" i="2"/>
  <c r="D87" i="2"/>
  <c r="E87" i="2" s="1"/>
  <c r="F87" i="2" s="1"/>
  <c r="N87" i="2" s="1"/>
  <c r="B86" i="2"/>
  <c r="C86" i="2" s="1"/>
  <c r="G86" i="2" s="1"/>
  <c r="P86" i="2" s="1"/>
  <c r="X86" i="2" l="1"/>
  <c r="Z86" i="2"/>
  <c r="AD87" i="2"/>
  <c r="AB87" i="2"/>
  <c r="V86" i="2"/>
  <c r="D88" i="2"/>
  <c r="E88" i="2" s="1"/>
  <c r="F88" i="2" s="1"/>
  <c r="N88" i="2" s="1"/>
  <c r="B87" i="2"/>
  <c r="C87" i="2" s="1"/>
  <c r="G87" i="2" s="1"/>
  <c r="P87" i="2" s="1"/>
  <c r="AD88" i="2" l="1"/>
  <c r="AB88" i="2"/>
  <c r="Z87" i="2"/>
  <c r="X87" i="2"/>
  <c r="D89" i="2"/>
  <c r="E89" i="2" s="1"/>
  <c r="F89" i="2" s="1"/>
  <c r="N89" i="2" s="1"/>
  <c r="B88" i="2"/>
  <c r="C88" i="2" s="1"/>
  <c r="G88" i="2" s="1"/>
  <c r="P88" i="2" s="1"/>
  <c r="V87" i="2"/>
  <c r="Z88" i="2" l="1"/>
  <c r="X88" i="2"/>
  <c r="AD89" i="2"/>
  <c r="AB89" i="2"/>
  <c r="V88" i="2"/>
  <c r="D90" i="2"/>
  <c r="E90" i="2" s="1"/>
  <c r="F90" i="2" s="1"/>
  <c r="N90" i="2" s="1"/>
  <c r="B89" i="2"/>
  <c r="C89" i="2" s="1"/>
  <c r="G89" i="2" s="1"/>
  <c r="P89" i="2" s="1"/>
  <c r="Z89" i="2" l="1"/>
  <c r="X89" i="2"/>
  <c r="AB90" i="2"/>
  <c r="AD90" i="2"/>
  <c r="V89" i="2"/>
  <c r="D91" i="2"/>
  <c r="E91" i="2" s="1"/>
  <c r="F91" i="2" s="1"/>
  <c r="N91" i="2" s="1"/>
  <c r="B90" i="2"/>
  <c r="C90" i="2" s="1"/>
  <c r="G90" i="2" s="1"/>
  <c r="P90" i="2" s="1"/>
  <c r="Z90" i="2" l="1"/>
  <c r="X90" i="2"/>
  <c r="AD91" i="2"/>
  <c r="AB91" i="2"/>
  <c r="V90" i="2"/>
  <c r="D92" i="2"/>
  <c r="E92" i="2" s="1"/>
  <c r="F92" i="2" s="1"/>
  <c r="N92" i="2" s="1"/>
  <c r="B91" i="2"/>
  <c r="C91" i="2" s="1"/>
  <c r="G91" i="2" s="1"/>
  <c r="P91" i="2" s="1"/>
  <c r="Z91" i="2" l="1"/>
  <c r="X91" i="2"/>
  <c r="AD92" i="2"/>
  <c r="AB92" i="2"/>
  <c r="V91" i="2"/>
  <c r="D93" i="2"/>
  <c r="E93" i="2" s="1"/>
  <c r="F93" i="2" s="1"/>
  <c r="N93" i="2" s="1"/>
  <c r="B92" i="2"/>
  <c r="C92" i="2" s="1"/>
  <c r="G92" i="2" s="1"/>
  <c r="P92" i="2" s="1"/>
  <c r="Z92" i="2" l="1"/>
  <c r="X92" i="2"/>
  <c r="AD93" i="2"/>
  <c r="AB93" i="2"/>
  <c r="B93" i="2"/>
  <c r="C93" i="2" s="1"/>
  <c r="G93" i="2" s="1"/>
  <c r="P93" i="2" s="1"/>
  <c r="V92" i="2"/>
  <c r="X93" i="2" l="1"/>
  <c r="Z93" i="2"/>
  <c r="B94" i="2"/>
  <c r="C94" i="2" s="1"/>
  <c r="G94" i="2" s="1"/>
  <c r="P94" i="2" s="1"/>
  <c r="V94" i="2" s="1"/>
  <c r="D94" i="2"/>
  <c r="E94" i="2" s="1"/>
  <c r="F94" i="2" s="1"/>
  <c r="N94" i="2" s="1"/>
  <c r="V93" i="2"/>
  <c r="AD94" i="2" l="1"/>
  <c r="AB94" i="2"/>
  <c r="X94" i="2"/>
  <c r="Z94" i="2"/>
</calcChain>
</file>

<file path=xl/sharedStrings.xml><?xml version="1.0" encoding="utf-8"?>
<sst xmlns="http://schemas.openxmlformats.org/spreadsheetml/2006/main" count="297" uniqueCount="216">
  <si>
    <t>Cooling Specifications DTI HV550</t>
  </si>
  <si>
    <t>Cooling Specifications EMRAX 208HV LC</t>
  </si>
  <si>
    <t>MIS High W/ FOS</t>
  </si>
  <si>
    <r>
      <t>Average high (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C) =</t>
    </r>
  </si>
  <si>
    <r>
      <t>Average high (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F) =</t>
    </r>
  </si>
  <si>
    <t xml:space="preserve">Sensors for Validation </t>
  </si>
  <si>
    <t xml:space="preserve">Type </t>
  </si>
  <si>
    <t xml:space="preserve">Quantity </t>
  </si>
  <si>
    <t xml:space="preserve">Location </t>
  </si>
  <si>
    <t xml:space="preserve">Coolant Temp </t>
  </si>
  <si>
    <t xml:space="preserve">Fill Neck </t>
  </si>
  <si>
    <t xml:space="preserve">Air Temp </t>
  </si>
  <si>
    <t>Accum. Garage</t>
  </si>
  <si>
    <t xml:space="preserve">After Pump </t>
  </si>
  <si>
    <t xml:space="preserve">Filler Neck </t>
  </si>
  <si>
    <t xml:space="preserve">E25 Coolant Loop Layout </t>
  </si>
  <si>
    <t xml:space="preserve">E24 Coolant Loop Layout </t>
  </si>
  <si>
    <t xml:space="preserve">Radiator </t>
  </si>
  <si>
    <t>Pump</t>
  </si>
  <si>
    <t xml:space="preserve">Motor </t>
  </si>
  <si>
    <t>Inverter</t>
  </si>
  <si>
    <t>Radiator</t>
  </si>
  <si>
    <t>inverter</t>
  </si>
  <si>
    <t>Motor</t>
  </si>
  <si>
    <t xml:space="preserve">Notes: </t>
  </si>
  <si>
    <t xml:space="preserve">1. Motor placed earlier based on lower inlet temperature requirments </t>
  </si>
  <si>
    <t xml:space="preserve">2. 3/8 in Tubing through out </t>
  </si>
  <si>
    <t>Generated Total Heat</t>
  </si>
  <si>
    <t xml:space="preserve">Controller Efficiency </t>
  </si>
  <si>
    <t>Motor Eff. Upper (%) =</t>
  </si>
  <si>
    <t xml:space="preserve">Peak Efficiency </t>
  </si>
  <si>
    <t>DC Voltage =</t>
  </si>
  <si>
    <t>E25 Nominal Voltage</t>
  </si>
  <si>
    <t>Motor Eff. Lower (%) =</t>
  </si>
  <si>
    <t xml:space="preserve">Least Efficiency </t>
  </si>
  <si>
    <t>AC Current =</t>
  </si>
  <si>
    <t>Based on average from E24 Iq data</t>
  </si>
  <si>
    <t>Motor Eff. (%) =</t>
  </si>
  <si>
    <t xml:space="preserve">Average </t>
  </si>
  <si>
    <t>Power in (W)  =</t>
  </si>
  <si>
    <t>Controller Efficienct (%) =</t>
  </si>
  <si>
    <t>Power Loss (W) =</t>
  </si>
  <si>
    <t>Assumed at 600V and 200A for FOS</t>
  </si>
  <si>
    <t>Max Power (kW) =</t>
  </si>
  <si>
    <t xml:space="preserve">Given Max </t>
  </si>
  <si>
    <t>Controller Efficiency (%) =</t>
  </si>
  <si>
    <t>Heat Generated (kW) =</t>
  </si>
  <si>
    <t>see equation 26</t>
  </si>
  <si>
    <t>Total Eff. (%) =</t>
  </si>
  <si>
    <t xml:space="preserve">Given </t>
  </si>
  <si>
    <t xml:space="preserve">air in </t>
  </si>
  <si>
    <t xml:space="preserve">air out </t>
  </si>
  <si>
    <t>???</t>
  </si>
  <si>
    <t xml:space="preserve">Water in </t>
  </si>
  <si>
    <t xml:space="preserve">Water out </t>
  </si>
  <si>
    <t xml:space="preserve">minimum for motor </t>
  </si>
  <si>
    <t>l/m</t>
  </si>
  <si>
    <t>Q (kW)</t>
  </si>
  <si>
    <t xml:space="preserve">240mm T27 Radiator </t>
  </si>
  <si>
    <t xml:space="preserve">360mm T27 Radiator </t>
  </si>
  <si>
    <t xml:space="preserve">360mm T38 Radiator </t>
  </si>
  <si>
    <t>420mm T27 Radiator</t>
  </si>
  <si>
    <t xml:space="preserve">420mm T38 Radiator </t>
  </si>
  <si>
    <t>Overall Heat Transfer Coefficient Constants</t>
  </si>
  <si>
    <t>SA 360mm T27 Rad</t>
  </si>
  <si>
    <t>SA 360mm T38 Rad</t>
  </si>
  <si>
    <t>SA 420mm T27 Rad</t>
  </si>
  <si>
    <t>SA 420mm T38 Rad</t>
  </si>
  <si>
    <t>Source</t>
  </si>
  <si>
    <t>Length (m) =</t>
  </si>
  <si>
    <t>Width (m) =</t>
  </si>
  <si>
    <r>
      <t>Frontal Area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=</t>
    </r>
  </si>
  <si>
    <t>Frontal Area (m2) =</t>
  </si>
  <si>
    <t>Fin Density (per in) =</t>
  </si>
  <si>
    <r>
      <t>Area of 120mm Fan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=</t>
    </r>
  </si>
  <si>
    <t>D=110mm</t>
  </si>
  <si>
    <t>Fin Density (per m) =</t>
  </si>
  <si>
    <r>
      <t>Area of 120mm Fan (ft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=</t>
    </r>
  </si>
  <si>
    <t>Fin Height (m) =</t>
  </si>
  <si>
    <r>
      <t>Area of 140mm Fan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=</t>
    </r>
  </si>
  <si>
    <t>D=130mm</t>
  </si>
  <si>
    <r>
      <t>Total SA 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 =</t>
    </r>
  </si>
  <si>
    <t>Total SA (m3) =</t>
  </si>
  <si>
    <r>
      <t>Area of 140mm Fan (ft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=</t>
    </r>
  </si>
  <si>
    <t>Wall Thickness (mm) =</t>
  </si>
  <si>
    <t xml:space="preserve">Guestimate </t>
  </si>
  <si>
    <t>Wall Thickness (m) =</t>
  </si>
  <si>
    <t>(t)</t>
  </si>
  <si>
    <t>Thermal Conductivity (W/m*K) =</t>
  </si>
  <si>
    <t>(k) aluminum</t>
  </si>
  <si>
    <r>
      <t>Constant Values for Temperatures (</t>
    </r>
    <r>
      <rPr>
        <sz val="11"/>
        <color theme="1"/>
        <rFont val="Aptos Narrow"/>
        <family val="2"/>
      </rPr>
      <t>º</t>
    </r>
    <r>
      <rPr>
        <sz val="11"/>
        <color theme="1"/>
        <rFont val="Calibri"/>
        <family val="2"/>
      </rPr>
      <t>C)</t>
    </r>
  </si>
  <si>
    <t xml:space="preserve"> </t>
  </si>
  <si>
    <r>
      <t>∆</t>
    </r>
    <r>
      <rPr>
        <sz val="7.7"/>
        <color theme="1"/>
        <rFont val="Calibri"/>
        <family val="2"/>
      </rPr>
      <t>T</t>
    </r>
    <r>
      <rPr>
        <sz val="11"/>
        <color theme="1"/>
        <rFont val="Calibri"/>
        <family val="2"/>
      </rPr>
      <t>1 =</t>
    </r>
  </si>
  <si>
    <t xml:space="preserve">h=water </t>
  </si>
  <si>
    <r>
      <t>Values for h</t>
    </r>
    <r>
      <rPr>
        <vertAlign val="subscript"/>
        <sz val="11"/>
        <color theme="1"/>
        <rFont val="Calibri"/>
        <family val="2"/>
        <scheme val="minor"/>
      </rPr>
      <t>air</t>
    </r>
  </si>
  <si>
    <r>
      <t>Values for h</t>
    </r>
    <r>
      <rPr>
        <vertAlign val="subscript"/>
        <sz val="11"/>
        <color theme="1"/>
        <rFont val="Calibri"/>
        <family val="2"/>
        <scheme val="minor"/>
      </rPr>
      <t>coolant</t>
    </r>
  </si>
  <si>
    <r>
      <t>∆</t>
    </r>
    <r>
      <rPr>
        <sz val="7.7"/>
        <color theme="1"/>
        <rFont val="Calibri"/>
        <family val="2"/>
      </rPr>
      <t>T</t>
    </r>
    <r>
      <rPr>
        <sz val="11"/>
        <color theme="1"/>
        <rFont val="Calibri"/>
        <family val="2"/>
      </rPr>
      <t>2 =</t>
    </r>
  </si>
  <si>
    <t xml:space="preserve">c=air </t>
  </si>
  <si>
    <t>R =</t>
  </si>
  <si>
    <t>Thermal Conductivity (W/mK) =</t>
  </si>
  <si>
    <t>Cooling Load (kW) =</t>
  </si>
  <si>
    <t>Diameter (m) =</t>
  </si>
  <si>
    <t>Coolant out =</t>
  </si>
  <si>
    <t xml:space="preserve">Max inlet for motor </t>
  </si>
  <si>
    <t>Prandtl number =</t>
  </si>
  <si>
    <t>Q Motor =</t>
  </si>
  <si>
    <r>
      <t>Kinematic Viscosity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/s) =</t>
    </r>
  </si>
  <si>
    <t>Air in =</t>
  </si>
  <si>
    <t>Ambient at MIS w/ FOS</t>
  </si>
  <si>
    <t>https://www.engineersedge.com/physics/viscosity_of_air_dynamic_and_kinematic_14483.htm</t>
  </si>
  <si>
    <t>Air out =</t>
  </si>
  <si>
    <t xml:space="preserve">Lowest it can be to account for blowing into accumulator </t>
  </si>
  <si>
    <t>E17</t>
  </si>
  <si>
    <r>
      <rPr>
        <sz val="11"/>
        <color theme="1"/>
        <rFont val="Calibri"/>
        <family val="2"/>
      </rPr>
      <t>∆T</t>
    </r>
    <r>
      <rPr>
        <vertAlign val="subscript"/>
        <sz val="11"/>
        <color theme="1"/>
        <rFont val="Calibri"/>
        <family val="2"/>
      </rPr>
      <t>air</t>
    </r>
    <r>
      <rPr>
        <sz val="11"/>
        <color theme="1"/>
        <rFont val="Calibri"/>
        <family val="2"/>
        <scheme val="minor"/>
      </rPr>
      <t xml:space="preserve"> = </t>
    </r>
  </si>
  <si>
    <t>E24 Accum.</t>
  </si>
  <si>
    <t xml:space="preserve">Safety Factor: </t>
  </si>
  <si>
    <t>E24</t>
  </si>
  <si>
    <t>Load with SF =</t>
  </si>
  <si>
    <t>Based on aproximate delta from E24 w/ FOS</t>
  </si>
  <si>
    <t>120 mm</t>
  </si>
  <si>
    <t>140mm</t>
  </si>
  <si>
    <t>outflow diameter (mm) =</t>
  </si>
  <si>
    <t>CFM</t>
  </si>
  <si>
    <t>Air Velocity (ft/s)</t>
  </si>
  <si>
    <t xml:space="preserve">Air Velocity (m/s) </t>
  </si>
  <si>
    <t>Air Velocity (m/s)</t>
  </si>
  <si>
    <r>
      <t>140mm h</t>
    </r>
    <r>
      <rPr>
        <vertAlign val="subscript"/>
        <sz val="11"/>
        <color theme="1"/>
        <rFont val="Calibri"/>
        <family val="2"/>
        <scheme val="minor"/>
      </rPr>
      <t>air</t>
    </r>
  </si>
  <si>
    <r>
      <t>120mm h</t>
    </r>
    <r>
      <rPr>
        <vertAlign val="subscript"/>
        <sz val="11"/>
        <color theme="1"/>
        <rFont val="Calibri"/>
        <family val="2"/>
        <scheme val="minor"/>
      </rPr>
      <t>air</t>
    </r>
  </si>
  <si>
    <t>Water Velocity (L/m)</t>
  </si>
  <si>
    <r>
      <t>Water Velocity 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/s)</t>
    </r>
  </si>
  <si>
    <t>Water Velocity (m/s)</t>
  </si>
  <si>
    <r>
      <t>h</t>
    </r>
    <r>
      <rPr>
        <vertAlign val="subscript"/>
        <sz val="11"/>
        <color theme="1"/>
        <rFont val="Calibri"/>
        <family val="2"/>
        <scheme val="minor"/>
      </rPr>
      <t>water</t>
    </r>
  </si>
  <si>
    <t>Overall HTC 140mm (U)</t>
  </si>
  <si>
    <t>Overall HTC 120mm (U)</t>
  </si>
  <si>
    <r>
      <t>Coolant In (</t>
    </r>
    <r>
      <rPr>
        <sz val="11"/>
        <color theme="1"/>
        <rFont val="Aptos Narrow"/>
        <family val="2"/>
      </rPr>
      <t>º</t>
    </r>
    <r>
      <rPr>
        <sz val="11"/>
        <color theme="1"/>
        <rFont val="Calibri"/>
        <family val="2"/>
      </rPr>
      <t>C)</t>
    </r>
  </si>
  <si>
    <t>Log Mean Temp Diff.</t>
  </si>
  <si>
    <r>
      <t>Q</t>
    </r>
    <r>
      <rPr>
        <vertAlign val="subscript"/>
        <sz val="11"/>
        <color theme="1"/>
        <rFont val="Calibri"/>
        <family val="2"/>
        <scheme val="minor"/>
      </rPr>
      <t xml:space="preserve">max </t>
    </r>
    <r>
      <rPr>
        <sz val="11"/>
        <color theme="1"/>
        <rFont val="Calibri"/>
        <family val="2"/>
        <scheme val="minor"/>
      </rPr>
      <t>240mm T27 (kW)</t>
    </r>
  </si>
  <si>
    <r>
      <t>Q</t>
    </r>
    <r>
      <rPr>
        <vertAlign val="subscript"/>
        <sz val="11"/>
        <color theme="1"/>
        <rFont val="Calibri"/>
        <family val="2"/>
        <scheme val="minor"/>
      </rPr>
      <t xml:space="preserve">max </t>
    </r>
    <r>
      <rPr>
        <sz val="11"/>
        <color theme="1"/>
        <rFont val="Calibri"/>
        <family val="2"/>
        <scheme val="minor"/>
      </rPr>
      <t>360mm T27 (kW)</t>
    </r>
  </si>
  <si>
    <r>
      <t>Q</t>
    </r>
    <r>
      <rPr>
        <vertAlign val="subscript"/>
        <sz val="11"/>
        <color theme="1"/>
        <rFont val="Calibri"/>
        <family val="2"/>
        <scheme val="minor"/>
      </rPr>
      <t xml:space="preserve">max </t>
    </r>
    <r>
      <rPr>
        <sz val="11"/>
        <color theme="1"/>
        <rFont val="Calibri"/>
        <family val="2"/>
        <scheme val="minor"/>
      </rPr>
      <t>360mm T38 (kW)</t>
    </r>
  </si>
  <si>
    <r>
      <t>Q</t>
    </r>
    <r>
      <rPr>
        <vertAlign val="subscript"/>
        <sz val="11"/>
        <color theme="1"/>
        <rFont val="Calibri"/>
        <family val="2"/>
        <scheme val="minor"/>
      </rPr>
      <t xml:space="preserve">max </t>
    </r>
    <r>
      <rPr>
        <sz val="11"/>
        <color theme="1"/>
        <rFont val="Calibri"/>
        <family val="2"/>
        <scheme val="minor"/>
      </rPr>
      <t>420mm T27 (kW)</t>
    </r>
  </si>
  <si>
    <r>
      <t>Q</t>
    </r>
    <r>
      <rPr>
        <vertAlign val="subscript"/>
        <sz val="11"/>
        <color theme="1"/>
        <rFont val="Calibri"/>
        <family val="2"/>
        <scheme val="minor"/>
      </rPr>
      <t xml:space="preserve">max </t>
    </r>
    <r>
      <rPr>
        <sz val="11"/>
        <color theme="1"/>
        <rFont val="Calibri"/>
        <family val="2"/>
        <scheme val="minor"/>
      </rPr>
      <t>420mm T38 (kW)</t>
    </r>
  </si>
  <si>
    <t xml:space="preserve">12V Fans </t>
  </si>
  <si>
    <t>Run Time</t>
  </si>
  <si>
    <t>E-25 Constants For 12V</t>
  </si>
  <si>
    <t xml:space="preserve">Notes </t>
  </si>
  <si>
    <t xml:space="preserve">Size </t>
  </si>
  <si>
    <t xml:space="preserve">Company </t>
  </si>
  <si>
    <t>Model #</t>
  </si>
  <si>
    <t>Max CFM</t>
  </si>
  <si>
    <t xml:space="preserve">Cont. Amps  </t>
  </si>
  <si>
    <t>Link</t>
  </si>
  <si>
    <t>Minutes</t>
  </si>
  <si>
    <t xml:space="preserve">Name </t>
  </si>
  <si>
    <t xml:space="preserve">Part </t>
  </si>
  <si>
    <t xml:space="preserve">Variable </t>
  </si>
  <si>
    <t xml:space="preserve">Unit </t>
  </si>
  <si>
    <t xml:space="preserve">All values based on rated max from data sheet </t>
  </si>
  <si>
    <t>120mm</t>
  </si>
  <si>
    <t>ebmpapst</t>
  </si>
  <si>
    <t>4112NH4</t>
  </si>
  <si>
    <t>here</t>
  </si>
  <si>
    <t>Accum Fan</t>
  </si>
  <si>
    <t>A</t>
  </si>
  <si>
    <t>Since same as E24; real life values were taken and considered as seen in "Battery Sizing But Better"</t>
  </si>
  <si>
    <t xml:space="preserve">Everything Else </t>
  </si>
  <si>
    <t xml:space="preserve">Harness </t>
  </si>
  <si>
    <t>Battery (12V)</t>
  </si>
  <si>
    <t>ETX1200</t>
  </si>
  <si>
    <t>Ah</t>
  </si>
  <si>
    <t>ETX900</t>
  </si>
  <si>
    <t xml:space="preserve">San Ace </t>
  </si>
  <si>
    <t>9WV1212P1J001</t>
  </si>
  <si>
    <t xml:space="preserve">Same Sky </t>
  </si>
  <si>
    <t>CFM-A225BF-153-577</t>
  </si>
  <si>
    <t>9GV1412P1H001</t>
  </si>
  <si>
    <t xml:space="preserve">Low Stock </t>
  </si>
  <si>
    <t>9LG1412P5S001</t>
  </si>
  <si>
    <t xml:space="preserve">Non-Stocked </t>
  </si>
  <si>
    <t>San Ace</t>
  </si>
  <si>
    <t>9GV1412P1S001</t>
  </si>
  <si>
    <t>9WL1412P5S001</t>
  </si>
  <si>
    <t xml:space="preserve">Better Availability </t>
  </si>
  <si>
    <t>9WL1412P1A001</t>
  </si>
  <si>
    <t xml:space="preserve">E24 Fans </t>
  </si>
  <si>
    <t>All Values Based on real life tested values (correct pressure drops considered based on E24)</t>
  </si>
  <si>
    <t xml:space="preserve">Accumulator fans tested all in one therefore only a multiplier of 1 </t>
  </si>
  <si>
    <t xml:space="preserve">Component </t>
  </si>
  <si>
    <t>Load (A)</t>
  </si>
  <si>
    <t>Number of Components</t>
  </si>
  <si>
    <t>Total Load (A)</t>
  </si>
  <si>
    <t>FOS Load (A)</t>
  </si>
  <si>
    <t>One rad fan was not working so did the other two individually and took the higher value and added an FOS</t>
  </si>
  <si>
    <t xml:space="preserve">EBP25 </t>
  </si>
  <si>
    <t xml:space="preserve">Ah restricted to maintain above 12.5V (before large drop off) </t>
  </si>
  <si>
    <t>San Ace 9WL1412P1A001</t>
  </si>
  <si>
    <t>Embpapst 4112NH4</t>
  </si>
  <si>
    <t xml:space="preserve">Sensors and Motec </t>
  </si>
  <si>
    <t xml:space="preserve">Batteries </t>
  </si>
  <si>
    <t xml:space="preserve">Run Time (min) </t>
  </si>
  <si>
    <t>Weight (lbs)</t>
  </si>
  <si>
    <t>Run 1 (F)</t>
  </si>
  <si>
    <t>Run 2 (F)</t>
  </si>
  <si>
    <t xml:space="preserve">Stuff </t>
  </si>
  <si>
    <t xml:space="preserve">Radiator in </t>
  </si>
  <si>
    <t xml:space="preserve">Density of water </t>
  </si>
  <si>
    <t>kg/m^3</t>
  </si>
  <si>
    <t xml:space="preserve">Radiator out </t>
  </si>
  <si>
    <t>Specific Heat of water</t>
  </si>
  <si>
    <t>J/kg*c</t>
  </si>
  <si>
    <t xml:space="preserve">Inverter in </t>
  </si>
  <si>
    <t xml:space="preserve">inverter out </t>
  </si>
  <si>
    <t>Run 3 (F)</t>
  </si>
  <si>
    <t>Run 1 ©</t>
  </si>
  <si>
    <t>Run 2 ©</t>
  </si>
  <si>
    <t>Run 3 ©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</si>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</sst>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vertAlign val="subscript"/>
      <sz val="11"/>
      <color theme="1"/>
      <name val="Calibri"/>
      <family val="2"/>
    </font>
    <font>
      <sz val="7.7"/>
      <color theme="1"/>
      <name val="Calibri"/>
      <family val="2"/>
    </font>
    <font>
      <sz val="11"/>
      <color rgb="FF9C0006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7CE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8" fillId="12" borderId="0" applyNumberFormat="0" applyBorder="0" applyAlignment="0" applyProtection="0"/>
  </cellStyleXfs>
  <cellXfs count="142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4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0" xfId="0" applyBorder="1"/>
    <xf numFmtId="0" fontId="0" fillId="0" borderId="20" xfId="0" applyBorder="1" applyAlignment="1">
      <alignment horizontal="left"/>
    </xf>
    <xf numFmtId="0" fontId="0" fillId="0" borderId="21" xfId="0" applyBorder="1"/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right"/>
    </xf>
    <xf numFmtId="0" fontId="0" fillId="0" borderId="11" xfId="0" applyBorder="1" applyAlignment="1">
      <alignment horizontal="left"/>
    </xf>
    <xf numFmtId="0" fontId="2" fillId="0" borderId="19" xfId="1" applyBorder="1" applyAlignment="1"/>
    <xf numFmtId="0" fontId="0" fillId="0" borderId="2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9" xfId="0" applyBorder="1" applyAlignment="1">
      <alignment horizontal="right"/>
    </xf>
    <xf numFmtId="0" fontId="0" fillId="0" borderId="2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22" xfId="0" applyBorder="1"/>
    <xf numFmtId="0" fontId="0" fillId="0" borderId="19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Border="1"/>
    <xf numFmtId="0" fontId="0" fillId="0" borderId="15" xfId="0" applyBorder="1"/>
    <xf numFmtId="0" fontId="0" fillId="0" borderId="22" xfId="0" applyBorder="1" applyAlignment="1">
      <alignment horizontal="right"/>
    </xf>
    <xf numFmtId="0" fontId="0" fillId="0" borderId="15" xfId="0" applyBorder="1" applyAlignment="1">
      <alignment horizontal="left"/>
    </xf>
    <xf numFmtId="0" fontId="0" fillId="6" borderId="0" xfId="0" applyFill="1" applyAlignment="1">
      <alignment horizontal="left"/>
    </xf>
    <xf numFmtId="0" fontId="0" fillId="6" borderId="21" xfId="0" applyFill="1" applyBorder="1" applyAlignment="1">
      <alignment horizontal="left"/>
    </xf>
    <xf numFmtId="0" fontId="0" fillId="8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13" xfId="0" applyFill="1" applyBorder="1" applyAlignment="1">
      <alignment horizontal="center"/>
    </xf>
    <xf numFmtId="0" fontId="0" fillId="0" borderId="14" xfId="0" applyBorder="1"/>
    <xf numFmtId="0" fontId="0" fillId="7" borderId="13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0" xfId="0" applyFill="1"/>
    <xf numFmtId="0" fontId="0" fillId="10" borderId="0" xfId="0" applyFill="1"/>
    <xf numFmtId="0" fontId="0" fillId="10" borderId="14" xfId="0" applyFill="1" applyBorder="1"/>
    <xf numFmtId="0" fontId="0" fillId="10" borderId="14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0" borderId="5" xfId="0" applyBorder="1" applyAlignment="1">
      <alignment horizontal="right"/>
    </xf>
    <xf numFmtId="0" fontId="0" fillId="0" borderId="7" xfId="0" applyBorder="1" applyAlignment="1">
      <alignment horizontal="center"/>
    </xf>
    <xf numFmtId="0" fontId="0" fillId="11" borderId="0" xfId="0" applyFill="1" applyAlignment="1">
      <alignment horizontal="center"/>
    </xf>
    <xf numFmtId="0" fontId="0" fillId="0" borderId="22" xfId="0" applyBorder="1" applyAlignment="1">
      <alignment horizontal="left"/>
    </xf>
    <xf numFmtId="0" fontId="4" fillId="0" borderId="8" xfId="0" applyFont="1" applyBorder="1" applyAlignment="1">
      <alignment horizontal="right"/>
    </xf>
    <xf numFmtId="0" fontId="2" fillId="0" borderId="9" xfId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7" xfId="1" applyBorder="1" applyAlignment="1">
      <alignment horizontal="center"/>
    </xf>
    <xf numFmtId="0" fontId="0" fillId="0" borderId="19" xfId="0" applyBorder="1"/>
    <xf numFmtId="0" fontId="8" fillId="12" borderId="11" xfId="2" applyBorder="1" applyAlignment="1">
      <alignment horizontal="left"/>
    </xf>
    <xf numFmtId="0" fontId="0" fillId="11" borderId="13" xfId="0" applyFill="1" applyBorder="1" applyAlignment="1">
      <alignment horizontal="center"/>
    </xf>
    <xf numFmtId="0" fontId="0" fillId="11" borderId="14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11" borderId="22" xfId="0" applyFill="1" applyBorder="1" applyAlignment="1">
      <alignment horizontal="center"/>
    </xf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3" borderId="22" xfId="0" applyFill="1" applyBorder="1" applyAlignment="1">
      <alignment horizontal="center"/>
    </xf>
    <xf numFmtId="0" fontId="0" fillId="0" borderId="21" xfId="0" applyBorder="1" applyAlignment="1">
      <alignment horizontal="left"/>
    </xf>
    <xf numFmtId="0" fontId="0" fillId="13" borderId="22" xfId="0" applyFill="1" applyBorder="1" applyAlignment="1">
      <alignment horizontal="center"/>
    </xf>
    <xf numFmtId="0" fontId="9" fillId="0" borderId="0" xfId="0" applyFont="1"/>
    <xf numFmtId="0" fontId="9" fillId="13" borderId="38" xfId="0" applyFont="1" applyFill="1" applyBorder="1"/>
    <xf numFmtId="0" fontId="9" fillId="13" borderId="39" xfId="0" applyFont="1" applyFill="1" applyBorder="1"/>
    <xf numFmtId="0" fontId="9" fillId="13" borderId="7" xfId="0" applyFont="1" applyFill="1" applyBorder="1"/>
    <xf numFmtId="0" fontId="9" fillId="0" borderId="40" xfId="0" applyFont="1" applyBorder="1"/>
    <xf numFmtId="0" fontId="9" fillId="0" borderId="36" xfId="0" applyFont="1" applyBorder="1"/>
    <xf numFmtId="164" fontId="9" fillId="0" borderId="37" xfId="0" applyNumberFormat="1" applyFont="1" applyBorder="1"/>
    <xf numFmtId="0" fontId="9" fillId="0" borderId="27" xfId="0" applyFont="1" applyBorder="1"/>
    <xf numFmtId="0" fontId="9" fillId="0" borderId="1" xfId="0" applyFont="1" applyBorder="1"/>
    <xf numFmtId="164" fontId="9" fillId="0" borderId="28" xfId="0" applyNumberFormat="1" applyFont="1" applyBorder="1"/>
    <xf numFmtId="0" fontId="9" fillId="0" borderId="29" xfId="0" applyFont="1" applyBorder="1"/>
    <xf numFmtId="0" fontId="9" fillId="0" borderId="35" xfId="0" applyFont="1" applyBorder="1"/>
    <xf numFmtId="164" fontId="9" fillId="0" borderId="30" xfId="0" applyNumberFormat="1" applyFont="1" applyBorder="1"/>
    <xf numFmtId="0" fontId="9" fillId="13" borderId="40" xfId="0" applyFont="1" applyFill="1" applyBorder="1"/>
    <xf numFmtId="0" fontId="9" fillId="13" borderId="36" xfId="0" applyFont="1" applyFill="1" applyBorder="1"/>
    <xf numFmtId="0" fontId="9" fillId="13" borderId="37" xfId="0" applyFont="1" applyFill="1" applyBorder="1"/>
    <xf numFmtId="164" fontId="9" fillId="0" borderId="1" xfId="0" applyNumberFormat="1" applyFont="1" applyBorder="1"/>
    <xf numFmtId="0" fontId="9" fillId="0" borderId="28" xfId="0" applyFont="1" applyBorder="1"/>
    <xf numFmtId="0" fontId="9" fillId="0" borderId="30" xfId="0" applyFont="1" applyBorder="1"/>
    <xf numFmtId="0" fontId="0" fillId="3" borderId="2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1" borderId="14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11" borderId="23" xfId="0" applyFill="1" applyBorder="1" applyAlignment="1">
      <alignment horizontal="center"/>
    </xf>
    <xf numFmtId="0" fontId="0" fillId="11" borderId="24" xfId="0" applyFill="1" applyBorder="1" applyAlignment="1">
      <alignment horizontal="center"/>
    </xf>
  </cellXfs>
  <cellStyles count="3">
    <cellStyle name="Bad" xfId="2" builtinId="27"/>
    <cellStyle name="Hyperlink" xfId="1" builtinId="8"/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Qmax vs CFM of Various Radiators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'Radiator Max Capable Load'!$X$33</c:f>
              <c:strCache>
                <c:ptCount val="1"/>
                <c:pt idx="0">
                  <c:v>Qmax 360mm T27 (kW)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'Radiator Max Capable Load'!$A$34:$A$94</c:f>
              <c:numCache>
                <c:formatCode>General</c:formatCode>
                <c:ptCount val="6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</c:numCache>
            </c:numRef>
          </c:xVal>
          <c:yVal>
            <c:numRef>
              <c:f>'Radiator Max Capable Load'!$X$34:$X$94</c:f>
              <c:numCache>
                <c:formatCode>General</c:formatCode>
                <c:ptCount val="61"/>
                <c:pt idx="0">
                  <c:v>0</c:v>
                </c:pt>
                <c:pt idx="1">
                  <c:v>2.0938341197454453</c:v>
                </c:pt>
                <c:pt idx="2">
                  <c:v>2.969489296706656</c:v>
                </c:pt>
                <c:pt idx="3">
                  <c:v>3.6460618499690765</c:v>
                </c:pt>
                <c:pt idx="4">
                  <c:v>4.2198351279736759</c:v>
                </c:pt>
                <c:pt idx="5">
                  <c:v>4.7280193439624716</c:v>
                </c:pt>
                <c:pt idx="6">
                  <c:v>5.1896641762566711</c:v>
                </c:pt>
                <c:pt idx="7">
                  <c:v>5.6160689939599431</c:v>
                </c:pt>
                <c:pt idx="8">
                  <c:v>6.0145863284845387</c:v>
                </c:pt>
                <c:pt idx="9">
                  <c:v>6.3903173508687017</c:v>
                </c:pt>
                <c:pt idx="10">
                  <c:v>6.7469723445413372</c:v>
                </c:pt>
                <c:pt idx="11">
                  <c:v>7.0873496593236549</c:v>
                </c:pt>
                <c:pt idx="12">
                  <c:v>7.4136214978429251</c:v>
                </c:pt>
                <c:pt idx="13">
                  <c:v>7.7275139736606899</c:v>
                </c:pt>
                <c:pt idx="14">
                  <c:v>8.0304256364141544</c:v>
                </c:pt>
                <c:pt idx="15">
                  <c:v>8.3235083592662509</c:v>
                </c:pt>
                <c:pt idx="16">
                  <c:v>8.6077242369741729</c:v>
                </c:pt>
                <c:pt idx="17">
                  <c:v>8.8838866540310359</c:v>
                </c:pt>
                <c:pt idx="18">
                  <c:v>9.1526905928066036</c:v>
                </c:pt>
                <c:pt idx="19">
                  <c:v>9.4147354378998749</c:v>
                </c:pt>
                <c:pt idx="20">
                  <c:v>9.6705424289484672</c:v>
                </c:pt>
                <c:pt idx="21">
                  <c:v>9.920568220693557</c:v>
                </c:pt>
                <c:pt idx="22">
                  <c:v>10.165215561308298</c:v>
                </c:pt>
                <c:pt idx="23">
                  <c:v>10.404841803669092</c:v>
                </c:pt>
                <c:pt idx="24">
                  <c:v>10.639765763819998</c:v>
                </c:pt>
                <c:pt idx="25">
                  <c:v>10.870273302629053</c:v>
                </c:pt>
                <c:pt idx="26">
                  <c:v>11.096621909567183</c:v>
                </c:pt>
                <c:pt idx="27">
                  <c:v>11.31904449828242</c:v>
                </c:pt>
                <c:pt idx="28">
                  <c:v>11.537752573496105</c:v>
                </c:pt>
                <c:pt idx="29">
                  <c:v>11.752938891948556</c:v>
                </c:pt>
                <c:pt idx="30">
                  <c:v>11.964779712781032</c:v>
                </c:pt>
                <c:pt idx="31">
                  <c:v>12.173436712194817</c:v>
                </c:pt>
                <c:pt idx="32">
                  <c:v>12.379058621624681</c:v>
                </c:pt>
                <c:pt idx="33">
                  <c:v>12.581782636696921</c:v>
                </c:pt>
                <c:pt idx="34">
                  <c:v>12.781735634980542</c:v>
                </c:pt>
                <c:pt idx="35">
                  <c:v>12.979035233310782</c:v>
                </c:pt>
                <c:pt idx="36">
                  <c:v>13.17379070977608</c:v>
                </c:pt>
                <c:pt idx="37">
                  <c:v>13.366103810950943</c:v>
                </c:pt>
                <c:pt idx="38">
                  <c:v>13.556069461357687</c:v>
                </c:pt>
                <c:pt idx="39">
                  <c:v>13.743776389248447</c:v>
                </c:pt>
                <c:pt idx="40">
                  <c:v>13.929307680459797</c:v>
                </c:pt>
                <c:pt idx="41">
                  <c:v>14.112741270191092</c:v>
                </c:pt>
                <c:pt idx="42">
                  <c:v>14.294150381001874</c:v>
                </c:pt>
                <c:pt idx="43">
                  <c:v>14.473603914044933</c:v>
                </c:pt>
                <c:pt idx="44">
                  <c:v>14.651166799495238</c:v>
                </c:pt>
                <c:pt idx="45">
                  <c:v>14.82690031125731</c:v>
                </c:pt>
                <c:pt idx="46">
                  <c:v>15.000862350302548</c:v>
                </c:pt>
                <c:pt idx="47">
                  <c:v>15.173107700374814</c:v>
                </c:pt>
                <c:pt idx="48">
                  <c:v>15.343688259287704</c:v>
                </c:pt>
                <c:pt idx="49">
                  <c:v>15.512653248601628</c:v>
                </c:pt>
                <c:pt idx="50">
                  <c:v>15.680049404100183</c:v>
                </c:pt>
                <c:pt idx="51">
                  <c:v>15.845921149171856</c:v>
                </c:pt>
                <c:pt idx="52">
                  <c:v>16.010310752935307</c:v>
                </c:pt>
                <c:pt idx="53">
                  <c:v>16.17325847471756</c:v>
                </c:pt>
                <c:pt idx="54">
                  <c:v>16.33480269629743</c:v>
                </c:pt>
                <c:pt idx="55">
                  <c:v>16.494980043157188</c:v>
                </c:pt>
                <c:pt idx="56">
                  <c:v>16.653825495838753</c:v>
                </c:pt>
                <c:pt idx="57">
                  <c:v>16.811372492373977</c:v>
                </c:pt>
                <c:pt idx="58">
                  <c:v>16.967653022648143</c:v>
                </c:pt>
                <c:pt idx="59">
                  <c:v>17.12269771545991</c:v>
                </c:pt>
                <c:pt idx="60">
                  <c:v>17.276535918956913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8B5-40B7-96CA-6B40CBF86F14}"/>
            </c:ext>
          </c:extLst>
        </c:ser>
        <c:ser>
          <c:idx val="1"/>
          <c:order val="1"/>
          <c:tx>
            <c:strRef>
              <c:f>'Radiator Max Capable Load'!$AB$33</c:f>
              <c:strCache>
                <c:ptCount val="1"/>
                <c:pt idx="0">
                  <c:v>Qmax 420mm T27 (kW)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'Radiator Max Capable Load'!$A$34:$A$94</c:f>
              <c:numCache>
                <c:formatCode>General</c:formatCode>
                <c:ptCount val="6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</c:numCache>
            </c:numRef>
          </c:xVal>
          <c:yVal>
            <c:numRef>
              <c:f>'Radiator Max Capable Load'!$AB$34:$AB$94</c:f>
              <c:numCache>
                <c:formatCode>General</c:formatCode>
                <c:ptCount val="61"/>
                <c:pt idx="0">
                  <c:v>0</c:v>
                </c:pt>
                <c:pt idx="1">
                  <c:v>2.5362121828842716</c:v>
                </c:pt>
                <c:pt idx="2">
                  <c:v>3.5943788509906871</c:v>
                </c:pt>
                <c:pt idx="3">
                  <c:v>4.4107863189908008</c:v>
                </c:pt>
                <c:pt idx="4">
                  <c:v>5.1023425544853271</c:v>
                </c:pt>
                <c:pt idx="5">
                  <c:v>5.7142435386127568</c:v>
                </c:pt>
                <c:pt idx="6">
                  <c:v>6.2696327854573832</c:v>
                </c:pt>
                <c:pt idx="7">
                  <c:v>6.7822404482513106</c:v>
                </c:pt>
                <c:pt idx="8">
                  <c:v>7.2610020485572218</c:v>
                </c:pt>
                <c:pt idx="9">
                  <c:v>7.7121177161483656</c:v>
                </c:pt>
                <c:pt idx="10">
                  <c:v>8.1400974277316163</c:v>
                </c:pt>
                <c:pt idx="11">
                  <c:v>8.5483428804472457</c:v>
                </c:pt>
                <c:pt idx="12">
                  <c:v>8.9394947297769178</c:v>
                </c:pt>
                <c:pt idx="13">
                  <c:v>9.3156513880508118</c:v>
                </c:pt>
                <c:pt idx="14">
                  <c:v>9.6785130647852657</c:v>
                </c:pt>
                <c:pt idx="15">
                  <c:v>10.029480075681908</c:v>
                </c:pt>
                <c:pt idx="16">
                  <c:v>10.369722001034731</c:v>
                </c:pt>
                <c:pt idx="17">
                  <c:v>10.700227606927989</c:v>
                </c:pt>
                <c:pt idx="18">
                  <c:v>11.021841689437681</c:v>
                </c:pt>
                <c:pt idx="19">
                  <c:v>11.335292798583765</c:v>
                </c:pt>
                <c:pt idx="20">
                  <c:v>11.641214457485555</c:v>
                </c:pt>
                <c:pt idx="21">
                  <c:v>11.940161649597377</c:v>
                </c:pt>
                <c:pt idx="22">
                  <c:v>12.232623802776477</c:v>
                </c:pt>
                <c:pt idx="23">
                  <c:v>12.519035138836013</c:v>
                </c:pt>
                <c:pt idx="24">
                  <c:v>12.799783013659924</c:v>
                </c:pt>
                <c:pt idx="25">
                  <c:v>13.075214704934092</c:v>
                </c:pt>
                <c:pt idx="26">
                  <c:v>13.345642986571729</c:v>
                </c:pt>
                <c:pt idx="27">
                  <c:v>13.611350744730471</c:v>
                </c:pt>
                <c:pt idx="28">
                  <c:v>13.872594829365298</c:v>
                </c:pt>
                <c:pt idx="29">
                  <c:v>14.129609290529274</c:v>
                </c:pt>
                <c:pt idx="30">
                  <c:v>14.382608115397915</c:v>
                </c:pt>
                <c:pt idx="31">
                  <c:v>14.631787557016107</c:v>
                </c:pt>
                <c:pt idx="32">
                  <c:v>14.877328126796295</c:v>
                </c:pt>
                <c:pt idx="33">
                  <c:v>15.119396308247905</c:v>
                </c:pt>
                <c:pt idx="34">
                  <c:v>15.35814603815728</c:v>
                </c:pt>
                <c:pt idx="35">
                  <c:v>15.593719992647557</c:v>
                </c:pt>
                <c:pt idx="36">
                  <c:v>15.826250708631749</c:v>
                </c:pt>
                <c:pt idx="37">
                  <c:v>16.05586156569009</c:v>
                </c:pt>
                <c:pt idx="38">
                  <c:v>16.282667649025854</c:v>
                </c:pt>
                <c:pt idx="39">
                  <c:v>16.506776510637323</c:v>
                </c:pt>
                <c:pt idx="40">
                  <c:v>16.728288842999795</c:v>
                </c:pt>
                <c:pt idx="41">
                  <c:v>16.947299077238856</c:v>
                </c:pt>
                <c:pt idx="42">
                  <c:v>17.163895915884396</c:v>
                </c:pt>
                <c:pt idx="43">
                  <c:v>17.378162808739908</c:v>
                </c:pt>
                <c:pt idx="44">
                  <c:v>17.590178379116388</c:v>
                </c:pt>
                <c:pt idx="45">
                  <c:v>17.800016806613325</c:v>
                </c:pt>
                <c:pt idx="46">
                  <c:v>18.007748171739539</c:v>
                </c:pt>
                <c:pt idx="47">
                  <c:v>18.213438766921396</c:v>
                </c:pt>
                <c:pt idx="48">
                  <c:v>18.417151377819263</c:v>
                </c:pt>
                <c:pt idx="49">
                  <c:v>18.618945538343706</c:v>
                </c:pt>
                <c:pt idx="50">
                  <c:v>18.818877762314788</c:v>
                </c:pt>
                <c:pt idx="51">
                  <c:v>19.017001754326138</c:v>
                </c:pt>
                <c:pt idx="52">
                  <c:v>19.213368602050139</c:v>
                </c:pt>
                <c:pt idx="53">
                  <c:v>19.408026951941885</c:v>
                </c:pt>
                <c:pt idx="54">
                  <c:v>19.601023170059992</c:v>
                </c:pt>
                <c:pt idx="55">
                  <c:v>19.792401489516376</c:v>
                </c:pt>
                <c:pt idx="56">
                  <c:v>19.982204145888691</c:v>
                </c:pt>
                <c:pt idx="57">
                  <c:v>20.170471501774816</c:v>
                </c:pt>
                <c:pt idx="58">
                  <c:v>20.357242161534696</c:v>
                </c:pt>
                <c:pt idx="59">
                  <c:v>20.542553077147829</c:v>
                </c:pt>
                <c:pt idx="60">
                  <c:v>20.726439646012871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8B5-40B7-96CA-6B40CBF86F14}"/>
            </c:ext>
          </c:extLst>
        </c:ser>
        <c:ser>
          <c:idx val="2"/>
          <c:order val="2"/>
          <c:tx>
            <c:strRef>
              <c:f>'Radiator Max Capable Load'!$AD$33</c:f>
              <c:strCache>
                <c:ptCount val="1"/>
                <c:pt idx="0">
                  <c:v>Qmax 420mm T38 (kW)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'Radiator Max Capable Load'!$A$34:$A$94</c:f>
              <c:numCache>
                <c:formatCode>General</c:formatCode>
                <c:ptCount val="6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</c:numCache>
            </c:numRef>
          </c:xVal>
          <c:yVal>
            <c:numRef>
              <c:f>'Radiator Max Capable Load'!$AD$34:$AD$94</c:f>
              <c:numCache>
                <c:formatCode>General</c:formatCode>
                <c:ptCount val="61"/>
                <c:pt idx="0">
                  <c:v>0</c:v>
                </c:pt>
                <c:pt idx="1">
                  <c:v>3.5694838129482345</c:v>
                </c:pt>
                <c:pt idx="2">
                  <c:v>5.0587554199128189</c:v>
                </c:pt>
                <c:pt idx="3">
                  <c:v>6.2077733378389048</c:v>
                </c:pt>
                <c:pt idx="4">
                  <c:v>7.1810747063126827</c:v>
                </c:pt>
                <c:pt idx="5">
                  <c:v>8.0422686839735089</c:v>
                </c:pt>
                <c:pt idx="6">
                  <c:v>8.8239276239770597</c:v>
                </c:pt>
                <c:pt idx="7">
                  <c:v>9.5453754456870286</c:v>
                </c:pt>
                <c:pt idx="8">
                  <c:v>10.219188068339793</c:v>
                </c:pt>
                <c:pt idx="9">
                  <c:v>10.854091600505107</c:v>
                </c:pt>
                <c:pt idx="10">
                  <c:v>11.456433416807458</c:v>
                </c:pt>
                <c:pt idx="11">
                  <c:v>12.031001090999826</c:v>
                </c:pt>
                <c:pt idx="12">
                  <c:v>12.581511101167514</c:v>
                </c:pt>
                <c:pt idx="13">
                  <c:v>13.110916768367808</c:v>
                </c:pt>
                <c:pt idx="14">
                  <c:v>13.621610980068153</c:v>
                </c:pt>
                <c:pt idx="15">
                  <c:v>14.115564550959723</c:v>
                </c:pt>
                <c:pt idx="16">
                  <c:v>14.594423557011842</c:v>
                </c:pt>
                <c:pt idx="17">
                  <c:v>15.059579594935688</c:v>
                </c:pt>
                <c:pt idx="18">
                  <c:v>15.512221636986364</c:v>
                </c:pt>
                <c:pt idx="19">
                  <c:v>15.95337504985863</c:v>
                </c:pt>
                <c:pt idx="20">
                  <c:v>16.383931458683374</c:v>
                </c:pt>
                <c:pt idx="21">
                  <c:v>16.804671951285197</c:v>
                </c:pt>
                <c:pt idx="22">
                  <c:v>17.216285352055781</c:v>
                </c:pt>
                <c:pt idx="23">
                  <c:v>17.619382787991427</c:v>
                </c:pt>
                <c:pt idx="24">
                  <c:v>18.014509426632486</c:v>
                </c:pt>
                <c:pt idx="25">
                  <c:v>18.4021540291665</c:v>
                </c:pt>
                <c:pt idx="26">
                  <c:v>18.782756795915766</c:v>
                </c:pt>
                <c:pt idx="27">
                  <c:v>19.156715862953995</c:v>
                </c:pt>
                <c:pt idx="28">
                  <c:v>19.524392722810418</c:v>
                </c:pt>
                <c:pt idx="29">
                  <c:v>19.886116779263421</c:v>
                </c:pt>
                <c:pt idx="30">
                  <c:v>20.242189199448916</c:v>
                </c:pt>
                <c:pt idx="31">
                  <c:v>20.592886191356001</c:v>
                </c:pt>
                <c:pt idx="32">
                  <c:v>20.938461808083673</c:v>
                </c:pt>
                <c:pt idx="33">
                  <c:v>21.279150359756311</c:v>
                </c:pt>
                <c:pt idx="34">
                  <c:v>21.615168498147284</c:v>
                </c:pt>
                <c:pt idx="35">
                  <c:v>21.946717026689154</c:v>
                </c:pt>
                <c:pt idx="36">
                  <c:v>22.273982478815054</c:v>
                </c:pt>
                <c:pt idx="37">
                  <c:v>22.597138499860126</c:v>
                </c:pt>
                <c:pt idx="38">
                  <c:v>22.916347061591939</c:v>
                </c:pt>
                <c:pt idx="39">
                  <c:v>23.231759533489562</c:v>
                </c:pt>
                <c:pt idx="40">
                  <c:v>23.543517630888598</c:v>
                </c:pt>
                <c:pt idx="41">
                  <c:v>23.851754256854687</c:v>
                </c:pt>
                <c:pt idx="42">
                  <c:v>24.156594251985446</c:v>
                </c:pt>
                <c:pt idx="43">
                  <c:v>24.458155064152464</c:v>
                </c:pt>
                <c:pt idx="44">
                  <c:v>24.756547348386029</c:v>
                </c:pt>
                <c:pt idx="45">
                  <c:v>25.051875505603942</c:v>
                </c:pt>
                <c:pt idx="46">
                  <c:v>25.344238167633424</c:v>
                </c:pt>
                <c:pt idx="47">
                  <c:v>25.63372863492641</c:v>
                </c:pt>
                <c:pt idx="48">
                  <c:v>25.920435272486365</c:v>
                </c:pt>
                <c:pt idx="49">
                  <c:v>26.204441868780034</c:v>
                </c:pt>
                <c:pt idx="50">
                  <c:v>26.485827961776366</c:v>
                </c:pt>
                <c:pt idx="51">
                  <c:v>26.764669135718268</c:v>
                </c:pt>
                <c:pt idx="52">
                  <c:v>27.041037291774266</c:v>
                </c:pt>
                <c:pt idx="53">
                  <c:v>27.315000895325618</c:v>
                </c:pt>
                <c:pt idx="54">
                  <c:v>27.586625202306656</c:v>
                </c:pt>
                <c:pt idx="55">
                  <c:v>27.855972466726747</c:v>
                </c:pt>
                <c:pt idx="56">
                  <c:v>28.12310213125075</c:v>
                </c:pt>
                <c:pt idx="57">
                  <c:v>28.388071002497888</c:v>
                </c:pt>
                <c:pt idx="58">
                  <c:v>28.650933412530314</c:v>
                </c:pt>
                <c:pt idx="59">
                  <c:v>28.911741367837685</c:v>
                </c:pt>
                <c:pt idx="60">
                  <c:v>29.170544686981078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8B5-40B7-96CA-6B40CBF86F14}"/>
            </c:ext>
          </c:extLst>
        </c:ser>
        <c:ser>
          <c:idx val="4"/>
          <c:order val="3"/>
          <c:tx>
            <c:strRef>
              <c:f>'Radiator Max Capable Load'!$V$33</c:f>
              <c:strCache>
                <c:ptCount val="1"/>
                <c:pt idx="0">
                  <c:v>Qmax 240mm T27 (kW)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'Radiator Max Capable Load'!$A$34:$A$94</c:f>
              <c:numCache>
                <c:formatCode>General</c:formatCode>
                <c:ptCount val="6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</c:numCache>
            </c:numRef>
          </c:xVal>
          <c:yVal>
            <c:numRef>
              <c:f>'Radiator Max Capable Load'!$V$34:$V$94</c:f>
              <c:numCache>
                <c:formatCode>General</c:formatCode>
                <c:ptCount val="61"/>
                <c:pt idx="0">
                  <c:v>0</c:v>
                </c:pt>
                <c:pt idx="1">
                  <c:v>1.3958894131636304</c:v>
                </c:pt>
                <c:pt idx="2">
                  <c:v>1.9796595311377709</c:v>
                </c:pt>
                <c:pt idx="3">
                  <c:v>2.4307078999793843</c:v>
                </c:pt>
                <c:pt idx="4">
                  <c:v>2.8132234186491174</c:v>
                </c:pt>
                <c:pt idx="5">
                  <c:v>3.1520128959749809</c:v>
                </c:pt>
                <c:pt idx="6">
                  <c:v>3.4597761175044477</c:v>
                </c:pt>
                <c:pt idx="7">
                  <c:v>3.7440459959732961</c:v>
                </c:pt>
                <c:pt idx="8">
                  <c:v>4.0097242189896924</c:v>
                </c:pt>
                <c:pt idx="9">
                  <c:v>4.2602115672458014</c:v>
                </c:pt>
                <c:pt idx="10">
                  <c:v>4.4979815630275581</c:v>
                </c:pt>
                <c:pt idx="11">
                  <c:v>4.724899772882436</c:v>
                </c:pt>
                <c:pt idx="12">
                  <c:v>4.9424143318952831</c:v>
                </c:pt>
                <c:pt idx="13">
                  <c:v>5.1516759824404605</c:v>
                </c:pt>
                <c:pt idx="14">
                  <c:v>5.3536170909427705</c:v>
                </c:pt>
                <c:pt idx="15">
                  <c:v>5.549005572844167</c:v>
                </c:pt>
                <c:pt idx="16">
                  <c:v>5.7384828246494495</c:v>
                </c:pt>
                <c:pt idx="17">
                  <c:v>5.9225911026873588</c:v>
                </c:pt>
                <c:pt idx="18">
                  <c:v>6.1017937285377357</c:v>
                </c:pt>
                <c:pt idx="19">
                  <c:v>6.2764902919332499</c:v>
                </c:pt>
                <c:pt idx="20">
                  <c:v>6.4470282859656454</c:v>
                </c:pt>
                <c:pt idx="21">
                  <c:v>6.6137121471290392</c:v>
                </c:pt>
                <c:pt idx="22">
                  <c:v>6.7768103742055317</c:v>
                </c:pt>
                <c:pt idx="23">
                  <c:v>6.936561202446061</c:v>
                </c:pt>
                <c:pt idx="24">
                  <c:v>7.0931771758799993</c:v>
                </c:pt>
                <c:pt idx="25">
                  <c:v>7.2468488684193693</c:v>
                </c:pt>
                <c:pt idx="26">
                  <c:v>7.3977479397114561</c:v>
                </c:pt>
                <c:pt idx="27">
                  <c:v>7.5460296655216146</c:v>
                </c:pt>
                <c:pt idx="28">
                  <c:v>7.6918350489974028</c:v>
                </c:pt>
                <c:pt idx="29">
                  <c:v>7.8352925946323717</c:v>
                </c:pt>
                <c:pt idx="30">
                  <c:v>7.9765198085206883</c:v>
                </c:pt>
                <c:pt idx="31">
                  <c:v>8.1156244747965456</c:v>
                </c:pt>
                <c:pt idx="32">
                  <c:v>8.252705747749788</c:v>
                </c:pt>
                <c:pt idx="33">
                  <c:v>8.3878550911312804</c:v>
                </c:pt>
                <c:pt idx="34">
                  <c:v>8.5211570899870299</c:v>
                </c:pt>
                <c:pt idx="35">
                  <c:v>8.6526901555405207</c:v>
                </c:pt>
                <c:pt idx="36">
                  <c:v>8.7825271398507212</c:v>
                </c:pt>
                <c:pt idx="37">
                  <c:v>8.9107358739672939</c:v>
                </c:pt>
                <c:pt idx="38">
                  <c:v>9.0373796409051259</c:v>
                </c:pt>
                <c:pt idx="39">
                  <c:v>9.1625175928322982</c:v>
                </c:pt>
                <c:pt idx="40">
                  <c:v>9.2862051203065317</c:v>
                </c:pt>
                <c:pt idx="41">
                  <c:v>9.4084941801273967</c:v>
                </c:pt>
                <c:pt idx="42">
                  <c:v>9.5294335873345837</c:v>
                </c:pt>
                <c:pt idx="43">
                  <c:v>9.649069276029957</c:v>
                </c:pt>
                <c:pt idx="44">
                  <c:v>9.7674445329968247</c:v>
                </c:pt>
                <c:pt idx="45">
                  <c:v>9.8846002075048744</c:v>
                </c:pt>
                <c:pt idx="46">
                  <c:v>10.000574900201698</c:v>
                </c:pt>
                <c:pt idx="47">
                  <c:v>10.115405133583209</c:v>
                </c:pt>
                <c:pt idx="48">
                  <c:v>10.229125506191805</c:v>
                </c:pt>
                <c:pt idx="49">
                  <c:v>10.341768832401085</c:v>
                </c:pt>
                <c:pt idx="50">
                  <c:v>10.453366269400123</c:v>
                </c:pt>
                <c:pt idx="51">
                  <c:v>10.563947432781237</c:v>
                </c:pt>
                <c:pt idx="52">
                  <c:v>10.67354050195687</c:v>
                </c:pt>
                <c:pt idx="53">
                  <c:v>10.782172316478373</c:v>
                </c:pt>
                <c:pt idx="54">
                  <c:v>10.889868464198285</c:v>
                </c:pt>
                <c:pt idx="55">
                  <c:v>10.996653362104794</c:v>
                </c:pt>
                <c:pt idx="56">
                  <c:v>11.102550330559168</c:v>
                </c:pt>
                <c:pt idx="57">
                  <c:v>11.207581661582653</c:v>
                </c:pt>
                <c:pt idx="58">
                  <c:v>11.311768681765431</c:v>
                </c:pt>
                <c:pt idx="59">
                  <c:v>11.415131810306606</c:v>
                </c:pt>
                <c:pt idx="60">
                  <c:v>11.517690612637942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D5B-4441-B33B-C339003044D5}"/>
            </c:ext>
          </c:extLst>
        </c:ser>
        <c:ser>
          <c:idx val="5"/>
          <c:order val="4"/>
          <c:tx>
            <c:strRef>
              <c:f>'Radiator Max Capable Load'!$Z$33</c:f>
              <c:strCache>
                <c:ptCount val="1"/>
                <c:pt idx="0">
                  <c:v>Qmax 360mm T38 (kW)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'Radiator Max Capable Load'!$A$34:$A$94</c:f>
              <c:numCache>
                <c:formatCode>General</c:formatCode>
                <c:ptCount val="6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</c:numCache>
            </c:numRef>
          </c:xVal>
          <c:yVal>
            <c:numRef>
              <c:f>'Radiator Max Capable Load'!$Z$34:$Z$94</c:f>
              <c:numCache>
                <c:formatCode>General</c:formatCode>
                <c:ptCount val="61"/>
                <c:pt idx="0">
                  <c:v>0</c:v>
                </c:pt>
                <c:pt idx="1">
                  <c:v>2.9468776500121083</c:v>
                </c:pt>
                <c:pt idx="2">
                  <c:v>4.1792812324019604</c:v>
                </c:pt>
                <c:pt idx="3">
                  <c:v>5.1314944555120334</c:v>
                </c:pt>
                <c:pt idx="4">
                  <c:v>5.9390272171481362</c:v>
                </c:pt>
                <c:pt idx="5">
                  <c:v>6.6542494470582927</c:v>
                </c:pt>
                <c:pt idx="6">
                  <c:v>7.3039718036205006</c:v>
                </c:pt>
                <c:pt idx="7">
                  <c:v>7.9040971026102902</c:v>
                </c:pt>
                <c:pt idx="8">
                  <c:v>8.4649733512004612</c:v>
                </c:pt>
                <c:pt idx="9">
                  <c:v>8.9937799752966914</c:v>
                </c:pt>
                <c:pt idx="10">
                  <c:v>9.4957388552804005</c:v>
                </c:pt>
                <c:pt idx="11">
                  <c:v>9.9747884094184762</c:v>
                </c:pt>
                <c:pt idx="12">
                  <c:v>10.433985811778932</c:v>
                </c:pt>
                <c:pt idx="13">
                  <c:v>10.875760407374305</c:v>
                </c:pt>
                <c:pt idx="14">
                  <c:v>11.302080525323627</c:v>
                </c:pt>
                <c:pt idx="15">
                  <c:v>11.714567320448797</c:v>
                </c:pt>
                <c:pt idx="16">
                  <c:v>12.114574852037725</c:v>
                </c:pt>
                <c:pt idx="17">
                  <c:v>12.503247883451088</c:v>
                </c:pt>
                <c:pt idx="18">
                  <c:v>12.881564538024108</c:v>
                </c:pt>
                <c:pt idx="19">
                  <c:v>13.250368394081304</c:v>
                </c:pt>
                <c:pt idx="20">
                  <c:v>13.610393048149696</c:v>
                </c:pt>
                <c:pt idx="21">
                  <c:v>13.962281199494637</c:v>
                </c:pt>
                <c:pt idx="22">
                  <c:v>14.306599678878346</c:v>
                </c:pt>
                <c:pt idx="23">
                  <c:v>14.643851427386128</c:v>
                </c:pt>
                <c:pt idx="24">
                  <c:v>14.974485149079998</c:v>
                </c:pt>
                <c:pt idx="25">
                  <c:v>15.298903166663113</c:v>
                </c:pt>
                <c:pt idx="26">
                  <c:v>15.617467872724186</c:v>
                </c:pt>
                <c:pt idx="27">
                  <c:v>15.93050707165674</c:v>
                </c:pt>
                <c:pt idx="28">
                  <c:v>16.238318436772293</c:v>
                </c:pt>
                <c:pt idx="29">
                  <c:v>16.541173255335007</c:v>
                </c:pt>
                <c:pt idx="30">
                  <c:v>16.839319595765897</c:v>
                </c:pt>
                <c:pt idx="31">
                  <c:v>17.13298500234826</c:v>
                </c:pt>
                <c:pt idx="32">
                  <c:v>17.422378800805109</c:v>
                </c:pt>
                <c:pt idx="33">
                  <c:v>17.707694081277147</c:v>
                </c:pt>
                <c:pt idx="34">
                  <c:v>17.989109412194839</c:v>
                </c:pt>
                <c:pt idx="35">
                  <c:v>18.266790328363321</c:v>
                </c:pt>
                <c:pt idx="36">
                  <c:v>18.540890628573745</c:v>
                </c:pt>
                <c:pt idx="37">
                  <c:v>18.81155351170873</c:v>
                </c:pt>
                <c:pt idx="38">
                  <c:v>19.078912575244157</c:v>
                </c:pt>
                <c:pt idx="39">
                  <c:v>19.343092695979298</c:v>
                </c:pt>
                <c:pt idx="40">
                  <c:v>19.604210809536013</c:v>
                </c:pt>
                <c:pt idx="41">
                  <c:v>19.862376602491171</c:v>
                </c:pt>
                <c:pt idx="42">
                  <c:v>20.11769312881745</c:v>
                </c:pt>
                <c:pt idx="43">
                  <c:v>20.370257360507683</c:v>
                </c:pt>
                <c:pt idx="44">
                  <c:v>20.620160680771075</c:v>
                </c:pt>
                <c:pt idx="45">
                  <c:v>20.867489326954733</c:v>
                </c:pt>
                <c:pt idx="46">
                  <c:v>21.112324789314695</c:v>
                </c:pt>
                <c:pt idx="47">
                  <c:v>21.354744170897888</c:v>
                </c:pt>
                <c:pt idx="48">
                  <c:v>21.594820513071582</c:v>
                </c:pt>
                <c:pt idx="49">
                  <c:v>21.832623090624512</c:v>
                </c:pt>
                <c:pt idx="50">
                  <c:v>22.0682176798447</c:v>
                </c:pt>
                <c:pt idx="51">
                  <c:v>22.301666802538165</c:v>
                </c:pt>
                <c:pt idx="52">
                  <c:v>22.533029948575614</c:v>
                </c:pt>
                <c:pt idx="53">
                  <c:v>22.762363779232118</c:v>
                </c:pt>
                <c:pt idx="54">
                  <c:v>22.989722313307492</c:v>
                </c:pt>
                <c:pt idx="55">
                  <c:v>23.215157097776785</c:v>
                </c:pt>
                <c:pt idx="56">
                  <c:v>23.438717364513796</c:v>
                </c:pt>
                <c:pt idx="57">
                  <c:v>23.660450174452269</c:v>
                </c:pt>
                <c:pt idx="58">
                  <c:v>23.880400550393684</c:v>
                </c:pt>
                <c:pt idx="59">
                  <c:v>24.098611599536174</c:v>
                </c:pt>
                <c:pt idx="60">
                  <c:v>24.315124626680099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55-4846-9342-56215A716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527168"/>
        <c:axId val="383528128"/>
      </c:scatterChart>
      <c:valAx>
        <c:axId val="383527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CFM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528128"/>
        <c:crosses val="autoZero"/>
        <c:crossBetween val="midCat"/>
      </c:valAx>
      <c:valAx>
        <c:axId val="38352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Qmax (kW)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527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7" Type="http://schemas.openxmlformats.org/officeDocument/2006/relationships/image" Target="../media/image14.png"/><Relationship Id="rId2" Type="http://schemas.openxmlformats.org/officeDocument/2006/relationships/image" Target="../media/image9.png"/><Relationship Id="rId1" Type="http://schemas.openxmlformats.org/officeDocument/2006/relationships/image" Target="../media/image10.png"/><Relationship Id="rId6" Type="http://schemas.openxmlformats.org/officeDocument/2006/relationships/image" Target="../media/image13.png"/><Relationship Id="rId5" Type="http://schemas.openxmlformats.org/officeDocument/2006/relationships/chart" Target="../charts/chart1.xml"/><Relationship Id="rId4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3" Type="http://schemas.openxmlformats.org/officeDocument/2006/relationships/image" Target="../media/image17.png"/><Relationship Id="rId7" Type="http://schemas.openxmlformats.org/officeDocument/2006/relationships/image" Target="../media/image21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1</xdr:row>
      <xdr:rowOff>66675</xdr:rowOff>
    </xdr:from>
    <xdr:to>
      <xdr:col>7</xdr:col>
      <xdr:colOff>604093</xdr:colOff>
      <xdr:row>14</xdr:row>
      <xdr:rowOff>95090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218045-87A7-C264-65BF-DECDBBA41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6" y="266700"/>
          <a:ext cx="4318842" cy="2562225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15</xdr:row>
      <xdr:rowOff>85725</xdr:rowOff>
    </xdr:from>
    <xdr:to>
      <xdr:col>7</xdr:col>
      <xdr:colOff>490911</xdr:colOff>
      <xdr:row>29</xdr:row>
      <xdr:rowOff>95716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D4D5B8-BCCD-74CC-659A-46F522350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8675" y="2952750"/>
          <a:ext cx="4053261" cy="2705767"/>
        </a:xfrm>
        <a:prstGeom prst="rect">
          <a:avLst/>
        </a:prstGeom>
      </xdr:spPr>
    </xdr:pic>
    <xdr:clientData/>
  </xdr:twoCellAnchor>
  <xdr:twoCellAnchor editAs="oneCell">
    <xdr:from>
      <xdr:col>9</xdr:col>
      <xdr:colOff>51288</xdr:colOff>
      <xdr:row>1</xdr:row>
      <xdr:rowOff>80596</xdr:rowOff>
    </xdr:from>
    <xdr:to>
      <xdr:col>13</xdr:col>
      <xdr:colOff>583222</xdr:colOff>
      <xdr:row>9</xdr:row>
      <xdr:rowOff>48094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DDE8044-23E2-430F-84E9-8CD3675E45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629" t="5409"/>
        <a:stretch/>
      </xdr:blipFill>
      <xdr:spPr>
        <a:xfrm>
          <a:off x="5649057" y="278423"/>
          <a:ext cx="2964473" cy="1524628"/>
        </a:xfrm>
        <a:prstGeom prst="rect">
          <a:avLst/>
        </a:prstGeom>
      </xdr:spPr>
    </xdr:pic>
    <xdr:clientData/>
  </xdr:twoCellAnchor>
  <xdr:twoCellAnchor>
    <xdr:from>
      <xdr:col>10</xdr:col>
      <xdr:colOff>129685</xdr:colOff>
      <xdr:row>15</xdr:row>
      <xdr:rowOff>34412</xdr:rowOff>
    </xdr:from>
    <xdr:to>
      <xdr:col>10</xdr:col>
      <xdr:colOff>510685</xdr:colOff>
      <xdr:row>15</xdr:row>
      <xdr:rowOff>158528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10144C4B-586B-6189-6CE9-0531728663A1}"/>
            </a:ext>
          </a:extLst>
        </xdr:cNvPr>
        <xdr:cNvSpPr/>
      </xdr:nvSpPr>
      <xdr:spPr>
        <a:xfrm>
          <a:off x="6359901" y="2917889"/>
          <a:ext cx="381000" cy="12411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129685</xdr:colOff>
      <xdr:row>15</xdr:row>
      <xdr:rowOff>34412</xdr:rowOff>
    </xdr:from>
    <xdr:to>
      <xdr:col>12</xdr:col>
      <xdr:colOff>510685</xdr:colOff>
      <xdr:row>15</xdr:row>
      <xdr:rowOff>158528</xdr:rowOff>
    </xdr:to>
    <xdr:sp macro="" textlink="">
      <xdr:nvSpPr>
        <xdr:cNvPr id="8" name="Arrow: Right 7">
          <a:extLst>
            <a:ext uri="{FF2B5EF4-FFF2-40B4-BE49-F238E27FC236}">
              <a16:creationId xmlns:a16="http://schemas.microsoft.com/office/drawing/2014/main" id="{0457DFFA-25FB-4837-8732-EF1055650CE9}"/>
            </a:ext>
          </a:extLst>
        </xdr:cNvPr>
        <xdr:cNvSpPr/>
      </xdr:nvSpPr>
      <xdr:spPr>
        <a:xfrm>
          <a:off x="6359901" y="2917889"/>
          <a:ext cx="381000" cy="12411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158260</xdr:colOff>
      <xdr:row>15</xdr:row>
      <xdr:rowOff>34412</xdr:rowOff>
    </xdr:from>
    <xdr:to>
      <xdr:col>14</xdr:col>
      <xdr:colOff>539260</xdr:colOff>
      <xdr:row>15</xdr:row>
      <xdr:rowOff>158528</xdr:rowOff>
    </xdr:to>
    <xdr:sp macro="" textlink="">
      <xdr:nvSpPr>
        <xdr:cNvPr id="9" name="Arrow: Right 8">
          <a:extLst>
            <a:ext uri="{FF2B5EF4-FFF2-40B4-BE49-F238E27FC236}">
              <a16:creationId xmlns:a16="http://schemas.microsoft.com/office/drawing/2014/main" id="{23417E1B-8DEF-4B37-A9FE-C13A7DCA798F}"/>
            </a:ext>
          </a:extLst>
        </xdr:cNvPr>
        <xdr:cNvSpPr/>
      </xdr:nvSpPr>
      <xdr:spPr>
        <a:xfrm>
          <a:off x="8816485" y="2977637"/>
          <a:ext cx="381000" cy="12411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96555</xdr:colOff>
      <xdr:row>15</xdr:row>
      <xdr:rowOff>49696</xdr:rowOff>
    </xdr:from>
    <xdr:to>
      <xdr:col>16</xdr:col>
      <xdr:colOff>578540</xdr:colOff>
      <xdr:row>15</xdr:row>
      <xdr:rowOff>175093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AA851806-6806-4A8B-A771-1C01F9000F57}"/>
            </a:ext>
          </a:extLst>
        </xdr:cNvPr>
        <xdr:cNvSpPr/>
      </xdr:nvSpPr>
      <xdr:spPr>
        <a:xfrm>
          <a:off x="10814251" y="2981739"/>
          <a:ext cx="481985" cy="12539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108119</xdr:colOff>
      <xdr:row>15</xdr:row>
      <xdr:rowOff>41601</xdr:rowOff>
    </xdr:from>
    <xdr:to>
      <xdr:col>23</xdr:col>
      <xdr:colOff>385792</xdr:colOff>
      <xdr:row>15</xdr:row>
      <xdr:rowOff>165717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EFB30D68-34E9-4EC6-96E4-75AFD44E90CF}"/>
            </a:ext>
          </a:extLst>
        </xdr:cNvPr>
        <xdr:cNvSpPr/>
      </xdr:nvSpPr>
      <xdr:spPr>
        <a:xfrm>
          <a:off x="13812138" y="2873941"/>
          <a:ext cx="277673" cy="12411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108119</xdr:colOff>
      <xdr:row>15</xdr:row>
      <xdr:rowOff>41601</xdr:rowOff>
    </xdr:from>
    <xdr:to>
      <xdr:col>25</xdr:col>
      <xdr:colOff>385792</xdr:colOff>
      <xdr:row>15</xdr:row>
      <xdr:rowOff>165717</xdr:rowOff>
    </xdr:to>
    <xdr:sp macro="" textlink="">
      <xdr:nvSpPr>
        <xdr:cNvPr id="13" name="Arrow: Right 12">
          <a:extLst>
            <a:ext uri="{FF2B5EF4-FFF2-40B4-BE49-F238E27FC236}">
              <a16:creationId xmlns:a16="http://schemas.microsoft.com/office/drawing/2014/main" id="{0BC0D1FA-649B-46BD-830B-02516B462CA2}"/>
            </a:ext>
          </a:extLst>
        </xdr:cNvPr>
        <xdr:cNvSpPr/>
      </xdr:nvSpPr>
      <xdr:spPr>
        <a:xfrm>
          <a:off x="13807408" y="2858996"/>
          <a:ext cx="277673" cy="12411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108119</xdr:colOff>
      <xdr:row>15</xdr:row>
      <xdr:rowOff>41601</xdr:rowOff>
    </xdr:from>
    <xdr:to>
      <xdr:col>27</xdr:col>
      <xdr:colOff>385792</xdr:colOff>
      <xdr:row>15</xdr:row>
      <xdr:rowOff>165717</xdr:rowOff>
    </xdr:to>
    <xdr:sp macro="" textlink="">
      <xdr:nvSpPr>
        <xdr:cNvPr id="14" name="Arrow: Right 13">
          <a:extLst>
            <a:ext uri="{FF2B5EF4-FFF2-40B4-BE49-F238E27FC236}">
              <a16:creationId xmlns:a16="http://schemas.microsoft.com/office/drawing/2014/main" id="{1AED9867-14ED-4398-BADF-F4C59EEBDF27}"/>
            </a:ext>
          </a:extLst>
        </xdr:cNvPr>
        <xdr:cNvSpPr/>
      </xdr:nvSpPr>
      <xdr:spPr>
        <a:xfrm>
          <a:off x="13807408" y="2858996"/>
          <a:ext cx="277673" cy="12411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108119</xdr:colOff>
      <xdr:row>15</xdr:row>
      <xdr:rowOff>41601</xdr:rowOff>
    </xdr:from>
    <xdr:to>
      <xdr:col>29</xdr:col>
      <xdr:colOff>385792</xdr:colOff>
      <xdr:row>15</xdr:row>
      <xdr:rowOff>165717</xdr:rowOff>
    </xdr:to>
    <xdr:sp macro="" textlink="">
      <xdr:nvSpPr>
        <xdr:cNvPr id="15" name="Arrow: Right 14">
          <a:extLst>
            <a:ext uri="{FF2B5EF4-FFF2-40B4-BE49-F238E27FC236}">
              <a16:creationId xmlns:a16="http://schemas.microsoft.com/office/drawing/2014/main" id="{22EDE03B-C801-4DCA-BBF5-251F5D85FD09}"/>
            </a:ext>
          </a:extLst>
        </xdr:cNvPr>
        <xdr:cNvSpPr/>
      </xdr:nvSpPr>
      <xdr:spPr>
        <a:xfrm>
          <a:off x="13807408" y="2858996"/>
          <a:ext cx="277673" cy="12411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323850</xdr:colOff>
      <xdr:row>0</xdr:row>
      <xdr:rowOff>104775</xdr:rowOff>
    </xdr:from>
    <xdr:to>
      <xdr:col>17</xdr:col>
      <xdr:colOff>486563</xdr:colOff>
      <xdr:row>9</xdr:row>
      <xdr:rowOff>171699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77508D-6370-DA08-0967-A75E09621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43975" y="104775"/>
          <a:ext cx="5649113" cy="1781424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10</xdr:row>
      <xdr:rowOff>0</xdr:rowOff>
    </xdr:from>
    <xdr:to>
      <xdr:col>5</xdr:col>
      <xdr:colOff>781050</xdr:colOff>
      <xdr:row>12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1B97A5F-9168-B3B8-12F1-21B82CC3EB8A}"/>
            </a:ext>
            <a:ext uri="{147F2762-F138-4A5C-976F-8EAC2B608ADB}">
              <a16:predDERef xmlns:a16="http://schemas.microsoft.com/office/drawing/2014/main" pred="{0F77508D-6370-DA08-0967-A75E09621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" y="1905000"/>
          <a:ext cx="5495925" cy="533400"/>
        </a:xfrm>
        <a:prstGeom prst="rect">
          <a:avLst/>
        </a:prstGeom>
      </xdr:spPr>
    </xdr:pic>
    <xdr:clientData/>
  </xdr:twoCellAnchor>
  <xdr:twoCellAnchor editAs="oneCell">
    <xdr:from>
      <xdr:col>5</xdr:col>
      <xdr:colOff>1038225</xdr:colOff>
      <xdr:row>8</xdr:row>
      <xdr:rowOff>47625</xdr:rowOff>
    </xdr:from>
    <xdr:to>
      <xdr:col>7</xdr:col>
      <xdr:colOff>1552962</xdr:colOff>
      <xdr:row>12</xdr:row>
      <xdr:rowOff>76310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9FF4463-BC1A-DD1D-307C-9B19C4BA4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05425" y="1571625"/>
          <a:ext cx="2772162" cy="790685"/>
        </a:xfrm>
        <a:prstGeom prst="rect">
          <a:avLst/>
        </a:prstGeom>
      </xdr:spPr>
    </xdr:pic>
    <xdr:clientData/>
  </xdr:twoCellAnchor>
  <xdr:twoCellAnchor editAs="oneCell">
    <xdr:from>
      <xdr:col>9</xdr:col>
      <xdr:colOff>266700</xdr:colOff>
      <xdr:row>10</xdr:row>
      <xdr:rowOff>28575</xdr:rowOff>
    </xdr:from>
    <xdr:to>
      <xdr:col>17</xdr:col>
      <xdr:colOff>228600</xdr:colOff>
      <xdr:row>31</xdr:row>
      <xdr:rowOff>77077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46AEA1C-D501-63F9-660D-C6460D0B7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34525" y="1933575"/>
          <a:ext cx="4838700" cy="40490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238125</xdr:colOff>
      <xdr:row>0</xdr:row>
      <xdr:rowOff>190500</xdr:rowOff>
    </xdr:from>
    <xdr:to>
      <xdr:col>13</xdr:col>
      <xdr:colOff>96081</xdr:colOff>
      <xdr:row>5</xdr:row>
      <xdr:rowOff>9634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A509AA-E3B0-C213-FCFD-B5DBDD07A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0350" y="190500"/>
          <a:ext cx="5953956" cy="781159"/>
        </a:xfrm>
        <a:prstGeom prst="rect">
          <a:avLst/>
        </a:prstGeom>
      </xdr:spPr>
    </xdr:pic>
    <xdr:clientData/>
  </xdr:twoCellAnchor>
  <xdr:twoCellAnchor editAs="oneCell">
    <xdr:from>
      <xdr:col>13</xdr:col>
      <xdr:colOff>342900</xdr:colOff>
      <xdr:row>1</xdr:row>
      <xdr:rowOff>133350</xdr:rowOff>
    </xdr:from>
    <xdr:to>
      <xdr:col>17</xdr:col>
      <xdr:colOff>571356</xdr:colOff>
      <xdr:row>4</xdr:row>
      <xdr:rowOff>132065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422DD7-34AE-436A-97D9-690255FDD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01125" y="333375"/>
          <a:ext cx="2666856" cy="5702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152400</xdr:colOff>
      <xdr:row>4</xdr:row>
      <xdr:rowOff>38099</xdr:rowOff>
    </xdr:from>
    <xdr:to>
      <xdr:col>7</xdr:col>
      <xdr:colOff>268311</xdr:colOff>
      <xdr:row>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4446D5-773E-0816-546C-675C135C7F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837" b="13972"/>
        <a:stretch/>
      </xdr:blipFill>
      <xdr:spPr>
        <a:xfrm>
          <a:off x="152400" y="2514599"/>
          <a:ext cx="2302908" cy="673101"/>
        </a:xfrm>
        <a:prstGeom prst="rect">
          <a:avLst/>
        </a:prstGeom>
      </xdr:spPr>
    </xdr:pic>
    <xdr:clientData/>
  </xdr:twoCellAnchor>
  <xdr:twoCellAnchor editAs="oneCell">
    <xdr:from>
      <xdr:col>0</xdr:col>
      <xdr:colOff>482600</xdr:colOff>
      <xdr:row>2</xdr:row>
      <xdr:rowOff>0</xdr:rowOff>
    </xdr:from>
    <xdr:to>
      <xdr:col>1</xdr:col>
      <xdr:colOff>1040349</xdr:colOff>
      <xdr:row>4</xdr:row>
      <xdr:rowOff>162001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6CC47BA-6B5B-DBA1-1979-B801CFA5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2600" y="368300"/>
          <a:ext cx="2810267" cy="543001"/>
        </a:xfrm>
        <a:prstGeom prst="rect">
          <a:avLst/>
        </a:prstGeom>
      </xdr:spPr>
    </xdr:pic>
    <xdr:clientData/>
  </xdr:twoCellAnchor>
  <xdr:twoCellAnchor editAs="oneCell">
    <xdr:from>
      <xdr:col>0</xdr:col>
      <xdr:colOff>349249</xdr:colOff>
      <xdr:row>8</xdr:row>
      <xdr:rowOff>64325</xdr:rowOff>
    </xdr:from>
    <xdr:to>
      <xdr:col>4</xdr:col>
      <xdr:colOff>930361</xdr:colOff>
      <xdr:row>16</xdr:row>
      <xdr:rowOff>108857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D08E9B8-EE7E-8036-36E7-C5DC5F247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9249" y="1656361"/>
          <a:ext cx="6350541" cy="1704603"/>
        </a:xfrm>
        <a:prstGeom prst="rect">
          <a:avLst/>
        </a:prstGeom>
      </xdr:spPr>
    </xdr:pic>
    <xdr:clientData/>
  </xdr:twoCellAnchor>
  <xdr:twoCellAnchor editAs="oneCell">
    <xdr:from>
      <xdr:col>10</xdr:col>
      <xdr:colOff>1056207</xdr:colOff>
      <xdr:row>13</xdr:row>
      <xdr:rowOff>27451</xdr:rowOff>
    </xdr:from>
    <xdr:to>
      <xdr:col>12</xdr:col>
      <xdr:colOff>3375857</xdr:colOff>
      <xdr:row>18</xdr:row>
      <xdr:rowOff>172089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36DB6E7-7350-84C3-A96A-4031DFDA73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7984"/>
        <a:stretch/>
      </xdr:blipFill>
      <xdr:spPr>
        <a:xfrm>
          <a:off x="15892795" y="2705657"/>
          <a:ext cx="4650474" cy="1108344"/>
        </a:xfrm>
        <a:prstGeom prst="rect">
          <a:avLst/>
        </a:prstGeom>
      </xdr:spPr>
    </xdr:pic>
    <xdr:clientData/>
  </xdr:twoCellAnchor>
  <xdr:twoCellAnchor>
    <xdr:from>
      <xdr:col>26</xdr:col>
      <xdr:colOff>639803</xdr:colOff>
      <xdr:row>5</xdr:row>
      <xdr:rowOff>143819</xdr:rowOff>
    </xdr:from>
    <xdr:to>
      <xdr:col>36</xdr:col>
      <xdr:colOff>95597</xdr:colOff>
      <xdr:row>28</xdr:row>
      <xdr:rowOff>43809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17E13A-4C39-9F40-568E-879B7494E1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21</xdr:col>
      <xdr:colOff>969306</xdr:colOff>
      <xdr:row>12</xdr:row>
      <xdr:rowOff>161203</xdr:rowOff>
    </xdr:from>
    <xdr:to>
      <xdr:col>24</xdr:col>
      <xdr:colOff>1330804</xdr:colOff>
      <xdr:row>28</xdr:row>
      <xdr:rowOff>93125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3C63771-9056-DC18-D3C4-199EB7D47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517592" y="2510703"/>
          <a:ext cx="4862287" cy="2943636"/>
        </a:xfrm>
        <a:prstGeom prst="rect">
          <a:avLst/>
        </a:prstGeom>
      </xdr:spPr>
    </xdr:pic>
    <xdr:clientData/>
  </xdr:twoCellAnchor>
  <xdr:twoCellAnchor editAs="oneCell">
    <xdr:from>
      <xdr:col>16</xdr:col>
      <xdr:colOff>1270000</xdr:colOff>
      <xdr:row>13</xdr:row>
      <xdr:rowOff>108856</xdr:rowOff>
    </xdr:from>
    <xdr:to>
      <xdr:col>21</xdr:col>
      <xdr:colOff>781422</xdr:colOff>
      <xdr:row>27</xdr:row>
      <xdr:rowOff>70213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346E8CD-35A9-BDB7-147F-8AA1DDD59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13857" y="2639785"/>
          <a:ext cx="5915851" cy="26102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3</xdr:row>
      <xdr:rowOff>66675</xdr:rowOff>
    </xdr:from>
    <xdr:to>
      <xdr:col>3</xdr:col>
      <xdr:colOff>933451</xdr:colOff>
      <xdr:row>15</xdr:row>
      <xdr:rowOff>121345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444CF4-647C-D80F-CECF-09CB9BF67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1" y="657225"/>
          <a:ext cx="2895600" cy="23614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34739</xdr:rowOff>
    </xdr:from>
    <xdr:to>
      <xdr:col>5</xdr:col>
      <xdr:colOff>588720</xdr:colOff>
      <xdr:row>26</xdr:row>
      <xdr:rowOff>112058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300416-2B77-5330-F587-5E8D8563E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318063"/>
          <a:ext cx="5059867" cy="1791819"/>
        </a:xfrm>
        <a:prstGeom prst="rect">
          <a:avLst/>
        </a:prstGeom>
      </xdr:spPr>
    </xdr:pic>
    <xdr:clientData/>
  </xdr:twoCellAnchor>
  <xdr:twoCellAnchor editAs="oneCell">
    <xdr:from>
      <xdr:col>0</xdr:col>
      <xdr:colOff>295275</xdr:colOff>
      <xdr:row>28</xdr:row>
      <xdr:rowOff>19050</xdr:rowOff>
    </xdr:from>
    <xdr:to>
      <xdr:col>5</xdr:col>
      <xdr:colOff>200025</xdr:colOff>
      <xdr:row>41</xdr:row>
      <xdr:rowOff>140234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0E74718-D446-7346-DDBF-3B6B08A85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75" y="5391150"/>
          <a:ext cx="4381500" cy="2597684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43</xdr:row>
      <xdr:rowOff>19049</xdr:rowOff>
    </xdr:from>
    <xdr:to>
      <xdr:col>5</xdr:col>
      <xdr:colOff>549183</xdr:colOff>
      <xdr:row>52</xdr:row>
      <xdr:rowOff>66675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8010834-9270-0007-D42A-B4CCC48C88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623"/>
        <a:stretch/>
      </xdr:blipFill>
      <xdr:spPr>
        <a:xfrm>
          <a:off x="66675" y="8258174"/>
          <a:ext cx="4959258" cy="176212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19051</xdr:rowOff>
    </xdr:from>
    <xdr:to>
      <xdr:col>5</xdr:col>
      <xdr:colOff>571500</xdr:colOff>
      <xdr:row>63</xdr:row>
      <xdr:rowOff>94155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8510944-2269-D29D-5286-DBF43F09FE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r="563"/>
        <a:stretch/>
      </xdr:blipFill>
      <xdr:spPr>
        <a:xfrm>
          <a:off x="0" y="10384492"/>
          <a:ext cx="5042647" cy="17896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13650</xdr:rowOff>
    </xdr:from>
    <xdr:to>
      <xdr:col>5</xdr:col>
      <xdr:colOff>591725</xdr:colOff>
      <xdr:row>74</xdr:row>
      <xdr:rowOff>117232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2E32C16-3A1C-D135-E0BA-7C1BCB4EC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2447438"/>
          <a:ext cx="5061148" cy="1818082"/>
        </a:xfrm>
        <a:prstGeom prst="rect">
          <a:avLst/>
        </a:prstGeom>
      </xdr:spPr>
    </xdr:pic>
    <xdr:clientData/>
  </xdr:twoCellAnchor>
  <xdr:twoCellAnchor editAs="oneCell">
    <xdr:from>
      <xdr:col>0</xdr:col>
      <xdr:colOff>22412</xdr:colOff>
      <xdr:row>76</xdr:row>
      <xdr:rowOff>67235</xdr:rowOff>
    </xdr:from>
    <xdr:to>
      <xdr:col>5</xdr:col>
      <xdr:colOff>586840</xdr:colOff>
      <xdr:row>85</xdr:row>
      <xdr:rowOff>156882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70D5C3E-DA65-2595-1A58-CBF3715FC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412" y="14646088"/>
          <a:ext cx="5035575" cy="180414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190501</xdr:colOff>
      <xdr:row>87</xdr:row>
      <xdr:rowOff>123264</xdr:rowOff>
    </xdr:from>
    <xdr:to>
      <xdr:col>5</xdr:col>
      <xdr:colOff>150600</xdr:colOff>
      <xdr:row>96</xdr:row>
      <xdr:rowOff>108228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56600C1-8D04-A994-8B92-B58EBF951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1" y="16820029"/>
          <a:ext cx="4431246" cy="169946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19048</xdr:colOff>
      <xdr:row>28</xdr:row>
      <xdr:rowOff>19050</xdr:rowOff>
    </xdr:from>
    <xdr:to>
      <xdr:col>4</xdr:col>
      <xdr:colOff>523874</xdr:colOff>
      <xdr:row>30</xdr:row>
      <xdr:rowOff>66676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F186475-F233-4FA8-B0B1-8DDCAFDE5B47}"/>
            </a:ext>
          </a:extLst>
        </xdr:cNvPr>
        <xdr:cNvSpPr txBox="1"/>
      </xdr:nvSpPr>
      <xdr:spPr>
        <a:xfrm>
          <a:off x="19048" y="4889500"/>
          <a:ext cx="3502026" cy="4159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/>
            <a:t>-Motor</a:t>
          </a:r>
          <a:r>
            <a:rPr lang="en-US" sz="1000" baseline="0"/>
            <a:t> in = Inverter out </a:t>
          </a:r>
        </a:p>
        <a:p>
          <a:r>
            <a:rPr lang="en-US" sz="1000"/>
            <a:t>-Motor out taken by temp</a:t>
          </a:r>
          <a:r>
            <a:rPr lang="en-US" sz="1000" baseline="0"/>
            <a:t> sensor </a:t>
          </a:r>
          <a:endParaRPr lang="en-US" sz="10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www.tlv.com/en-us/steam-info/steam-theory/steam-basics/overall-heat-transfer-coefficient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com/ProductDetail/ebm-papst/4112NH4?qs=RnLyf%252BIy6kGj8%2F3vF4KK6g%3D%3D&amp;srsltid=AfmBOoowNntK6jvBHU6_ER06KEXTwsDuWf2SDRXuYxgfnYaGNN-sVaZo" TargetMode="External"/><Relationship Id="rId3" Type="http://schemas.openxmlformats.org/officeDocument/2006/relationships/hyperlink" Target="https://www.mouser.com/ProductDetail/Sanyo-Denki/9GV1412P1S001?qs=Rmyl20M3OaA2x3aGlqawQQ%3D%3D" TargetMode="External"/><Relationship Id="rId7" Type="http://schemas.openxmlformats.org/officeDocument/2006/relationships/hyperlink" Target="https://www.mouser.com/ProductDetail/Sanyo-Denki/9WV1212P1J001?qs=RiYL3GjRA%2FXvJ%2FmAbC8bmg%3D%3D" TargetMode="External"/><Relationship Id="rId2" Type="http://schemas.openxmlformats.org/officeDocument/2006/relationships/hyperlink" Target="https://www.mouser.com/ProductDetail/Sanyo-Denki/9WL1412P5S001?qs=MLItCLRbWsxdX0W2SKuEAg%3D%3D" TargetMode="External"/><Relationship Id="rId1" Type="http://schemas.openxmlformats.org/officeDocument/2006/relationships/hyperlink" Target="https://www.mouser.com/ProductDetail/Sanyo-Denki/9WL1412P5S001?qs=MLItCLRbWsxdX0W2SKuEAg%3D%3D" TargetMode="External"/><Relationship Id="rId6" Type="http://schemas.openxmlformats.org/officeDocument/2006/relationships/hyperlink" Target="https://www.mouser.com/ProductDetail/Same-Sky/CFM-A225BF-153-577?qs=MyNHzdoqoQLiy9ExZ25Yuw%3D%3D&amp;srsltid=AfmBOoo-ossUl9qaceqs0cIIJuXK4RfPnoJplDElRFdgHDdI8PXPalSE" TargetMode="External"/><Relationship Id="rId5" Type="http://schemas.openxmlformats.org/officeDocument/2006/relationships/hyperlink" Target="https://www.mouser.com/ProductDetail/Sanyo-Denki/9GV1412P1H001?qs=Rmyl20M3OaANMFD6vKH4nQ%3D%3D" TargetMode="External"/><Relationship Id="rId4" Type="http://schemas.openxmlformats.org/officeDocument/2006/relationships/hyperlink" Target="https://www.mouser.com/ProductDetail/Sanyo-Denki/9LG1412P5S001?qs=MLItCLRbWszWn74pukg05w%3D%3D" TargetMode="External"/><Relationship Id="rId9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53899-0084-4E8E-BB8F-D5183866CC8C}">
  <dimension ref="B1:AF30"/>
  <sheetViews>
    <sheetView zoomScaleNormal="100" workbookViewId="0">
      <selection activeCell="H35" sqref="H35"/>
    </sheetView>
  </sheetViews>
  <sheetFormatPr baseColWidth="10" defaultColWidth="8.83203125" defaultRowHeight="15" x14ac:dyDescent="0.2"/>
  <cols>
    <col min="1" max="1" width="9.6640625" customWidth="1"/>
    <col min="2" max="2" width="10.5" customWidth="1"/>
    <col min="16" max="16" width="21.1640625" bestFit="1" customWidth="1"/>
    <col min="17" max="17" width="9.1640625" bestFit="1" customWidth="1"/>
    <col min="18" max="18" width="15.5" bestFit="1" customWidth="1"/>
    <col min="20" max="20" width="9.33203125" style="24" customWidth="1"/>
    <col min="21" max="21" width="8.1640625" style="24" customWidth="1"/>
    <col min="22" max="22" width="2.1640625" style="24" customWidth="1"/>
    <col min="23" max="23" width="8.1640625" style="24" bestFit="1" customWidth="1"/>
    <col min="24" max="24" width="7.83203125" style="24" bestFit="1" customWidth="1"/>
    <col min="25" max="25" width="5.5" style="24" bestFit="1" customWidth="1"/>
    <col min="26" max="26" width="7.5" style="24" bestFit="1" customWidth="1"/>
    <col min="27" max="27" width="7.83203125" style="24" bestFit="1" customWidth="1"/>
    <col min="28" max="28" width="6.1640625" style="24" bestFit="1" customWidth="1"/>
    <col min="29" max="29" width="7.5" bestFit="1" customWidth="1"/>
    <col min="31" max="31" width="6.1640625" bestFit="1" customWidth="1"/>
    <col min="32" max="32" width="2.1640625" customWidth="1"/>
  </cols>
  <sheetData>
    <row r="1" spans="2:32" ht="16" thickBot="1" x14ac:dyDescent="0.25">
      <c r="B1" s="16" t="s">
        <v>0</v>
      </c>
      <c r="C1" s="17"/>
      <c r="D1" s="17"/>
      <c r="E1" s="17"/>
      <c r="F1" s="17"/>
      <c r="G1" s="17"/>
      <c r="H1" s="18"/>
      <c r="J1" s="124" t="s">
        <v>1</v>
      </c>
      <c r="K1" s="125"/>
      <c r="L1" s="125"/>
      <c r="M1" s="125"/>
      <c r="N1" s="126"/>
      <c r="P1" s="127" t="s">
        <v>2</v>
      </c>
      <c r="Q1" s="129"/>
    </row>
    <row r="2" spans="2:32" x14ac:dyDescent="0.2">
      <c r="B2" s="11"/>
      <c r="H2" s="12"/>
      <c r="J2" s="11"/>
      <c r="N2" s="12"/>
      <c r="P2" s="68" t="s">
        <v>3</v>
      </c>
      <c r="Q2" s="69">
        <v>33</v>
      </c>
    </row>
    <row r="3" spans="2:32" ht="16" thickBot="1" x14ac:dyDescent="0.25">
      <c r="B3" s="11"/>
      <c r="H3" s="12"/>
      <c r="J3" s="11"/>
      <c r="N3" s="12"/>
      <c r="P3" s="22" t="s">
        <v>4</v>
      </c>
      <c r="Q3" s="23">
        <f>CONVERT(Q2, "C","F")</f>
        <v>91.4</v>
      </c>
    </row>
    <row r="4" spans="2:32" ht="16" thickBot="1" x14ac:dyDescent="0.25">
      <c r="B4" s="11"/>
      <c r="H4" s="12"/>
      <c r="J4" s="11"/>
      <c r="N4" s="12"/>
    </row>
    <row r="5" spans="2:32" ht="16" thickBot="1" x14ac:dyDescent="0.25">
      <c r="B5" s="11"/>
      <c r="H5" s="12"/>
      <c r="J5" s="11"/>
      <c r="N5" s="12"/>
      <c r="P5" s="127" t="s">
        <v>5</v>
      </c>
      <c r="Q5" s="128"/>
      <c r="R5" s="129"/>
      <c r="S5" s="11"/>
    </row>
    <row r="6" spans="2:32" ht="16" thickBot="1" x14ac:dyDescent="0.25">
      <c r="B6" s="11"/>
      <c r="H6" s="12"/>
      <c r="J6" s="11"/>
      <c r="N6" s="12"/>
      <c r="P6" s="51" t="s">
        <v>6</v>
      </c>
      <c r="Q6" s="46" t="s">
        <v>7</v>
      </c>
      <c r="R6" s="52" t="s">
        <v>8</v>
      </c>
    </row>
    <row r="7" spans="2:32" x14ac:dyDescent="0.2">
      <c r="B7" s="11"/>
      <c r="H7" s="12"/>
      <c r="J7" s="11"/>
      <c r="N7" s="12"/>
      <c r="P7" s="11" t="s">
        <v>9</v>
      </c>
      <c r="Q7" s="29">
        <v>1</v>
      </c>
      <c r="R7" s="12" t="s">
        <v>10</v>
      </c>
    </row>
    <row r="8" spans="2:32" x14ac:dyDescent="0.2">
      <c r="B8" s="11"/>
      <c r="H8" s="12"/>
      <c r="J8" s="11"/>
      <c r="N8" s="12"/>
      <c r="P8" s="11" t="s">
        <v>11</v>
      </c>
      <c r="Q8" s="29">
        <v>2</v>
      </c>
      <c r="R8" s="12" t="s">
        <v>12</v>
      </c>
    </row>
    <row r="9" spans="2:32" x14ac:dyDescent="0.2">
      <c r="B9" s="11"/>
      <c r="H9" s="12"/>
      <c r="J9" s="11"/>
      <c r="N9" s="12"/>
      <c r="P9" s="11"/>
      <c r="Q9" s="29">
        <v>1</v>
      </c>
      <c r="R9" s="12" t="s">
        <v>13</v>
      </c>
    </row>
    <row r="10" spans="2:32" ht="16" thickBot="1" x14ac:dyDescent="0.25">
      <c r="B10" s="11"/>
      <c r="H10" s="12"/>
      <c r="J10" s="13"/>
      <c r="K10" s="14"/>
      <c r="L10" s="14"/>
      <c r="M10" s="14"/>
      <c r="N10" s="15"/>
      <c r="P10" s="13"/>
      <c r="Q10" s="31">
        <v>1</v>
      </c>
      <c r="R10" s="15" t="s">
        <v>14</v>
      </c>
    </row>
    <row r="11" spans="2:32" x14ac:dyDescent="0.2">
      <c r="B11" s="11"/>
      <c r="H11" s="12"/>
    </row>
    <row r="12" spans="2:32" x14ac:dyDescent="0.2">
      <c r="B12" s="11"/>
      <c r="H12" s="12"/>
    </row>
    <row r="13" spans="2:32" ht="16" thickBot="1" x14ac:dyDescent="0.25">
      <c r="B13" s="11"/>
      <c r="H13" s="12"/>
    </row>
    <row r="14" spans="2:32" ht="16" thickBot="1" x14ac:dyDescent="0.25">
      <c r="B14" s="11"/>
      <c r="H14" s="12"/>
      <c r="J14" s="127" t="s">
        <v>15</v>
      </c>
      <c r="K14" s="128"/>
      <c r="L14" s="128"/>
      <c r="M14" s="128"/>
      <c r="N14" s="128"/>
      <c r="O14" s="128"/>
      <c r="P14" s="128"/>
      <c r="Q14" s="128"/>
      <c r="R14" s="129"/>
      <c r="V14" s="121" t="s">
        <v>16</v>
      </c>
      <c r="W14" s="122"/>
      <c r="X14" s="122"/>
      <c r="Y14" s="122"/>
      <c r="Z14" s="122"/>
      <c r="AA14" s="122"/>
      <c r="AB14" s="122"/>
      <c r="AC14" s="122"/>
      <c r="AD14" s="122"/>
      <c r="AE14" s="122"/>
      <c r="AF14" s="123"/>
    </row>
    <row r="15" spans="2:32" ht="16" thickBot="1" x14ac:dyDescent="0.25">
      <c r="B15" s="11"/>
      <c r="H15" s="12"/>
      <c r="J15" s="11"/>
      <c r="R15" s="12"/>
      <c r="V15" s="74"/>
      <c r="W15" s="75"/>
      <c r="X15" s="75"/>
      <c r="Y15" s="75"/>
      <c r="Z15" s="75"/>
      <c r="AA15" s="75"/>
      <c r="AB15" s="75"/>
      <c r="AC15" s="75"/>
      <c r="AD15" s="75"/>
      <c r="AE15" s="75"/>
      <c r="AF15" s="21"/>
    </row>
    <row r="16" spans="2:32" ht="16" thickBot="1" x14ac:dyDescent="0.25">
      <c r="B16" s="20"/>
      <c r="C16" s="19"/>
      <c r="D16" s="19"/>
      <c r="E16" s="19"/>
      <c r="F16" s="19"/>
      <c r="G16" s="19"/>
      <c r="H16" s="21"/>
      <c r="J16" s="90" t="s">
        <v>10</v>
      </c>
      <c r="L16" s="90" t="s">
        <v>17</v>
      </c>
      <c r="N16" s="90" t="s">
        <v>18</v>
      </c>
      <c r="P16" s="90" t="s">
        <v>19</v>
      </c>
      <c r="R16" s="90" t="s">
        <v>20</v>
      </c>
      <c r="V16" s="38"/>
      <c r="W16" s="89" t="s">
        <v>10</v>
      </c>
      <c r="X16" s="91"/>
      <c r="Y16" s="89" t="s">
        <v>18</v>
      </c>
      <c r="Z16" s="91"/>
      <c r="AA16" s="89" t="s">
        <v>21</v>
      </c>
      <c r="AB16" s="91"/>
      <c r="AC16" s="89" t="s">
        <v>22</v>
      </c>
      <c r="AD16" s="91"/>
      <c r="AE16" s="89" t="s">
        <v>23</v>
      </c>
      <c r="AF16" s="12"/>
    </row>
    <row r="17" spans="2:32" ht="16" thickBot="1" x14ac:dyDescent="0.25">
      <c r="B17" s="11"/>
      <c r="H17" s="12"/>
      <c r="J17" s="13"/>
      <c r="K17" s="14"/>
      <c r="L17" s="14"/>
      <c r="M17" s="14"/>
      <c r="N17" s="14"/>
      <c r="O17" s="14"/>
      <c r="P17" s="14"/>
      <c r="Q17" s="14"/>
      <c r="R17" s="15"/>
      <c r="V17" s="39"/>
      <c r="W17" s="49"/>
      <c r="X17" s="49"/>
      <c r="Y17" s="49"/>
      <c r="Z17" s="49"/>
      <c r="AA17" s="49"/>
      <c r="AB17" s="49"/>
      <c r="AC17" s="49"/>
      <c r="AD17" s="49"/>
      <c r="AE17" s="49"/>
      <c r="AF17" s="15"/>
    </row>
    <row r="18" spans="2:32" x14ac:dyDescent="0.2">
      <c r="B18" s="11"/>
      <c r="H18" s="12"/>
    </row>
    <row r="19" spans="2:32" ht="16" thickBot="1" x14ac:dyDescent="0.25">
      <c r="B19" s="11"/>
      <c r="H19" s="12"/>
    </row>
    <row r="20" spans="2:32" ht="16" thickBot="1" x14ac:dyDescent="0.25">
      <c r="B20" s="11"/>
      <c r="H20" s="12"/>
      <c r="J20" s="127" t="s">
        <v>24</v>
      </c>
      <c r="K20" s="128"/>
      <c r="L20" s="128"/>
      <c r="M20" s="128"/>
      <c r="N20" s="128"/>
      <c r="O20" s="128"/>
      <c r="P20" s="129"/>
    </row>
    <row r="21" spans="2:32" x14ac:dyDescent="0.2">
      <c r="B21" s="11"/>
      <c r="H21" s="12"/>
      <c r="J21" s="20" t="s">
        <v>25</v>
      </c>
      <c r="K21" s="19"/>
      <c r="L21" s="19"/>
      <c r="M21" s="19"/>
      <c r="N21" s="19"/>
      <c r="O21" s="19"/>
      <c r="P21" s="21"/>
    </row>
    <row r="22" spans="2:32" x14ac:dyDescent="0.2">
      <c r="B22" s="11"/>
      <c r="H22" s="12"/>
      <c r="J22" s="11" t="s">
        <v>26</v>
      </c>
      <c r="P22" s="12"/>
    </row>
    <row r="23" spans="2:32" x14ac:dyDescent="0.2">
      <c r="B23" s="11"/>
      <c r="H23" s="12"/>
      <c r="J23" s="11"/>
      <c r="P23" s="12"/>
    </row>
    <row r="24" spans="2:32" x14ac:dyDescent="0.2">
      <c r="B24" s="11"/>
      <c r="H24" s="12"/>
      <c r="J24" s="11"/>
      <c r="P24" s="12"/>
    </row>
    <row r="25" spans="2:32" x14ac:dyDescent="0.2">
      <c r="B25" s="11"/>
      <c r="H25" s="12"/>
      <c r="J25" s="11"/>
      <c r="P25" s="12"/>
    </row>
    <row r="26" spans="2:32" x14ac:dyDescent="0.2">
      <c r="B26" s="11"/>
      <c r="H26" s="12"/>
      <c r="J26" s="11"/>
      <c r="P26" s="12"/>
    </row>
    <row r="27" spans="2:32" x14ac:dyDescent="0.2">
      <c r="B27" s="11"/>
      <c r="H27" s="12"/>
      <c r="J27" s="11"/>
      <c r="P27" s="12"/>
    </row>
    <row r="28" spans="2:32" x14ac:dyDescent="0.2">
      <c r="B28" s="11"/>
      <c r="H28" s="12"/>
      <c r="J28" s="11"/>
      <c r="P28" s="12"/>
    </row>
    <row r="29" spans="2:32" x14ac:dyDescent="0.2">
      <c r="B29" s="11"/>
      <c r="H29" s="12"/>
      <c r="J29" s="11"/>
      <c r="P29" s="12"/>
    </row>
    <row r="30" spans="2:32" ht="16" thickBot="1" x14ac:dyDescent="0.25">
      <c r="B30" s="13"/>
      <c r="C30" s="14"/>
      <c r="D30" s="14"/>
      <c r="E30" s="14"/>
      <c r="F30" s="14"/>
      <c r="G30" s="14"/>
      <c r="H30" s="15"/>
      <c r="J30" s="13"/>
      <c r="K30" s="14"/>
      <c r="L30" s="14"/>
      <c r="M30" s="14"/>
      <c r="N30" s="14"/>
      <c r="O30" s="14"/>
      <c r="P30" s="15"/>
    </row>
  </sheetData>
  <mergeCells count="6">
    <mergeCell ref="V14:AF14"/>
    <mergeCell ref="J1:N1"/>
    <mergeCell ref="J20:P20"/>
    <mergeCell ref="P1:Q1"/>
    <mergeCell ref="P5:R5"/>
    <mergeCell ref="J14:R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A897B-7BAD-4214-BC57-934B21371BB0}">
  <dimension ref="A1:H8"/>
  <sheetViews>
    <sheetView workbookViewId="0">
      <selection activeCell="F20" sqref="F20"/>
    </sheetView>
  </sheetViews>
  <sheetFormatPr baseColWidth="10" defaultColWidth="8.83203125" defaultRowHeight="15" x14ac:dyDescent="0.2"/>
  <cols>
    <col min="1" max="1" width="23.5" bestFit="1" customWidth="1"/>
    <col min="2" max="2" width="7" bestFit="1" customWidth="1"/>
    <col min="3" max="3" width="27.6640625" bestFit="1" customWidth="1"/>
    <col min="4" max="4" width="6.5" customWidth="1"/>
    <col min="5" max="5" width="7" customWidth="1"/>
    <col min="6" max="6" width="24.6640625" bestFit="1" customWidth="1"/>
    <col min="8" max="8" width="32" bestFit="1" customWidth="1"/>
  </cols>
  <sheetData>
    <row r="1" spans="1:8" x14ac:dyDescent="0.2">
      <c r="A1" s="118" t="s">
        <v>27</v>
      </c>
      <c r="B1" s="119"/>
      <c r="C1" s="119"/>
      <c r="F1" s="120" t="s">
        <v>28</v>
      </c>
      <c r="G1" s="120"/>
      <c r="H1" s="120"/>
    </row>
    <row r="2" spans="1:8" x14ac:dyDescent="0.2">
      <c r="A2" s="4" t="s">
        <v>29</v>
      </c>
      <c r="B2" s="7">
        <v>96</v>
      </c>
      <c r="C2" s="1" t="s">
        <v>30</v>
      </c>
      <c r="F2" s="4" t="s">
        <v>31</v>
      </c>
      <c r="G2" s="7">
        <v>504</v>
      </c>
      <c r="H2" s="1" t="s">
        <v>32</v>
      </c>
    </row>
    <row r="3" spans="1:8" x14ac:dyDescent="0.2">
      <c r="A3" s="4" t="s">
        <v>33</v>
      </c>
      <c r="B3" s="7">
        <v>92</v>
      </c>
      <c r="C3" s="1" t="s">
        <v>34</v>
      </c>
      <c r="F3" s="4" t="s">
        <v>35</v>
      </c>
      <c r="G3" s="7">
        <v>78</v>
      </c>
      <c r="H3" s="1" t="s">
        <v>36</v>
      </c>
    </row>
    <row r="4" spans="1:8" x14ac:dyDescent="0.2">
      <c r="A4" s="4" t="s">
        <v>37</v>
      </c>
      <c r="B4" s="6">
        <f>((B3+B2)/200)*100</f>
        <v>94</v>
      </c>
      <c r="C4" s="1" t="s">
        <v>38</v>
      </c>
      <c r="F4" s="4" t="s">
        <v>39</v>
      </c>
      <c r="G4" s="7">
        <f>G2*G3</f>
        <v>39312</v>
      </c>
      <c r="H4" s="1"/>
    </row>
    <row r="5" spans="1:8" x14ac:dyDescent="0.2">
      <c r="A5" s="4" t="s">
        <v>40</v>
      </c>
      <c r="B5" s="7">
        <f>G6</f>
        <v>97.405372405372404</v>
      </c>
      <c r="C5" s="1"/>
      <c r="F5" s="4" t="s">
        <v>41</v>
      </c>
      <c r="G5" s="10">
        <v>1020</v>
      </c>
      <c r="H5" s="1" t="s">
        <v>42</v>
      </c>
    </row>
    <row r="6" spans="1:8" x14ac:dyDescent="0.2">
      <c r="A6" s="4" t="s">
        <v>43</v>
      </c>
      <c r="B6" s="10">
        <v>86</v>
      </c>
      <c r="C6" s="1" t="s">
        <v>44</v>
      </c>
      <c r="F6" s="5" t="s">
        <v>45</v>
      </c>
      <c r="G6" s="9">
        <f>(1-(G5/G4))*100</f>
        <v>97.405372405372404</v>
      </c>
      <c r="H6" s="2"/>
    </row>
    <row r="7" spans="1:8" x14ac:dyDescent="0.2">
      <c r="A7" s="4" t="s">
        <v>46</v>
      </c>
      <c r="B7" s="8">
        <f>(1-((B4/100)*(B5/100)))*(B6)</f>
        <v>7.2574969474969544</v>
      </c>
      <c r="C7" s="1" t="s">
        <v>47</v>
      </c>
      <c r="F7" s="3"/>
      <c r="G7" s="3"/>
      <c r="H7" s="3"/>
    </row>
    <row r="8" spans="1:8" x14ac:dyDescent="0.2">
      <c r="A8" s="4" t="s">
        <v>48</v>
      </c>
      <c r="B8" s="7">
        <f>100-((B7/B6)*100)</f>
        <v>91.561050061050054</v>
      </c>
      <c r="C8" s="1"/>
    </row>
  </sheetData>
  <mergeCells count="2">
    <mergeCell ref="A1:C1"/>
    <mergeCell ref="F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B4FB4-B24D-49EF-B6A5-BD3F90A6DE7A}">
  <dimension ref="A1:C7"/>
  <sheetViews>
    <sheetView workbookViewId="0">
      <selection activeCell="H11" sqref="H11"/>
    </sheetView>
  </sheetViews>
  <sheetFormatPr baseColWidth="10" defaultColWidth="8.83203125" defaultRowHeight="15" x14ac:dyDescent="0.2"/>
  <cols>
    <col min="1" max="1" width="10.1640625" customWidth="1"/>
    <col min="3" max="3" width="19.1640625" bestFit="1" customWidth="1"/>
  </cols>
  <sheetData>
    <row r="1" spans="1:3" ht="16" thickBot="1" x14ac:dyDescent="0.25">
      <c r="A1" s="130" t="s">
        <v>49</v>
      </c>
      <c r="B1" s="130"/>
      <c r="C1" s="130"/>
    </row>
    <row r="2" spans="1:3" x14ac:dyDescent="0.2">
      <c r="A2" s="77" t="s">
        <v>50</v>
      </c>
      <c r="B2" s="19">
        <v>33</v>
      </c>
      <c r="C2" s="77"/>
    </row>
    <row r="3" spans="1:3" x14ac:dyDescent="0.2">
      <c r="A3" s="29" t="s">
        <v>51</v>
      </c>
      <c r="B3" t="s">
        <v>52</v>
      </c>
      <c r="C3" s="29"/>
    </row>
    <row r="4" spans="1:3" x14ac:dyDescent="0.2">
      <c r="A4" s="29" t="s">
        <v>53</v>
      </c>
      <c r="B4">
        <f>B5-((B7)/((B6/60)*(1)*(4.2)))</f>
        <v>41.160054525133887</v>
      </c>
      <c r="C4" s="29"/>
    </row>
    <row r="5" spans="1:3" x14ac:dyDescent="0.2">
      <c r="A5" s="29" t="s">
        <v>54</v>
      </c>
      <c r="B5">
        <v>45</v>
      </c>
      <c r="C5" s="29" t="s">
        <v>55</v>
      </c>
    </row>
    <row r="6" spans="1:3" x14ac:dyDescent="0.2">
      <c r="A6" s="29" t="s">
        <v>56</v>
      </c>
      <c r="B6">
        <v>27</v>
      </c>
      <c r="C6" s="29"/>
    </row>
    <row r="7" spans="1:3" ht="16" thickBot="1" x14ac:dyDescent="0.25">
      <c r="A7" s="31" t="s">
        <v>57</v>
      </c>
      <c r="B7" s="14">
        <f>'Cooling Load'!B7</f>
        <v>7.2574969474969544</v>
      </c>
      <c r="C7" s="31"/>
    </row>
  </sheetData>
  <mergeCells count="1">
    <mergeCell ref="A1:C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01487-6837-4D4C-B544-EEFE395198CD}">
  <dimension ref="A1:AD94"/>
  <sheetViews>
    <sheetView zoomScale="60" zoomScaleNormal="70" workbookViewId="0">
      <selection activeCell="E28" sqref="E28"/>
    </sheetView>
  </sheetViews>
  <sheetFormatPr baseColWidth="10" defaultColWidth="8.83203125" defaultRowHeight="15" x14ac:dyDescent="0.2"/>
  <cols>
    <col min="1" max="1" width="31.5" style="24" bestFit="1" customWidth="1"/>
    <col min="2" max="3" width="19.1640625" bestFit="1" customWidth="1"/>
    <col min="4" max="4" width="16.5" bestFit="1" customWidth="1"/>
    <col min="5" max="5" width="16.83203125" bestFit="1" customWidth="1"/>
    <col min="6" max="6" width="30.33203125" style="24" bestFit="1" customWidth="1"/>
    <col min="7" max="7" width="31.1640625" bestFit="1" customWidth="1"/>
    <col min="8" max="8" width="13.5" bestFit="1" customWidth="1"/>
    <col min="9" max="9" width="20.1640625" bestFit="1" customWidth="1"/>
    <col min="10" max="10" width="24.5" bestFit="1" customWidth="1"/>
    <col min="11" max="11" width="21.5" bestFit="1" customWidth="1"/>
    <col min="12" max="12" width="13.5" bestFit="1" customWidth="1"/>
    <col min="13" max="13" width="55" bestFit="1" customWidth="1"/>
    <col min="14" max="14" width="22.83203125" bestFit="1" customWidth="1"/>
    <col min="15" max="15" width="15.5" bestFit="1" customWidth="1"/>
    <col min="16" max="16" width="22.83203125" bestFit="1" customWidth="1"/>
    <col min="17" max="17" width="21.33203125" bestFit="1" customWidth="1"/>
    <col min="18" max="18" width="14.83203125" bestFit="1" customWidth="1"/>
    <col min="19" max="19" width="20" bestFit="1" customWidth="1"/>
    <col min="20" max="20" width="20.6640625" bestFit="1" customWidth="1"/>
    <col min="21" max="21" width="14.83203125" bestFit="1" customWidth="1"/>
    <col min="22" max="22" width="22" bestFit="1" customWidth="1"/>
    <col min="23" max="23" width="20.1640625" bestFit="1" customWidth="1"/>
    <col min="24" max="24" width="22" bestFit="1" customWidth="1"/>
    <col min="25" max="25" width="20" bestFit="1" customWidth="1"/>
    <col min="26" max="26" width="22" bestFit="1" customWidth="1"/>
    <col min="27" max="27" width="17" customWidth="1"/>
    <col min="28" max="28" width="22" bestFit="1" customWidth="1"/>
    <col min="29" max="29" width="14.5" customWidth="1"/>
    <col min="30" max="30" width="22" bestFit="1" customWidth="1"/>
  </cols>
  <sheetData>
    <row r="1" spans="7:25" x14ac:dyDescent="0.2">
      <c r="K1" s="119" t="s">
        <v>58</v>
      </c>
      <c r="L1" s="119"/>
      <c r="N1" s="119" t="s">
        <v>59</v>
      </c>
      <c r="O1" s="119"/>
      <c r="Q1" s="119" t="s">
        <v>60</v>
      </c>
      <c r="R1" s="119"/>
      <c r="T1" s="119" t="s">
        <v>61</v>
      </c>
      <c r="U1" s="119"/>
      <c r="W1" s="119" t="s">
        <v>62</v>
      </c>
      <c r="X1" s="119"/>
    </row>
    <row r="2" spans="7:25" x14ac:dyDescent="0.2">
      <c r="Y2" s="10"/>
    </row>
    <row r="3" spans="7:25" ht="16" thickBot="1" x14ac:dyDescent="0.25">
      <c r="Y3" s="10"/>
    </row>
    <row r="4" spans="7:25" ht="16" thickBot="1" x14ac:dyDescent="0.25">
      <c r="G4" s="133" t="s">
        <v>63</v>
      </c>
      <c r="H4" s="134"/>
      <c r="I4" s="135"/>
      <c r="K4" s="131" t="s">
        <v>64</v>
      </c>
      <c r="L4" s="132"/>
      <c r="N4" s="131" t="s">
        <v>64</v>
      </c>
      <c r="O4" s="132"/>
      <c r="Q4" s="131" t="s">
        <v>65</v>
      </c>
      <c r="R4" s="132"/>
      <c r="T4" s="131" t="s">
        <v>66</v>
      </c>
      <c r="U4" s="132"/>
      <c r="W4" s="131" t="s">
        <v>67</v>
      </c>
      <c r="X4" s="132"/>
      <c r="Y4" s="10"/>
    </row>
    <row r="5" spans="7:25" x14ac:dyDescent="0.2">
      <c r="G5" s="11"/>
      <c r="H5" s="19"/>
      <c r="I5" s="35" t="s">
        <v>68</v>
      </c>
      <c r="K5" s="25" t="s">
        <v>69</v>
      </c>
      <c r="L5" s="32">
        <v>0.24</v>
      </c>
      <c r="N5" s="25" t="s">
        <v>69</v>
      </c>
      <c r="O5" s="32">
        <v>0.36</v>
      </c>
      <c r="Q5" s="25" t="s">
        <v>69</v>
      </c>
      <c r="R5" s="32">
        <v>0.36</v>
      </c>
      <c r="T5" s="25" t="s">
        <v>69</v>
      </c>
      <c r="U5" s="32">
        <v>0.42</v>
      </c>
      <c r="W5" s="25" t="s">
        <v>69</v>
      </c>
      <c r="X5" s="32">
        <v>0.42</v>
      </c>
      <c r="Y5" s="10"/>
    </row>
    <row r="6" spans="7:25" x14ac:dyDescent="0.2">
      <c r="G6" s="11"/>
      <c r="I6" s="29"/>
      <c r="K6" s="25" t="s">
        <v>70</v>
      </c>
      <c r="L6" s="30">
        <v>0.12</v>
      </c>
      <c r="N6" s="25" t="s">
        <v>70</v>
      </c>
      <c r="O6" s="30">
        <v>0.12</v>
      </c>
      <c r="Q6" s="25" t="s">
        <v>70</v>
      </c>
      <c r="R6" s="30">
        <v>0.12</v>
      </c>
      <c r="T6" s="25" t="s">
        <v>70</v>
      </c>
      <c r="U6" s="30">
        <v>0.14000000000000001</v>
      </c>
      <c r="W6" s="25" t="s">
        <v>70</v>
      </c>
      <c r="X6" s="30">
        <v>0.14000000000000001</v>
      </c>
      <c r="Y6" s="10"/>
    </row>
    <row r="7" spans="7:25" ht="17" x14ac:dyDescent="0.2">
      <c r="G7" s="11"/>
      <c r="I7" s="29"/>
      <c r="K7" s="25" t="s">
        <v>71</v>
      </c>
      <c r="L7" s="30">
        <f>L6*L5</f>
        <v>2.8799999999999999E-2</v>
      </c>
      <c r="N7" s="25" t="s">
        <v>71</v>
      </c>
      <c r="O7" s="30">
        <f>O6*O5</f>
        <v>4.3199999999999995E-2</v>
      </c>
      <c r="Q7" s="25" t="s">
        <v>71</v>
      </c>
      <c r="R7" s="30">
        <f>R6*R5</f>
        <v>4.3199999999999995E-2</v>
      </c>
      <c r="T7" s="25" t="s">
        <v>71</v>
      </c>
      <c r="U7" s="30">
        <f>U6*U5</f>
        <v>5.8800000000000005E-2</v>
      </c>
      <c r="W7" s="25" t="s">
        <v>72</v>
      </c>
      <c r="X7" s="30">
        <f>X6*X5</f>
        <v>5.8800000000000005E-2</v>
      </c>
    </row>
    <row r="8" spans="7:25" ht="16" thickBot="1" x14ac:dyDescent="0.25">
      <c r="G8" s="25"/>
      <c r="H8" s="34"/>
      <c r="I8" s="29"/>
      <c r="K8" s="25" t="s">
        <v>73</v>
      </c>
      <c r="L8" s="30">
        <v>19</v>
      </c>
      <c r="N8" s="25" t="s">
        <v>73</v>
      </c>
      <c r="O8" s="30">
        <v>19</v>
      </c>
      <c r="Q8" s="25" t="s">
        <v>73</v>
      </c>
      <c r="R8" s="30">
        <v>19</v>
      </c>
      <c r="T8" s="25" t="s">
        <v>73</v>
      </c>
      <c r="U8" s="30">
        <v>20</v>
      </c>
      <c r="W8" s="25" t="s">
        <v>73</v>
      </c>
      <c r="X8" s="30">
        <v>20</v>
      </c>
    </row>
    <row r="9" spans="7:25" ht="17" x14ac:dyDescent="0.2">
      <c r="G9" s="40" t="s">
        <v>74</v>
      </c>
      <c r="H9" s="10">
        <f>(0.055^2)*PI()</f>
        <v>9.5033177771091243E-3</v>
      </c>
      <c r="I9" s="29" t="s">
        <v>75</v>
      </c>
      <c r="K9" s="25" t="s">
        <v>76</v>
      </c>
      <c r="L9" s="30">
        <f>(L8*100)/2.54</f>
        <v>748.03149606299212</v>
      </c>
      <c r="N9" s="25" t="s">
        <v>76</v>
      </c>
      <c r="O9" s="30">
        <f>(O8*100)/2.54</f>
        <v>748.03149606299212</v>
      </c>
      <c r="Q9" s="25" t="s">
        <v>76</v>
      </c>
      <c r="R9" s="30">
        <f>(R8*100)/2.54</f>
        <v>748.03149606299212</v>
      </c>
      <c r="T9" s="25" t="s">
        <v>76</v>
      </c>
      <c r="U9" s="30">
        <f>(U8*100)/2.54</f>
        <v>787.40157480314963</v>
      </c>
      <c r="W9" s="25" t="s">
        <v>76</v>
      </c>
      <c r="X9" s="30">
        <f>(X8*100)/2.54</f>
        <v>787.40157480314963</v>
      </c>
    </row>
    <row r="10" spans="7:25" ht="17" x14ac:dyDescent="0.2">
      <c r="G10" s="33" t="s">
        <v>77</v>
      </c>
      <c r="H10" s="10">
        <f>CONVERT(H9,"m^2","ft^2")</f>
        <v>0.10229286121432758</v>
      </c>
      <c r="I10" s="29"/>
      <c r="K10" s="25" t="s">
        <v>78</v>
      </c>
      <c r="L10" s="30">
        <v>2.7E-2</v>
      </c>
      <c r="N10" s="25" t="s">
        <v>78</v>
      </c>
      <c r="O10" s="30">
        <v>2.7E-2</v>
      </c>
      <c r="Q10" s="25" t="s">
        <v>78</v>
      </c>
      <c r="R10" s="30">
        <v>3.7999999999999999E-2</v>
      </c>
      <c r="T10" s="25" t="s">
        <v>78</v>
      </c>
      <c r="U10" s="30">
        <v>2.7E-2</v>
      </c>
      <c r="W10" s="25" t="s">
        <v>78</v>
      </c>
      <c r="X10" s="30">
        <v>3.7999999999999999E-2</v>
      </c>
    </row>
    <row r="11" spans="7:25" ht="18" thickBot="1" x14ac:dyDescent="0.25">
      <c r="G11" s="33" t="s">
        <v>79</v>
      </c>
      <c r="H11" s="10">
        <f>(0.065^2)*PI()</f>
        <v>1.3273228961416878E-2</v>
      </c>
      <c r="I11" s="29" t="s">
        <v>80</v>
      </c>
      <c r="K11" s="22" t="s">
        <v>81</v>
      </c>
      <c r="L11" s="56">
        <f>L7*L9*L10*2</f>
        <v>1.1633385826771654</v>
      </c>
      <c r="N11" s="22" t="s">
        <v>81</v>
      </c>
      <c r="O11" s="56">
        <f>O7*O9*O10*2</f>
        <v>1.745007874015748</v>
      </c>
      <c r="Q11" s="22" t="s">
        <v>81</v>
      </c>
      <c r="R11" s="56">
        <f>R7*R9*R10*2</f>
        <v>2.4559370078740157</v>
      </c>
      <c r="T11" s="22" t="s">
        <v>81</v>
      </c>
      <c r="U11" s="56">
        <f>U7*U9*U10*2</f>
        <v>2.5001574803149609</v>
      </c>
      <c r="W11" s="22" t="s">
        <v>82</v>
      </c>
      <c r="X11" s="56">
        <f>X7*X9*X10*2</f>
        <v>3.5187401574803152</v>
      </c>
    </row>
    <row r="12" spans="7:25" ht="17" x14ac:dyDescent="0.2">
      <c r="G12" s="33" t="s">
        <v>83</v>
      </c>
      <c r="H12" s="10">
        <f>CONVERT(H11,"m^2","ft^2")</f>
        <v>0.1428718474811683</v>
      </c>
      <c r="I12" s="29"/>
    </row>
    <row r="13" spans="7:25" x14ac:dyDescent="0.2">
      <c r="G13" s="33" t="s">
        <v>84</v>
      </c>
      <c r="H13" s="44">
        <v>0.5</v>
      </c>
      <c r="I13" s="29" t="s">
        <v>85</v>
      </c>
    </row>
    <row r="14" spans="7:25" x14ac:dyDescent="0.2">
      <c r="G14" s="33" t="s">
        <v>86</v>
      </c>
      <c r="H14" s="10">
        <f>H13/1000</f>
        <v>5.0000000000000001E-4</v>
      </c>
      <c r="I14" s="29" t="s">
        <v>87</v>
      </c>
    </row>
    <row r="15" spans="7:25" ht="16" thickBot="1" x14ac:dyDescent="0.25">
      <c r="G15" s="36" t="s">
        <v>88</v>
      </c>
      <c r="H15" s="45">
        <v>237</v>
      </c>
      <c r="I15" s="31" t="s">
        <v>89</v>
      </c>
    </row>
    <row r="20" spans="1:18" ht="16" thickBot="1" x14ac:dyDescent="0.25"/>
    <row r="21" spans="1:18" ht="16" thickBot="1" x14ac:dyDescent="0.25">
      <c r="K21" s="133" t="s">
        <v>90</v>
      </c>
      <c r="L21" s="134"/>
      <c r="M21" s="135"/>
      <c r="N21" t="s">
        <v>91</v>
      </c>
    </row>
    <row r="22" spans="1:18" ht="16" thickBot="1" x14ac:dyDescent="0.25">
      <c r="K22" s="72" t="s">
        <v>92</v>
      </c>
      <c r="L22" s="10">
        <f>R34-L28</f>
        <v>22</v>
      </c>
      <c r="M22" s="12" t="s">
        <v>93</v>
      </c>
    </row>
    <row r="23" spans="1:18" ht="18" thickBot="1" x14ac:dyDescent="0.3">
      <c r="A23" s="133" t="s">
        <v>94</v>
      </c>
      <c r="B23" s="134"/>
      <c r="C23" s="135"/>
      <c r="F23" s="133" t="s">
        <v>95</v>
      </c>
      <c r="G23" s="134"/>
      <c r="H23" s="135"/>
      <c r="K23" s="72" t="s">
        <v>96</v>
      </c>
      <c r="L23" s="10">
        <f>L25-L27</f>
        <v>12</v>
      </c>
      <c r="M23" s="12" t="s">
        <v>97</v>
      </c>
      <c r="N23" s="37" t="s">
        <v>98</v>
      </c>
      <c r="O23" s="10">
        <f>(R34-L25)/(L27-L28)</f>
        <v>-3</v>
      </c>
    </row>
    <row r="24" spans="1:18" x14ac:dyDescent="0.2">
      <c r="A24" s="25" t="s">
        <v>99</v>
      </c>
      <c r="B24" s="10">
        <v>2.5999999999999999E-2</v>
      </c>
      <c r="C24" s="12"/>
      <c r="F24" s="25" t="s">
        <v>99</v>
      </c>
      <c r="G24" s="10">
        <v>0.6</v>
      </c>
      <c r="H24" s="12"/>
      <c r="K24" s="25" t="s">
        <v>100</v>
      </c>
      <c r="L24" s="10">
        <f>'Cooling Load'!B7</f>
        <v>7.2574969474969544</v>
      </c>
      <c r="M24" s="12"/>
    </row>
    <row r="25" spans="1:18" x14ac:dyDescent="0.2">
      <c r="A25" s="25" t="s">
        <v>101</v>
      </c>
      <c r="B25" s="10">
        <v>3.0000000000000001E-3</v>
      </c>
      <c r="C25" s="12"/>
      <c r="F25" s="25" t="s">
        <v>101</v>
      </c>
      <c r="G25" s="10">
        <v>1E-3</v>
      </c>
      <c r="H25" s="12"/>
      <c r="K25" s="25" t="s">
        <v>102</v>
      </c>
      <c r="L25" s="10">
        <v>45</v>
      </c>
      <c r="M25" s="12" t="s">
        <v>103</v>
      </c>
    </row>
    <row r="26" spans="1:18" x14ac:dyDescent="0.2">
      <c r="A26" s="25" t="s">
        <v>104</v>
      </c>
      <c r="B26" s="10">
        <v>0.71</v>
      </c>
      <c r="C26" s="12"/>
      <c r="F26" s="25" t="s">
        <v>104</v>
      </c>
      <c r="G26" s="10">
        <v>6.9</v>
      </c>
      <c r="H26" s="12"/>
      <c r="K26" s="25" t="s">
        <v>105</v>
      </c>
      <c r="L26" s="10">
        <f>(1-('Cooling Load'!B4*0.01))*'Cooling Load'!B6</f>
        <v>5.1599999999999948</v>
      </c>
      <c r="M26" s="12"/>
    </row>
    <row r="27" spans="1:18" ht="18" thickBot="1" x14ac:dyDescent="0.25">
      <c r="A27" s="22" t="s">
        <v>106</v>
      </c>
      <c r="B27" s="34">
        <f>1.072*10^-5</f>
        <v>1.0720000000000001E-5</v>
      </c>
      <c r="C27" s="15"/>
      <c r="F27" s="22" t="s">
        <v>106</v>
      </c>
      <c r="G27" s="34">
        <f>5.112*10^-7</f>
        <v>5.1119999999999997E-7</v>
      </c>
      <c r="H27" s="15"/>
      <c r="K27" s="25" t="s">
        <v>107</v>
      </c>
      <c r="L27" s="10">
        <f>'General Overview '!Q2</f>
        <v>33</v>
      </c>
      <c r="M27" s="12" t="s">
        <v>108</v>
      </c>
    </row>
    <row r="28" spans="1:18" x14ac:dyDescent="0.2">
      <c r="A28" s="37" t="s">
        <v>109</v>
      </c>
      <c r="K28" s="25" t="s">
        <v>110</v>
      </c>
      <c r="L28" s="55">
        <f>L27+L29</f>
        <v>38</v>
      </c>
      <c r="M28" s="12" t="s">
        <v>111</v>
      </c>
    </row>
    <row r="29" spans="1:18" ht="18" thickBot="1" x14ac:dyDescent="0.3">
      <c r="A29" s="57" t="s">
        <v>112</v>
      </c>
      <c r="K29" s="22" t="s">
        <v>113</v>
      </c>
      <c r="L29" s="78">
        <v>5</v>
      </c>
      <c r="M29" s="15"/>
    </row>
    <row r="30" spans="1:18" ht="16" thickBot="1" x14ac:dyDescent="0.25">
      <c r="A30" s="58" t="s">
        <v>114</v>
      </c>
      <c r="O30" s="53" t="s">
        <v>115</v>
      </c>
      <c r="P30" s="54">
        <v>1.2</v>
      </c>
    </row>
    <row r="31" spans="1:18" ht="16" thickBot="1" x14ac:dyDescent="0.25">
      <c r="A31" s="70" t="s">
        <v>116</v>
      </c>
      <c r="O31" s="53" t="s">
        <v>117</v>
      </c>
      <c r="P31" s="71">
        <f>L24*P30</f>
        <v>8.7089963369963446</v>
      </c>
      <c r="R31" s="24" t="s">
        <v>118</v>
      </c>
    </row>
    <row r="32" spans="1:18" ht="16" thickBot="1" x14ac:dyDescent="0.25">
      <c r="A32" s="24">
        <v>5</v>
      </c>
      <c r="B32" s="63" t="s">
        <v>119</v>
      </c>
      <c r="D32" s="64" t="s">
        <v>120</v>
      </c>
      <c r="F32"/>
      <c r="I32" s="24">
        <v>0</v>
      </c>
      <c r="J32" s="37" t="s">
        <v>121</v>
      </c>
      <c r="K32" s="10">
        <v>8</v>
      </c>
      <c r="N32" s="37"/>
      <c r="R32" s="24">
        <v>15</v>
      </c>
    </row>
    <row r="33" spans="1:30" ht="19" thickBot="1" x14ac:dyDescent="0.3">
      <c r="A33" s="26" t="s">
        <v>122</v>
      </c>
      <c r="B33" s="62" t="s">
        <v>123</v>
      </c>
      <c r="C33" s="62" t="s">
        <v>124</v>
      </c>
      <c r="D33" s="65" t="s">
        <v>123</v>
      </c>
      <c r="E33" s="65" t="s">
        <v>125</v>
      </c>
      <c r="F33" s="66" t="s">
        <v>126</v>
      </c>
      <c r="G33" s="67" t="s">
        <v>127</v>
      </c>
      <c r="H33" s="24"/>
      <c r="I33" s="26" t="s">
        <v>128</v>
      </c>
      <c r="J33" s="27" t="s">
        <v>129</v>
      </c>
      <c r="K33" s="27" t="s">
        <v>130</v>
      </c>
      <c r="L33" s="28" t="s">
        <v>131</v>
      </c>
      <c r="N33" s="41" t="s">
        <v>132</v>
      </c>
      <c r="P33" s="41" t="s">
        <v>133</v>
      </c>
      <c r="R33" s="41" t="s">
        <v>134</v>
      </c>
      <c r="T33" s="41" t="s">
        <v>135</v>
      </c>
      <c r="V33" s="41" t="s">
        <v>136</v>
      </c>
      <c r="X33" s="41" t="s">
        <v>137</v>
      </c>
      <c r="Z33" s="41" t="s">
        <v>138</v>
      </c>
      <c r="AB33" s="41" t="s">
        <v>139</v>
      </c>
      <c r="AD33" s="47" t="s">
        <v>140</v>
      </c>
    </row>
    <row r="34" spans="1:30" x14ac:dyDescent="0.2">
      <c r="A34" s="38">
        <v>0</v>
      </c>
      <c r="B34" s="24">
        <f t="shared" ref="B34:B65" si="0">A34/(H$10*60)</f>
        <v>0</v>
      </c>
      <c r="C34" s="24">
        <f>B34/3.281</f>
        <v>0</v>
      </c>
      <c r="D34" s="24">
        <f>A34/(H$12*60)</f>
        <v>0</v>
      </c>
      <c r="E34" s="24">
        <f>D34/3.281</f>
        <v>0</v>
      </c>
      <c r="F34" s="48">
        <f>B$24*((0.3/B$25)+(0.62*B$26^(1/3))/((1+(0.4/B$26)^(2/3))^(1/4)))*SQRT(E34/(B$27*B$25))*(1+(E34*B$25/(28200*B$27))^(5/8))^(4/5)</f>
        <v>0</v>
      </c>
      <c r="G34" s="48">
        <f t="shared" ref="G34:G65" si="1">B$24*((0.3/B$25)+(0.62*B$26^(1/3))/((1+(0.4/B$26)^(2/3))^(1/4)))*SQRT(C34/(B$27*B$25))*(1+(C34*B$25/(28200*B$27))^(5/8))^(4/5)</f>
        <v>0</v>
      </c>
      <c r="I34" s="38">
        <v>6</v>
      </c>
      <c r="J34" s="24">
        <f>I34*0.0000166667</f>
        <v>1.0000020000000001E-4</v>
      </c>
      <c r="K34" s="24">
        <f t="shared" ref="K34:K65" si="2">(J34)/(PI()*(K$32*10^-3)^2)</f>
        <v>0.49736019188056735</v>
      </c>
      <c r="L34" s="48">
        <f t="shared" ref="L34:L65" si="3">G$24*((0.3/G$25)+(0.62*G$26^(1/3))/((1+(0.4/G$26)^(2/3))^(1/4)))*SQRT(K34/(G$27*G$25))*(1+(K34*G$25/(28200*G$27))^(5/8))^(4/5)</f>
        <v>6179241.1277761422</v>
      </c>
      <c r="N34" s="42">
        <v>0</v>
      </c>
      <c r="P34" s="42">
        <v>0</v>
      </c>
      <c r="R34" s="42">
        <f>L25+R32</f>
        <v>60</v>
      </c>
      <c r="T34" s="42">
        <f>((L$23-L$22)/LN(L$23/L$22))*0.95</f>
        <v>15.673055351692222</v>
      </c>
      <c r="V34" s="42">
        <f t="shared" ref="V34:V65" si="4">P34*T34*L$11*0.00001</f>
        <v>0</v>
      </c>
      <c r="X34" s="42">
        <f t="shared" ref="X34:X65" si="5">T34*P34*O$11*0.00001</f>
        <v>0</v>
      </c>
      <c r="Z34" s="42">
        <f t="shared" ref="Z34:Z65" si="6">T34*P34*R$11*0.00001</f>
        <v>0</v>
      </c>
      <c r="AB34" s="42">
        <f>T34*N34*U$11*0.00001</f>
        <v>0</v>
      </c>
      <c r="AD34" s="47">
        <f>T34*N34*X$11*0.00001</f>
        <v>0</v>
      </c>
    </row>
    <row r="35" spans="1:30" x14ac:dyDescent="0.2">
      <c r="A35" s="38">
        <f>A34+A$32</f>
        <v>5</v>
      </c>
      <c r="B35" s="24">
        <f>A35/(H$10*60)</f>
        <v>0.81465443770050017</v>
      </c>
      <c r="C35" s="24">
        <f>B35/3.281</f>
        <v>0.24829455583678761</v>
      </c>
      <c r="D35" s="24">
        <f>A35/(H$12*60)</f>
        <v>0.58327329563171892</v>
      </c>
      <c r="E35" s="24">
        <f t="shared" ref="E35:E94" si="7">D35/3.281</f>
        <v>0.17777302518491889</v>
      </c>
      <c r="F35" s="48">
        <f t="shared" ref="F35:F94" si="8">B$24*((0.3/B$25)+(0.62*B$26^(1/3))/((1+(0.4/B$26)^(2/3))^(1/4)))*SQRT(E35/(B$27*B$25))*(1+(E35*B$25/(28200*B$27))^(5/8))^(4/5)</f>
        <v>6235.8660179504868</v>
      </c>
      <c r="G35" s="48">
        <f>B$24*((0.3/B$25)+(0.62*B$26^(1/3))/((1+(0.4/B$26)^(2/3))^(1/4)))*SQRT(C35/(B$27*B$25))*(1+(C35*B$25/(28200*B$27))^(5/8))^(4/5)</f>
        <v>7395.1961786022375</v>
      </c>
      <c r="I35" s="38">
        <f>I34+I$32</f>
        <v>6</v>
      </c>
      <c r="J35" s="24">
        <f>I35*0.0000166667</f>
        <v>1.0000020000000001E-4</v>
      </c>
      <c r="K35" s="24">
        <f t="shared" si="2"/>
        <v>0.49736019188056735</v>
      </c>
      <c r="L35" s="48">
        <f t="shared" si="3"/>
        <v>6179241.1277761422</v>
      </c>
      <c r="N35" s="42">
        <f>(1)/((1/L35)+(1/F35)+(H$14/H$15))</f>
        <v>6148.7687139760492</v>
      </c>
      <c r="P35" s="42">
        <f t="shared" ref="P35:P66" si="9">(1)/((1/L35)+(1/G35)+(H$14/H$15))</f>
        <v>7273.0206299538804</v>
      </c>
      <c r="R35" s="42">
        <f>R34</f>
        <v>60</v>
      </c>
      <c r="T35" s="42">
        <f t="shared" ref="T35:T65" si="10">((L$23-L$22)/LN(L$23/L$22))</f>
        <v>16.497953001781287</v>
      </c>
      <c r="V35" s="42">
        <f t="shared" si="4"/>
        <v>1.3958894131636304</v>
      </c>
      <c r="X35" s="42">
        <f t="shared" si="5"/>
        <v>2.0938341197454453</v>
      </c>
      <c r="Z35" s="42">
        <f t="shared" si="6"/>
        <v>2.9468776500121083</v>
      </c>
      <c r="AB35" s="42">
        <f>T35*N35*U$11*0.00001</f>
        <v>2.5362121828842716</v>
      </c>
      <c r="AD35" s="42">
        <f t="shared" ref="AD35:AD94" si="11">T35*N35*X$11*0.00001</f>
        <v>3.5694838129482345</v>
      </c>
    </row>
    <row r="36" spans="1:30" x14ac:dyDescent="0.2">
      <c r="A36" s="38">
        <f t="shared" ref="A36:A94" si="12">A35+A$32</f>
        <v>10</v>
      </c>
      <c r="B36" s="24">
        <f>A36/(H$10*60)</f>
        <v>1.6293088754010003</v>
      </c>
      <c r="C36" s="24">
        <f>B36/3.281</f>
        <v>0.49658911167357522</v>
      </c>
      <c r="D36" s="24">
        <f>A36/(H$12*60)</f>
        <v>1.1665465912634378</v>
      </c>
      <c r="E36" s="24">
        <f t="shared" si="7"/>
        <v>0.35554605036983777</v>
      </c>
      <c r="F36" s="48">
        <f t="shared" si="8"/>
        <v>8890.1547719135306</v>
      </c>
      <c r="G36" s="48">
        <f t="shared" si="1"/>
        <v>10562.117040877345</v>
      </c>
      <c r="I36" s="38">
        <f>I35+I$32</f>
        <v>6</v>
      </c>
      <c r="J36" s="24">
        <f t="shared" ref="J36:J65" si="13">I36*0.0000166667</f>
        <v>1.0000020000000001E-4</v>
      </c>
      <c r="K36" s="24">
        <f t="shared" si="2"/>
        <v>0.49736019188056735</v>
      </c>
      <c r="L36" s="48">
        <f t="shared" si="3"/>
        <v>6179241.1277761422</v>
      </c>
      <c r="N36" s="42">
        <f>(1)/((1/L36)+(1/F36)+(H$14/H$15))</f>
        <v>8714.1779281316503</v>
      </c>
      <c r="P36" s="42">
        <f t="shared" si="9"/>
        <v>10314.645611945798</v>
      </c>
      <c r="R36" s="42">
        <f t="shared" ref="R36:R93" si="14">R35</f>
        <v>60</v>
      </c>
      <c r="T36" s="42">
        <f t="shared" si="10"/>
        <v>16.497953001781287</v>
      </c>
      <c r="V36" s="42">
        <f t="shared" si="4"/>
        <v>1.9796595311377709</v>
      </c>
      <c r="X36" s="42">
        <f t="shared" si="5"/>
        <v>2.969489296706656</v>
      </c>
      <c r="Z36" s="42">
        <f t="shared" si="6"/>
        <v>4.1792812324019604</v>
      </c>
      <c r="AB36" s="42">
        <f t="shared" ref="AB36:AB94" si="15">T36*N36*U$11*0.00001</f>
        <v>3.5943788509906871</v>
      </c>
      <c r="AD36" s="42">
        <f t="shared" si="11"/>
        <v>5.0587554199128189</v>
      </c>
    </row>
    <row r="37" spans="1:30" x14ac:dyDescent="0.2">
      <c r="A37" s="38">
        <f t="shared" si="12"/>
        <v>15</v>
      </c>
      <c r="B37" s="24">
        <f>A37/(H$10*60)</f>
        <v>2.4439633131015004</v>
      </c>
      <c r="C37" s="24">
        <f>B37/3.281</f>
        <v>0.74488366751036283</v>
      </c>
      <c r="D37" s="24">
        <f t="shared" ref="D37:D94" si="16">A37/(H$12*60)</f>
        <v>1.7498198868951569</v>
      </c>
      <c r="E37" s="24">
        <f t="shared" si="7"/>
        <v>0.53331907555475677</v>
      </c>
      <c r="F37" s="48">
        <f>B$24*((0.3/B$25)+(0.62*B$26^(1/3))/((1+(0.4/B$26)^(2/3))^(1/4)))*SQRT(E37/(B$27*B$25))*(1+(E37*B$25/(28200*B$27))^(5/8))^(4/5)</f>
        <v>10959.685859174648</v>
      </c>
      <c r="G37" s="48">
        <f t="shared" si="1"/>
        <v>13039.885967112918</v>
      </c>
      <c r="I37" s="38">
        <f t="shared" ref="I37:I66" si="17">I36+I$32</f>
        <v>6</v>
      </c>
      <c r="J37" s="24">
        <f t="shared" si="13"/>
        <v>1.0000020000000001E-4</v>
      </c>
      <c r="K37" s="24">
        <f t="shared" si="2"/>
        <v>0.49736019188056735</v>
      </c>
      <c r="L37" s="48">
        <f t="shared" si="3"/>
        <v>6179241.1277761422</v>
      </c>
      <c r="N37" s="42">
        <f t="shared" ref="N37:N94" si="18">(1)/((1/L37)+(1/F37)+(H$14/H$15))</f>
        <v>10693.468435042903</v>
      </c>
      <c r="P37" s="42">
        <f>(1)/((1/L37)+(1/G37)+(H$14/H$15))</f>
        <v>12664.748751031324</v>
      </c>
      <c r="R37" s="42">
        <f t="shared" si="14"/>
        <v>60</v>
      </c>
      <c r="T37" s="42">
        <f t="shared" si="10"/>
        <v>16.497953001781287</v>
      </c>
      <c r="V37" s="42">
        <f t="shared" si="4"/>
        <v>2.4307078999793843</v>
      </c>
      <c r="X37" s="42">
        <f t="shared" si="5"/>
        <v>3.6460618499690765</v>
      </c>
      <c r="Z37" s="42">
        <f t="shared" si="6"/>
        <v>5.1314944555120334</v>
      </c>
      <c r="AB37" s="42">
        <f t="shared" si="15"/>
        <v>4.4107863189908008</v>
      </c>
      <c r="AD37" s="42">
        <f t="shared" si="11"/>
        <v>6.2077733378389048</v>
      </c>
    </row>
    <row r="38" spans="1:30" x14ac:dyDescent="0.2">
      <c r="A38" s="38">
        <f t="shared" si="12"/>
        <v>20</v>
      </c>
      <c r="B38" s="24">
        <f>A38/(H$10*60)</f>
        <v>3.2586177508020007</v>
      </c>
      <c r="C38" s="24">
        <f t="shared" ref="C38:C94" si="19">B38/3.281</f>
        <v>0.99317822334715045</v>
      </c>
      <c r="D38" s="24">
        <f t="shared" si="16"/>
        <v>2.3330931825268757</v>
      </c>
      <c r="E38" s="24">
        <f>D38/3.281</f>
        <v>0.71109210073967555</v>
      </c>
      <c r="F38" s="48">
        <f>B$24*((0.3/B$25)+(0.62*B$26^(1/3))/((1+(0.4/B$26)^(2/3))^(1/4)))*SQRT(E38/(B$27*B$25))*(1+(E38*B$25/(28200*B$27))^(5/8))^(4/5)</f>
        <v>12727.707561083613</v>
      </c>
      <c r="G38" s="48">
        <f t="shared" si="1"/>
        <v>15162.62408282168</v>
      </c>
      <c r="I38" s="38">
        <f t="shared" si="17"/>
        <v>6</v>
      </c>
      <c r="J38" s="24">
        <f t="shared" si="13"/>
        <v>1.0000020000000001E-4</v>
      </c>
      <c r="K38" s="24">
        <f t="shared" si="2"/>
        <v>0.49736019188056735</v>
      </c>
      <c r="L38" s="48">
        <f t="shared" si="3"/>
        <v>6179241.1277761422</v>
      </c>
      <c r="N38" s="42">
        <f>(1)/((1/L38)+(1/F38)+(H$14/H$15))</f>
        <v>12370.070800357629</v>
      </c>
      <c r="P38" s="42">
        <f t="shared" si="9"/>
        <v>14657.774296126105</v>
      </c>
      <c r="R38" s="42">
        <f t="shared" si="14"/>
        <v>60</v>
      </c>
      <c r="T38" s="42">
        <f t="shared" si="10"/>
        <v>16.497953001781287</v>
      </c>
      <c r="V38" s="42">
        <f t="shared" si="4"/>
        <v>2.8132234186491174</v>
      </c>
      <c r="X38" s="42">
        <f>T38*P38*O$11*0.00001</f>
        <v>4.2198351279736759</v>
      </c>
      <c r="Z38" s="42">
        <f t="shared" si="6"/>
        <v>5.9390272171481362</v>
      </c>
      <c r="AB38" s="42">
        <f t="shared" si="15"/>
        <v>5.1023425544853271</v>
      </c>
      <c r="AD38" s="42">
        <f t="shared" si="11"/>
        <v>7.1810747063126827</v>
      </c>
    </row>
    <row r="39" spans="1:30" x14ac:dyDescent="0.2">
      <c r="A39" s="38">
        <f t="shared" si="12"/>
        <v>25</v>
      </c>
      <c r="B39" s="24">
        <f t="shared" si="0"/>
        <v>4.0732721885025009</v>
      </c>
      <c r="C39" s="24">
        <f>B39/3.281</f>
        <v>1.2414727791839382</v>
      </c>
      <c r="D39" s="24">
        <f t="shared" si="16"/>
        <v>2.9163664781585945</v>
      </c>
      <c r="E39" s="24">
        <f t="shared" si="7"/>
        <v>0.88886512592459443</v>
      </c>
      <c r="F39" s="48">
        <f>B$24*((0.3/B$25)+(0.62*B$26^(1/3))/((1+(0.4/B$26)^(2/3))^(1/4)))*SQRT(E39/(B$27*B$25))*(1+(E39*B$25/(28200*B$27))^(5/8))^(4/5)</f>
        <v>14303.678271112916</v>
      </c>
      <c r="G39" s="48">
        <f t="shared" si="1"/>
        <v>17059.380298545042</v>
      </c>
      <c r="I39" s="38">
        <f t="shared" si="17"/>
        <v>6</v>
      </c>
      <c r="J39" s="24">
        <f t="shared" si="13"/>
        <v>1.0000020000000001E-4</v>
      </c>
      <c r="K39" s="24">
        <f t="shared" si="2"/>
        <v>0.49736019188056735</v>
      </c>
      <c r="L39" s="48">
        <f t="shared" si="3"/>
        <v>6179241.1277761422</v>
      </c>
      <c r="N39" s="42">
        <f t="shared" si="18"/>
        <v>13853.557731240167</v>
      </c>
      <c r="P39" s="42">
        <f t="shared" si="9"/>
        <v>16422.973483515787</v>
      </c>
      <c r="R39" s="42">
        <f>R38</f>
        <v>60</v>
      </c>
      <c r="T39" s="42">
        <f t="shared" si="10"/>
        <v>16.497953001781287</v>
      </c>
      <c r="V39" s="42">
        <f t="shared" si="4"/>
        <v>3.1520128959749809</v>
      </c>
      <c r="X39" s="42">
        <f t="shared" si="5"/>
        <v>4.7280193439624716</v>
      </c>
      <c r="Z39" s="42">
        <f t="shared" si="6"/>
        <v>6.6542494470582927</v>
      </c>
      <c r="AB39" s="42">
        <f t="shared" si="15"/>
        <v>5.7142435386127568</v>
      </c>
      <c r="AD39" s="42">
        <f t="shared" si="11"/>
        <v>8.0422686839735089</v>
      </c>
    </row>
    <row r="40" spans="1:30" x14ac:dyDescent="0.2">
      <c r="A40" s="38">
        <f>A39+A$32</f>
        <v>30</v>
      </c>
      <c r="B40" s="24">
        <f t="shared" si="0"/>
        <v>4.8879266262030008</v>
      </c>
      <c r="C40" s="24">
        <f t="shared" si="19"/>
        <v>1.4897673350207257</v>
      </c>
      <c r="D40" s="24">
        <f t="shared" si="16"/>
        <v>3.4996397737903138</v>
      </c>
      <c r="E40" s="24">
        <f t="shared" si="7"/>
        <v>1.0666381511095135</v>
      </c>
      <c r="F40" s="48">
        <f t="shared" si="8"/>
        <v>15743.625319099818</v>
      </c>
      <c r="G40" s="48">
        <f t="shared" si="1"/>
        <v>18796.180183434375</v>
      </c>
      <c r="I40" s="38">
        <f t="shared" si="17"/>
        <v>6</v>
      </c>
      <c r="J40" s="24">
        <f t="shared" si="13"/>
        <v>1.0000020000000001E-4</v>
      </c>
      <c r="K40" s="24">
        <f t="shared" si="2"/>
        <v>0.49736019188056735</v>
      </c>
      <c r="L40" s="48">
        <f t="shared" si="3"/>
        <v>6179241.1277761422</v>
      </c>
      <c r="N40" s="42">
        <f>(1)/((1/L40)+(1/F40)+(H$14/H$15))</f>
        <v>15200.038143298338</v>
      </c>
      <c r="P40" s="42">
        <f t="shared" si="9"/>
        <v>18026.516169789091</v>
      </c>
      <c r="R40" s="42">
        <f t="shared" si="14"/>
        <v>60</v>
      </c>
      <c r="T40" s="42">
        <f t="shared" si="10"/>
        <v>16.497953001781287</v>
      </c>
      <c r="V40" s="42">
        <f t="shared" si="4"/>
        <v>3.4597761175044477</v>
      </c>
      <c r="X40" s="42">
        <f t="shared" si="5"/>
        <v>5.1896641762566711</v>
      </c>
      <c r="Z40" s="42">
        <f t="shared" si="6"/>
        <v>7.3039718036205006</v>
      </c>
      <c r="AB40" s="42">
        <f t="shared" si="15"/>
        <v>6.2696327854573832</v>
      </c>
      <c r="AD40" s="42">
        <f t="shared" si="11"/>
        <v>8.8239276239770597</v>
      </c>
    </row>
    <row r="41" spans="1:30" x14ac:dyDescent="0.2">
      <c r="A41" s="38">
        <f t="shared" si="12"/>
        <v>35</v>
      </c>
      <c r="B41" s="24">
        <f>A41/(H$10*60)</f>
        <v>5.7025810639035015</v>
      </c>
      <c r="C41" s="24">
        <f t="shared" si="19"/>
        <v>1.7380618908575134</v>
      </c>
      <c r="D41" s="24">
        <f t="shared" si="16"/>
        <v>4.0829130694220321</v>
      </c>
      <c r="E41" s="24">
        <f t="shared" si="7"/>
        <v>1.2444111762944321</v>
      </c>
      <c r="F41" s="48">
        <f>B$24*((0.3/B$25)+(0.62*B$26^(1/3))/((1+(0.4/B$26)^(2/3))^(1/4)))*SQRT(E41/(B$27*B$25))*(1+(E41*B$25/(28200*B$27))^(5/8))^(4/5)</f>
        <v>17080.773416618584</v>
      </c>
      <c r="G41" s="48">
        <f t="shared" si="1"/>
        <v>20412.162009172789</v>
      </c>
      <c r="I41" s="38">
        <f t="shared" si="17"/>
        <v>6</v>
      </c>
      <c r="J41" s="24">
        <f t="shared" si="13"/>
        <v>1.0000020000000001E-4</v>
      </c>
      <c r="K41" s="24">
        <f t="shared" si="2"/>
        <v>0.49736019188056735</v>
      </c>
      <c r="L41" s="48">
        <f t="shared" si="3"/>
        <v>6179241.1277761422</v>
      </c>
      <c r="N41" s="42">
        <f t="shared" si="18"/>
        <v>16442.799289547238</v>
      </c>
      <c r="P41" s="42">
        <f t="shared" si="9"/>
        <v>19507.651187421077</v>
      </c>
      <c r="R41" s="42">
        <f t="shared" si="14"/>
        <v>60</v>
      </c>
      <c r="T41" s="42">
        <f t="shared" si="10"/>
        <v>16.497953001781287</v>
      </c>
      <c r="V41" s="42">
        <f t="shared" si="4"/>
        <v>3.7440459959732961</v>
      </c>
      <c r="X41" s="42">
        <f t="shared" si="5"/>
        <v>5.6160689939599431</v>
      </c>
      <c r="Z41" s="42">
        <f t="shared" si="6"/>
        <v>7.9040971026102902</v>
      </c>
      <c r="AB41" s="42">
        <f t="shared" si="15"/>
        <v>6.7822404482513106</v>
      </c>
      <c r="AD41" s="42">
        <f t="shared" si="11"/>
        <v>9.5453754456870286</v>
      </c>
    </row>
    <row r="42" spans="1:30" x14ac:dyDescent="0.2">
      <c r="A42" s="38">
        <f t="shared" si="12"/>
        <v>40</v>
      </c>
      <c r="B42" s="24">
        <f t="shared" si="0"/>
        <v>6.5172355016040013</v>
      </c>
      <c r="C42" s="24">
        <f t="shared" si="19"/>
        <v>1.9863564466943009</v>
      </c>
      <c r="D42" s="24">
        <f t="shared" si="16"/>
        <v>4.6661863650537514</v>
      </c>
      <c r="E42" s="24">
        <f t="shared" si="7"/>
        <v>1.4221842014793511</v>
      </c>
      <c r="F42" s="48">
        <f t="shared" si="8"/>
        <v>18336.73555809557</v>
      </c>
      <c r="G42" s="48">
        <f t="shared" si="1"/>
        <v>21932.776377917929</v>
      </c>
      <c r="I42" s="38">
        <f t="shared" si="17"/>
        <v>6</v>
      </c>
      <c r="J42" s="24">
        <f t="shared" si="13"/>
        <v>1.0000020000000001E-4</v>
      </c>
      <c r="K42" s="24">
        <f t="shared" si="2"/>
        <v>0.49736019188056735</v>
      </c>
      <c r="L42" s="48">
        <f t="shared" si="3"/>
        <v>6179241.1277761422</v>
      </c>
      <c r="N42" s="42">
        <f t="shared" si="18"/>
        <v>17603.504363547123</v>
      </c>
      <c r="P42" s="42">
        <f t="shared" si="9"/>
        <v>20891.917862636008</v>
      </c>
      <c r="R42" s="42">
        <f t="shared" si="14"/>
        <v>60</v>
      </c>
      <c r="T42" s="42">
        <f t="shared" si="10"/>
        <v>16.497953001781287</v>
      </c>
      <c r="V42" s="42">
        <f t="shared" si="4"/>
        <v>4.0097242189896924</v>
      </c>
      <c r="X42" s="42">
        <f t="shared" si="5"/>
        <v>6.0145863284845387</v>
      </c>
      <c r="Z42" s="42">
        <f t="shared" si="6"/>
        <v>8.4649733512004612</v>
      </c>
      <c r="AB42" s="42">
        <f t="shared" si="15"/>
        <v>7.2610020485572218</v>
      </c>
      <c r="AD42" s="42">
        <f t="shared" si="11"/>
        <v>10.219188068339793</v>
      </c>
    </row>
    <row r="43" spans="1:30" x14ac:dyDescent="0.2">
      <c r="A43" s="38">
        <f t="shared" si="12"/>
        <v>45</v>
      </c>
      <c r="B43" s="24">
        <f t="shared" si="0"/>
        <v>7.3318899393045012</v>
      </c>
      <c r="C43" s="24">
        <f t="shared" si="19"/>
        <v>2.2346510025310882</v>
      </c>
      <c r="D43" s="24">
        <f t="shared" si="16"/>
        <v>5.2494596606854707</v>
      </c>
      <c r="E43" s="24">
        <f t="shared" si="7"/>
        <v>1.5999572266642701</v>
      </c>
      <c r="F43" s="48">
        <f t="shared" si="8"/>
        <v>19526.501665860374</v>
      </c>
      <c r="G43" s="48">
        <f t="shared" si="1"/>
        <v>23375.66887668283</v>
      </c>
      <c r="I43" s="38">
        <f t="shared" si="17"/>
        <v>6</v>
      </c>
      <c r="J43" s="24">
        <f t="shared" si="13"/>
        <v>1.0000020000000001E-4</v>
      </c>
      <c r="K43" s="24">
        <f t="shared" si="2"/>
        <v>0.49736019188056735</v>
      </c>
      <c r="L43" s="48">
        <f t="shared" si="3"/>
        <v>6179241.1277761422</v>
      </c>
      <c r="N43" s="42">
        <f t="shared" si="18"/>
        <v>18697.184900998989</v>
      </c>
      <c r="P43" s="42">
        <f t="shared" si="9"/>
        <v>22197.03532697741</v>
      </c>
      <c r="R43" s="42">
        <f t="shared" si="14"/>
        <v>60</v>
      </c>
      <c r="T43" s="42">
        <f t="shared" si="10"/>
        <v>16.497953001781287</v>
      </c>
      <c r="V43" s="42">
        <f t="shared" si="4"/>
        <v>4.2602115672458014</v>
      </c>
      <c r="X43" s="42">
        <f t="shared" si="5"/>
        <v>6.3903173508687017</v>
      </c>
      <c r="Z43" s="42">
        <f t="shared" si="6"/>
        <v>8.9937799752966914</v>
      </c>
      <c r="AB43" s="42">
        <f>T43*N43*U$11*0.00001</f>
        <v>7.7121177161483656</v>
      </c>
      <c r="AD43" s="42">
        <f t="shared" si="11"/>
        <v>10.854091600505107</v>
      </c>
    </row>
    <row r="44" spans="1:30" x14ac:dyDescent="0.2">
      <c r="A44" s="38">
        <f t="shared" si="12"/>
        <v>50</v>
      </c>
      <c r="B44" s="24">
        <f t="shared" si="0"/>
        <v>8.1465443770050019</v>
      </c>
      <c r="C44" s="24">
        <f t="shared" si="19"/>
        <v>2.4829455583678763</v>
      </c>
      <c r="D44" s="24">
        <f t="shared" si="16"/>
        <v>5.832732956317189</v>
      </c>
      <c r="E44" s="24">
        <f t="shared" si="7"/>
        <v>1.7777302518491889</v>
      </c>
      <c r="F44" s="48">
        <f t="shared" si="8"/>
        <v>20660.970352889108</v>
      </c>
      <c r="G44" s="48">
        <f t="shared" si="1"/>
        <v>24753.664885828992</v>
      </c>
      <c r="I44" s="38">
        <f t="shared" si="17"/>
        <v>6</v>
      </c>
      <c r="J44" s="24">
        <f t="shared" si="13"/>
        <v>1.0000020000000001E-4</v>
      </c>
      <c r="K44" s="24">
        <f t="shared" si="2"/>
        <v>0.49736019188056735</v>
      </c>
      <c r="L44" s="48">
        <f t="shared" si="3"/>
        <v>6179241.1277761422</v>
      </c>
      <c r="N44" s="42">
        <f t="shared" si="18"/>
        <v>19734.77484657164</v>
      </c>
      <c r="P44" s="42">
        <f t="shared" si="9"/>
        <v>23435.891405544178</v>
      </c>
      <c r="R44" s="42">
        <f t="shared" si="14"/>
        <v>60</v>
      </c>
      <c r="T44" s="42">
        <f t="shared" si="10"/>
        <v>16.497953001781287</v>
      </c>
      <c r="V44" s="42">
        <f t="shared" si="4"/>
        <v>4.4979815630275581</v>
      </c>
      <c r="X44" s="42">
        <f t="shared" si="5"/>
        <v>6.7469723445413372</v>
      </c>
      <c r="Z44" s="42">
        <f t="shared" si="6"/>
        <v>9.4957388552804005</v>
      </c>
      <c r="AB44" s="42">
        <f t="shared" si="15"/>
        <v>8.1400974277316163</v>
      </c>
      <c r="AD44" s="42">
        <f t="shared" si="11"/>
        <v>11.456433416807458</v>
      </c>
    </row>
    <row r="45" spans="1:30" x14ac:dyDescent="0.2">
      <c r="A45" s="38">
        <f t="shared" si="12"/>
        <v>55</v>
      </c>
      <c r="B45" s="24">
        <f t="shared" si="0"/>
        <v>8.9611988147055026</v>
      </c>
      <c r="C45" s="24">
        <f t="shared" si="19"/>
        <v>2.7312401142046641</v>
      </c>
      <c r="D45" s="24">
        <f t="shared" si="16"/>
        <v>6.4160062519489083</v>
      </c>
      <c r="E45" s="24">
        <f t="shared" si="7"/>
        <v>1.9555032770341079</v>
      </c>
      <c r="F45" s="48">
        <f t="shared" si="8"/>
        <v>21748.35810323551</v>
      </c>
      <c r="G45" s="48">
        <f t="shared" si="1"/>
        <v>26076.430577293224</v>
      </c>
      <c r="I45" s="38">
        <f t="shared" si="17"/>
        <v>6</v>
      </c>
      <c r="J45" s="24">
        <f t="shared" si="13"/>
        <v>1.0000020000000001E-4</v>
      </c>
      <c r="K45" s="24">
        <f t="shared" si="2"/>
        <v>0.49736019188056735</v>
      </c>
      <c r="L45" s="48">
        <f t="shared" si="3"/>
        <v>6179241.1277761422</v>
      </c>
      <c r="N45" s="42">
        <f t="shared" si="18"/>
        <v>20724.521242484836</v>
      </c>
      <c r="P45" s="42">
        <f t="shared" si="9"/>
        <v>24618.20628380257</v>
      </c>
      <c r="R45" s="42">
        <f t="shared" si="14"/>
        <v>60</v>
      </c>
      <c r="T45" s="42">
        <f t="shared" si="10"/>
        <v>16.497953001781287</v>
      </c>
      <c r="V45" s="42">
        <f t="shared" si="4"/>
        <v>4.724899772882436</v>
      </c>
      <c r="X45" s="42">
        <f t="shared" si="5"/>
        <v>7.0873496593236549</v>
      </c>
      <c r="Z45" s="42">
        <f t="shared" si="6"/>
        <v>9.9747884094184762</v>
      </c>
      <c r="AB45" s="42">
        <f t="shared" si="15"/>
        <v>8.5483428804472457</v>
      </c>
      <c r="AD45" s="42">
        <f t="shared" si="11"/>
        <v>12.031001090999826</v>
      </c>
    </row>
    <row r="46" spans="1:30" x14ac:dyDescent="0.2">
      <c r="A46" s="38">
        <f t="shared" si="12"/>
        <v>60</v>
      </c>
      <c r="B46" s="24">
        <f t="shared" si="0"/>
        <v>9.7758532524060016</v>
      </c>
      <c r="C46" s="24">
        <f t="shared" si="19"/>
        <v>2.9795346700414513</v>
      </c>
      <c r="D46" s="24">
        <f t="shared" si="16"/>
        <v>6.9992795475806275</v>
      </c>
      <c r="E46" s="24">
        <f t="shared" si="7"/>
        <v>2.1332763022190271</v>
      </c>
      <c r="F46" s="48">
        <f t="shared" si="8"/>
        <v>22795.040075201308</v>
      </c>
      <c r="G46" s="48">
        <f t="shared" si="1"/>
        <v>27351.463771620241</v>
      </c>
      <c r="I46" s="38">
        <f t="shared" si="17"/>
        <v>6</v>
      </c>
      <c r="J46" s="24">
        <f t="shared" si="13"/>
        <v>1.0000020000000001E-4</v>
      </c>
      <c r="K46" s="24">
        <f t="shared" si="2"/>
        <v>0.49736019188056735</v>
      </c>
      <c r="L46" s="48">
        <f t="shared" si="3"/>
        <v>6179241.1277761422</v>
      </c>
      <c r="N46" s="42">
        <f t="shared" si="18"/>
        <v>21672.826068793569</v>
      </c>
      <c r="P46" s="42">
        <f t="shared" si="9"/>
        <v>25751.525198680185</v>
      </c>
      <c r="R46" s="42">
        <f t="shared" si="14"/>
        <v>60</v>
      </c>
      <c r="T46" s="42">
        <f t="shared" si="10"/>
        <v>16.497953001781287</v>
      </c>
      <c r="V46" s="42">
        <f t="shared" si="4"/>
        <v>4.9424143318952831</v>
      </c>
      <c r="X46" s="42">
        <f t="shared" si="5"/>
        <v>7.4136214978429251</v>
      </c>
      <c r="Z46" s="42">
        <f t="shared" si="6"/>
        <v>10.433985811778932</v>
      </c>
      <c r="AB46" s="42">
        <f t="shared" si="15"/>
        <v>8.9394947297769178</v>
      </c>
      <c r="AD46" s="42">
        <f t="shared" si="11"/>
        <v>12.581511101167514</v>
      </c>
    </row>
    <row r="47" spans="1:30" x14ac:dyDescent="0.2">
      <c r="A47" s="38">
        <f t="shared" si="12"/>
        <v>65</v>
      </c>
      <c r="B47" s="24">
        <f t="shared" si="0"/>
        <v>10.590507690106502</v>
      </c>
      <c r="C47" s="24">
        <f t="shared" si="19"/>
        <v>3.2278292258782391</v>
      </c>
      <c r="D47" s="24">
        <f t="shared" si="16"/>
        <v>7.5825528432123459</v>
      </c>
      <c r="E47" s="24">
        <f t="shared" si="7"/>
        <v>2.3110493274039454</v>
      </c>
      <c r="F47" s="48">
        <f t="shared" si="8"/>
        <v>23806.079812916105</v>
      </c>
      <c r="G47" s="48">
        <f t="shared" si="1"/>
        <v>28584.7180668724</v>
      </c>
      <c r="I47" s="38">
        <f t="shared" si="17"/>
        <v>6</v>
      </c>
      <c r="J47" s="24">
        <f t="shared" si="13"/>
        <v>1.0000020000000001E-4</v>
      </c>
      <c r="K47" s="24">
        <f t="shared" si="2"/>
        <v>0.49736019188056735</v>
      </c>
      <c r="L47" s="48">
        <f t="shared" si="3"/>
        <v>6179241.1277761422</v>
      </c>
      <c r="N47" s="42">
        <f t="shared" si="18"/>
        <v>22584.776696409426</v>
      </c>
      <c r="P47" s="42">
        <f t="shared" si="9"/>
        <v>26841.843878025924</v>
      </c>
      <c r="R47" s="42">
        <f t="shared" si="14"/>
        <v>60</v>
      </c>
      <c r="T47" s="42">
        <f t="shared" si="10"/>
        <v>16.497953001781287</v>
      </c>
      <c r="V47" s="42">
        <f t="shared" si="4"/>
        <v>5.1516759824404605</v>
      </c>
      <c r="X47" s="42">
        <f t="shared" si="5"/>
        <v>7.7275139736606899</v>
      </c>
      <c r="Z47" s="42">
        <f t="shared" si="6"/>
        <v>10.875760407374305</v>
      </c>
      <c r="AB47" s="42">
        <f t="shared" si="15"/>
        <v>9.3156513880508118</v>
      </c>
      <c r="AD47" s="42">
        <f t="shared" si="11"/>
        <v>13.110916768367808</v>
      </c>
    </row>
    <row r="48" spans="1:30" x14ac:dyDescent="0.2">
      <c r="A48" s="38">
        <f t="shared" si="12"/>
        <v>70</v>
      </c>
      <c r="B48" s="24">
        <f t="shared" si="0"/>
        <v>11.405162127807003</v>
      </c>
      <c r="C48" s="24">
        <f t="shared" si="19"/>
        <v>3.4761237817150268</v>
      </c>
      <c r="D48" s="24">
        <f t="shared" si="16"/>
        <v>8.1658261388440643</v>
      </c>
      <c r="E48" s="24">
        <f t="shared" si="7"/>
        <v>2.4888223525888642</v>
      </c>
      <c r="F48" s="48">
        <f t="shared" si="8"/>
        <v>24785.577909384207</v>
      </c>
      <c r="G48" s="48">
        <f t="shared" si="1"/>
        <v>29781.013574257497</v>
      </c>
      <c r="I48" s="38">
        <f t="shared" si="17"/>
        <v>6</v>
      </c>
      <c r="J48" s="24">
        <f t="shared" si="13"/>
        <v>1.0000020000000001E-4</v>
      </c>
      <c r="K48" s="24">
        <f t="shared" si="2"/>
        <v>0.49736019188056735</v>
      </c>
      <c r="L48" s="48">
        <f t="shared" si="3"/>
        <v>6179241.1277761422</v>
      </c>
      <c r="N48" s="42">
        <f t="shared" si="18"/>
        <v>23464.495097126342</v>
      </c>
      <c r="P48" s="42">
        <f t="shared" si="9"/>
        <v>27894.020242659539</v>
      </c>
      <c r="R48" s="42">
        <f t="shared" si="14"/>
        <v>60</v>
      </c>
      <c r="T48" s="42">
        <f t="shared" si="10"/>
        <v>16.497953001781287</v>
      </c>
      <c r="V48" s="42">
        <f t="shared" si="4"/>
        <v>5.3536170909427705</v>
      </c>
      <c r="X48" s="42">
        <f t="shared" si="5"/>
        <v>8.0304256364141544</v>
      </c>
      <c r="Z48" s="42">
        <f t="shared" si="6"/>
        <v>11.302080525323627</v>
      </c>
      <c r="AB48" s="42">
        <f t="shared" si="15"/>
        <v>9.6785130647852657</v>
      </c>
      <c r="AD48" s="42">
        <f t="shared" si="11"/>
        <v>13.621610980068153</v>
      </c>
    </row>
    <row r="49" spans="1:30" x14ac:dyDescent="0.2">
      <c r="A49" s="38">
        <f t="shared" si="12"/>
        <v>75</v>
      </c>
      <c r="B49" s="24">
        <f t="shared" si="0"/>
        <v>12.219816565507502</v>
      </c>
      <c r="C49" s="24">
        <f t="shared" si="19"/>
        <v>3.7244183375518141</v>
      </c>
      <c r="D49" s="24">
        <f t="shared" si="16"/>
        <v>8.7490994344757844</v>
      </c>
      <c r="E49" s="24">
        <f t="shared" si="7"/>
        <v>2.6665953777737834</v>
      </c>
      <c r="F49" s="48">
        <f t="shared" si="8"/>
        <v>25736.909931756312</v>
      </c>
      <c r="G49" s="48">
        <f t="shared" si="1"/>
        <v>30944.317152640535</v>
      </c>
      <c r="I49" s="38">
        <f t="shared" si="17"/>
        <v>6</v>
      </c>
      <c r="J49" s="24">
        <f t="shared" si="13"/>
        <v>1.0000020000000001E-4</v>
      </c>
      <c r="K49" s="24">
        <f t="shared" si="2"/>
        <v>0.49736019188056735</v>
      </c>
      <c r="L49" s="48">
        <f t="shared" si="3"/>
        <v>6179241.1277761422</v>
      </c>
      <c r="N49" s="42">
        <f t="shared" si="18"/>
        <v>24315.376183023811</v>
      </c>
      <c r="P49" s="42">
        <f t="shared" si="9"/>
        <v>28912.055372321811</v>
      </c>
      <c r="R49" s="42">
        <f t="shared" si="14"/>
        <v>60</v>
      </c>
      <c r="T49" s="42">
        <f t="shared" si="10"/>
        <v>16.497953001781287</v>
      </c>
      <c r="V49" s="42">
        <f t="shared" si="4"/>
        <v>5.549005572844167</v>
      </c>
      <c r="X49" s="42">
        <f t="shared" si="5"/>
        <v>8.3235083592662509</v>
      </c>
      <c r="Z49" s="42">
        <f t="shared" si="6"/>
        <v>11.714567320448797</v>
      </c>
      <c r="AB49" s="42">
        <f t="shared" si="15"/>
        <v>10.029480075681908</v>
      </c>
      <c r="AD49" s="42">
        <f t="shared" si="11"/>
        <v>14.115564550959723</v>
      </c>
    </row>
    <row r="50" spans="1:30" x14ac:dyDescent="0.2">
      <c r="A50" s="38">
        <f t="shared" si="12"/>
        <v>80</v>
      </c>
      <c r="B50" s="24">
        <f t="shared" si="0"/>
        <v>13.034471003208003</v>
      </c>
      <c r="C50" s="24">
        <f t="shared" si="19"/>
        <v>3.9727128933886018</v>
      </c>
      <c r="D50" s="24">
        <f t="shared" si="16"/>
        <v>9.3323727301075028</v>
      </c>
      <c r="E50" s="24">
        <f t="shared" si="7"/>
        <v>2.8443684029587022</v>
      </c>
      <c r="F50" s="48">
        <f t="shared" si="8"/>
        <v>26662.893767846206</v>
      </c>
      <c r="G50" s="48">
        <f t="shared" si="1"/>
        <v>32077.939480538505</v>
      </c>
      <c r="I50" s="38">
        <f t="shared" si="17"/>
        <v>6</v>
      </c>
      <c r="J50" s="24">
        <f t="shared" si="13"/>
        <v>1.0000020000000001E-4</v>
      </c>
      <c r="K50" s="24">
        <f t="shared" si="2"/>
        <v>0.49736019188056735</v>
      </c>
      <c r="L50" s="48">
        <f t="shared" si="3"/>
        <v>6179241.1277761422</v>
      </c>
      <c r="N50" s="42">
        <f t="shared" si="18"/>
        <v>25140.255473451802</v>
      </c>
      <c r="P50" s="42">
        <f t="shared" si="9"/>
        <v>29899.291143501945</v>
      </c>
      <c r="R50" s="42">
        <f t="shared" si="14"/>
        <v>60</v>
      </c>
      <c r="T50" s="42">
        <f t="shared" si="10"/>
        <v>16.497953001781287</v>
      </c>
      <c r="V50" s="42">
        <f t="shared" si="4"/>
        <v>5.7384828246494495</v>
      </c>
      <c r="X50" s="42">
        <f t="shared" si="5"/>
        <v>8.6077242369741729</v>
      </c>
      <c r="Z50" s="42">
        <f t="shared" si="6"/>
        <v>12.114574852037725</v>
      </c>
      <c r="AB50" s="42">
        <f t="shared" si="15"/>
        <v>10.369722001034731</v>
      </c>
      <c r="AD50" s="42">
        <f t="shared" si="11"/>
        <v>14.594423557011842</v>
      </c>
    </row>
    <row r="51" spans="1:30" x14ac:dyDescent="0.2">
      <c r="A51" s="38">
        <f t="shared" si="12"/>
        <v>85</v>
      </c>
      <c r="B51" s="24">
        <f t="shared" si="0"/>
        <v>13.849125440908503</v>
      </c>
      <c r="C51" s="24">
        <f t="shared" si="19"/>
        <v>4.2210074492253895</v>
      </c>
      <c r="D51" s="24">
        <f t="shared" si="16"/>
        <v>9.9156460257392212</v>
      </c>
      <c r="E51" s="24">
        <f t="shared" si="7"/>
        <v>3.022141428143621</v>
      </c>
      <c r="F51" s="48">
        <f t="shared" si="8"/>
        <v>27565.910401959725</v>
      </c>
      <c r="G51" s="48">
        <f t="shared" si="1"/>
        <v>33184.677262068195</v>
      </c>
      <c r="I51" s="38">
        <f t="shared" si="17"/>
        <v>6</v>
      </c>
      <c r="J51" s="24">
        <f t="shared" si="13"/>
        <v>1.0000020000000001E-4</v>
      </c>
      <c r="K51" s="24">
        <f t="shared" si="2"/>
        <v>0.49736019188056735</v>
      </c>
      <c r="L51" s="48">
        <f t="shared" si="3"/>
        <v>6179241.1277761422</v>
      </c>
      <c r="N51" s="42">
        <f t="shared" si="18"/>
        <v>25941.530123508513</v>
      </c>
      <c r="P51" s="42">
        <f t="shared" si="9"/>
        <v>30858.552881349966</v>
      </c>
      <c r="R51" s="42">
        <f t="shared" si="14"/>
        <v>60</v>
      </c>
      <c r="T51" s="42">
        <f t="shared" si="10"/>
        <v>16.497953001781287</v>
      </c>
      <c r="V51" s="42">
        <f t="shared" si="4"/>
        <v>5.9225911026873588</v>
      </c>
      <c r="X51" s="42">
        <f t="shared" si="5"/>
        <v>8.8838866540310359</v>
      </c>
      <c r="Z51" s="42">
        <f t="shared" si="6"/>
        <v>12.503247883451088</v>
      </c>
      <c r="AB51" s="42">
        <f t="shared" si="15"/>
        <v>10.700227606927989</v>
      </c>
      <c r="AD51" s="42">
        <f t="shared" si="11"/>
        <v>15.059579594935688</v>
      </c>
    </row>
    <row r="52" spans="1:30" x14ac:dyDescent="0.2">
      <c r="A52" s="38">
        <f t="shared" si="12"/>
        <v>90</v>
      </c>
      <c r="B52" s="24">
        <f t="shared" si="0"/>
        <v>14.663779878609002</v>
      </c>
      <c r="C52" s="24">
        <f t="shared" si="19"/>
        <v>4.4693020050621763</v>
      </c>
      <c r="D52" s="24">
        <f t="shared" si="16"/>
        <v>10.498919321370941</v>
      </c>
      <c r="E52" s="24">
        <f t="shared" si="7"/>
        <v>3.1999144533285402</v>
      </c>
      <c r="F52" s="48">
        <f t="shared" si="8"/>
        <v>28447.993037217646</v>
      </c>
      <c r="G52" s="48">
        <f t="shared" si="1"/>
        <v>34266.918146346972</v>
      </c>
      <c r="I52" s="38">
        <f t="shared" si="17"/>
        <v>6</v>
      </c>
      <c r="J52" s="24">
        <f t="shared" si="13"/>
        <v>1.0000020000000001E-4</v>
      </c>
      <c r="K52" s="24">
        <f t="shared" si="2"/>
        <v>0.49736019188056735</v>
      </c>
      <c r="L52" s="48">
        <f t="shared" si="3"/>
        <v>6179241.1277761422</v>
      </c>
      <c r="N52" s="42">
        <f t="shared" si="18"/>
        <v>26721.248248772303</v>
      </c>
      <c r="P52" s="42">
        <f t="shared" si="9"/>
        <v>31792.254636274676</v>
      </c>
      <c r="R52" s="42">
        <f t="shared" si="14"/>
        <v>60</v>
      </c>
      <c r="T52" s="42">
        <f t="shared" si="10"/>
        <v>16.497953001781287</v>
      </c>
      <c r="V52" s="42">
        <f t="shared" si="4"/>
        <v>6.1017937285377357</v>
      </c>
      <c r="X52" s="42">
        <f t="shared" si="5"/>
        <v>9.1526905928066036</v>
      </c>
      <c r="Z52" s="42">
        <f t="shared" si="6"/>
        <v>12.881564538024108</v>
      </c>
      <c r="AB52" s="42">
        <f t="shared" si="15"/>
        <v>11.021841689437681</v>
      </c>
      <c r="AD52" s="42">
        <f t="shared" si="11"/>
        <v>15.512221636986364</v>
      </c>
    </row>
    <row r="53" spans="1:30" x14ac:dyDescent="0.2">
      <c r="A53" s="38">
        <f t="shared" si="12"/>
        <v>95</v>
      </c>
      <c r="B53" s="24">
        <f t="shared" si="0"/>
        <v>15.478434316309503</v>
      </c>
      <c r="C53" s="24">
        <f t="shared" si="19"/>
        <v>4.7175965608989641</v>
      </c>
      <c r="D53" s="24">
        <f t="shared" si="16"/>
        <v>11.08219261700266</v>
      </c>
      <c r="E53" s="24">
        <f t="shared" si="7"/>
        <v>3.377687478513459</v>
      </c>
      <c r="F53" s="48">
        <f t="shared" si="8"/>
        <v>29310.89414479251</v>
      </c>
      <c r="G53" s="48">
        <f t="shared" si="1"/>
        <v>35326.719649221282</v>
      </c>
      <c r="I53" s="38">
        <f t="shared" si="17"/>
        <v>6</v>
      </c>
      <c r="J53" s="24">
        <f t="shared" si="13"/>
        <v>1.0000020000000001E-4</v>
      </c>
      <c r="K53" s="24">
        <f t="shared" si="2"/>
        <v>0.49736019188056735</v>
      </c>
      <c r="L53" s="48">
        <f t="shared" si="3"/>
        <v>6179241.1277761422</v>
      </c>
      <c r="N53" s="42">
        <f t="shared" si="18"/>
        <v>27481.176138987976</v>
      </c>
      <c r="P53" s="42">
        <f t="shared" si="9"/>
        <v>32702.478395818784</v>
      </c>
      <c r="R53" s="42">
        <f t="shared" si="14"/>
        <v>60</v>
      </c>
      <c r="T53" s="42">
        <f t="shared" si="10"/>
        <v>16.497953001781287</v>
      </c>
      <c r="V53" s="42">
        <f t="shared" si="4"/>
        <v>6.2764902919332499</v>
      </c>
      <c r="X53" s="42">
        <f t="shared" si="5"/>
        <v>9.4147354378998749</v>
      </c>
      <c r="Z53" s="42">
        <f t="shared" si="6"/>
        <v>13.250368394081304</v>
      </c>
      <c r="AB53" s="42">
        <f t="shared" si="15"/>
        <v>11.335292798583765</v>
      </c>
      <c r="AD53" s="42">
        <f t="shared" si="11"/>
        <v>15.95337504985863</v>
      </c>
    </row>
    <row r="54" spans="1:30" x14ac:dyDescent="0.2">
      <c r="A54" s="38">
        <f t="shared" si="12"/>
        <v>100</v>
      </c>
      <c r="B54" s="24">
        <f t="shared" si="0"/>
        <v>16.293088754010004</v>
      </c>
      <c r="C54" s="24">
        <f t="shared" si="19"/>
        <v>4.9658911167357527</v>
      </c>
      <c r="D54" s="24">
        <f t="shared" si="16"/>
        <v>11.665465912634378</v>
      </c>
      <c r="E54" s="24">
        <f t="shared" si="7"/>
        <v>3.5554605036983777</v>
      </c>
      <c r="F54" s="48">
        <f t="shared" si="8"/>
        <v>30156.136772159411</v>
      </c>
      <c r="G54" s="48">
        <f t="shared" si="1"/>
        <v>36365.86953771663</v>
      </c>
      <c r="I54" s="38">
        <f t="shared" si="17"/>
        <v>6</v>
      </c>
      <c r="J54" s="24">
        <f t="shared" si="13"/>
        <v>1.0000020000000001E-4</v>
      </c>
      <c r="K54" s="24">
        <f t="shared" si="2"/>
        <v>0.49736019188056735</v>
      </c>
      <c r="L54" s="48">
        <f t="shared" si="3"/>
        <v>6179241.1277761422</v>
      </c>
      <c r="N54" s="42">
        <f t="shared" si="18"/>
        <v>28222.849701585488</v>
      </c>
      <c r="P54" s="42">
        <f t="shared" si="9"/>
        <v>33591.034707724255</v>
      </c>
      <c r="R54" s="42">
        <f t="shared" si="14"/>
        <v>60</v>
      </c>
      <c r="T54" s="42">
        <f t="shared" si="10"/>
        <v>16.497953001781287</v>
      </c>
      <c r="V54" s="42">
        <f t="shared" si="4"/>
        <v>6.4470282859656454</v>
      </c>
      <c r="X54" s="42">
        <f t="shared" si="5"/>
        <v>9.6705424289484672</v>
      </c>
      <c r="Z54" s="42">
        <f t="shared" si="6"/>
        <v>13.610393048149696</v>
      </c>
      <c r="AB54" s="42">
        <f t="shared" si="15"/>
        <v>11.641214457485555</v>
      </c>
      <c r="AD54" s="42">
        <f t="shared" si="11"/>
        <v>16.383931458683374</v>
      </c>
    </row>
    <row r="55" spans="1:30" x14ac:dyDescent="0.2">
      <c r="A55" s="38">
        <f t="shared" si="12"/>
        <v>105</v>
      </c>
      <c r="B55" s="24">
        <f t="shared" si="0"/>
        <v>17.107743191710505</v>
      </c>
      <c r="C55" s="24">
        <f t="shared" si="19"/>
        <v>5.2141856725725404</v>
      </c>
      <c r="D55" s="24">
        <f t="shared" si="16"/>
        <v>12.248739208266098</v>
      </c>
      <c r="E55" s="24">
        <f t="shared" si="7"/>
        <v>3.733233528883297</v>
      </c>
      <c r="F55" s="48">
        <f t="shared" si="8"/>
        <v>30985.054402103811</v>
      </c>
      <c r="G55" s="48">
        <f t="shared" si="1"/>
        <v>37385.932733090907</v>
      </c>
      <c r="I55" s="38">
        <f t="shared" si="17"/>
        <v>6</v>
      </c>
      <c r="J55" s="24">
        <f t="shared" si="13"/>
        <v>1.0000020000000001E-4</v>
      </c>
      <c r="K55" s="24">
        <f t="shared" si="2"/>
        <v>0.49736019188056735</v>
      </c>
      <c r="L55" s="48">
        <f t="shared" si="3"/>
        <v>6179241.1277761422</v>
      </c>
      <c r="N55" s="42">
        <f t="shared" si="18"/>
        <v>28947.614433177358</v>
      </c>
      <c r="P55" s="42">
        <f t="shared" si="9"/>
        <v>34459.509781386565</v>
      </c>
      <c r="R55" s="42">
        <f t="shared" si="14"/>
        <v>60</v>
      </c>
      <c r="T55" s="42">
        <f t="shared" si="10"/>
        <v>16.497953001781287</v>
      </c>
      <c r="V55" s="42">
        <f t="shared" si="4"/>
        <v>6.6137121471290392</v>
      </c>
      <c r="X55" s="42">
        <f t="shared" si="5"/>
        <v>9.920568220693557</v>
      </c>
      <c r="Z55" s="42">
        <f t="shared" si="6"/>
        <v>13.962281199494637</v>
      </c>
      <c r="AB55" s="42">
        <f t="shared" si="15"/>
        <v>11.940161649597377</v>
      </c>
      <c r="AD55" s="42">
        <f t="shared" si="11"/>
        <v>16.804671951285197</v>
      </c>
    </row>
    <row r="56" spans="1:30" x14ac:dyDescent="0.2">
      <c r="A56" s="38">
        <f t="shared" si="12"/>
        <v>110</v>
      </c>
      <c r="B56" s="24">
        <f t="shared" si="0"/>
        <v>17.922397629411005</v>
      </c>
      <c r="C56" s="24">
        <f t="shared" si="19"/>
        <v>5.4624802284093281</v>
      </c>
      <c r="D56" s="24">
        <f t="shared" si="16"/>
        <v>12.832012503897817</v>
      </c>
      <c r="E56" s="24">
        <f t="shared" si="7"/>
        <v>3.9110065540682157</v>
      </c>
      <c r="F56" s="48">
        <f t="shared" si="8"/>
        <v>31798.822336706056</v>
      </c>
      <c r="G56" s="48">
        <f t="shared" si="1"/>
        <v>38388.288235867403</v>
      </c>
      <c r="I56" s="38">
        <f t="shared" si="17"/>
        <v>6</v>
      </c>
      <c r="J56" s="24">
        <f t="shared" si="13"/>
        <v>1.0000020000000001E-4</v>
      </c>
      <c r="K56" s="24">
        <f t="shared" si="2"/>
        <v>0.49736019188056735</v>
      </c>
      <c r="L56" s="48">
        <f t="shared" si="3"/>
        <v>6179241.1277761422</v>
      </c>
      <c r="N56" s="42">
        <f t="shared" si="18"/>
        <v>29656.656898009558</v>
      </c>
      <c r="P56" s="42">
        <f t="shared" si="9"/>
        <v>35309.30257947636</v>
      </c>
      <c r="R56" s="42">
        <f t="shared" si="14"/>
        <v>60</v>
      </c>
      <c r="T56" s="42">
        <f t="shared" si="10"/>
        <v>16.497953001781287</v>
      </c>
      <c r="V56" s="42">
        <f t="shared" si="4"/>
        <v>6.7768103742055317</v>
      </c>
      <c r="X56" s="42">
        <f t="shared" si="5"/>
        <v>10.165215561308298</v>
      </c>
      <c r="Z56" s="42">
        <f t="shared" si="6"/>
        <v>14.306599678878346</v>
      </c>
      <c r="AB56" s="42">
        <f t="shared" si="15"/>
        <v>12.232623802776477</v>
      </c>
      <c r="AD56" s="42">
        <f t="shared" si="11"/>
        <v>17.216285352055781</v>
      </c>
    </row>
    <row r="57" spans="1:30" x14ac:dyDescent="0.2">
      <c r="A57" s="38">
        <f t="shared" si="12"/>
        <v>115</v>
      </c>
      <c r="B57" s="24">
        <f t="shared" si="0"/>
        <v>18.737052067111502</v>
      </c>
      <c r="C57" s="24">
        <f t="shared" si="19"/>
        <v>5.7107747842461141</v>
      </c>
      <c r="D57" s="24">
        <f t="shared" si="16"/>
        <v>13.415285799529535</v>
      </c>
      <c r="E57" s="24">
        <f t="shared" si="7"/>
        <v>4.088779579253135</v>
      </c>
      <c r="F57" s="48">
        <f t="shared" si="8"/>
        <v>32598.482708667925</v>
      </c>
      <c r="G57" s="48">
        <f t="shared" si="1"/>
        <v>39374.158548977641</v>
      </c>
      <c r="I57" s="38">
        <f t="shared" si="17"/>
        <v>6</v>
      </c>
      <c r="J57" s="24">
        <f t="shared" si="13"/>
        <v>1.0000020000000001E-4</v>
      </c>
      <c r="K57" s="24">
        <f t="shared" si="2"/>
        <v>0.49736019188056735</v>
      </c>
      <c r="L57" s="48">
        <f t="shared" si="3"/>
        <v>6179241.1277761422</v>
      </c>
      <c r="N57" s="42">
        <f t="shared" si="18"/>
        <v>30351.029819319399</v>
      </c>
      <c r="P57" s="42">
        <f t="shared" si="9"/>
        <v>36141.654382197128</v>
      </c>
      <c r="R57" s="42">
        <f t="shared" si="14"/>
        <v>60</v>
      </c>
      <c r="T57" s="42">
        <f t="shared" si="10"/>
        <v>16.497953001781287</v>
      </c>
      <c r="V57" s="42">
        <f t="shared" si="4"/>
        <v>6.936561202446061</v>
      </c>
      <c r="X57" s="42">
        <f t="shared" si="5"/>
        <v>10.404841803669092</v>
      </c>
      <c r="Z57" s="42">
        <f t="shared" si="6"/>
        <v>14.643851427386128</v>
      </c>
      <c r="AB57" s="42">
        <f t="shared" si="15"/>
        <v>12.519035138836013</v>
      </c>
      <c r="AD57" s="42">
        <f t="shared" si="11"/>
        <v>17.619382787991427</v>
      </c>
    </row>
    <row r="58" spans="1:30" x14ac:dyDescent="0.2">
      <c r="A58" s="38">
        <f t="shared" si="12"/>
        <v>120</v>
      </c>
      <c r="B58" s="24">
        <f t="shared" si="0"/>
        <v>19.551706504812003</v>
      </c>
      <c r="C58" s="24">
        <f t="shared" si="19"/>
        <v>5.9590693400829027</v>
      </c>
      <c r="D58" s="24">
        <f t="shared" si="16"/>
        <v>13.998559095161255</v>
      </c>
      <c r="E58" s="24">
        <f t="shared" si="7"/>
        <v>4.2665526044380542</v>
      </c>
      <c r="F58" s="48">
        <f t="shared" si="8"/>
        <v>33384.964632665105</v>
      </c>
      <c r="G58" s="48">
        <f t="shared" si="1"/>
        <v>40344.633380433501</v>
      </c>
      <c r="I58" s="38">
        <f t="shared" si="17"/>
        <v>6</v>
      </c>
      <c r="J58" s="24">
        <f t="shared" si="13"/>
        <v>1.0000020000000001E-4</v>
      </c>
      <c r="K58" s="24">
        <f t="shared" si="2"/>
        <v>0.49736019188056735</v>
      </c>
      <c r="L58" s="48">
        <f t="shared" si="3"/>
        <v>6179241.1277761422</v>
      </c>
      <c r="N58" s="42">
        <f t="shared" si="18"/>
        <v>31031.672299030768</v>
      </c>
      <c r="P58" s="42">
        <f t="shared" si="9"/>
        <v>36957.672610449008</v>
      </c>
      <c r="R58" s="42">
        <f t="shared" si="14"/>
        <v>60</v>
      </c>
      <c r="T58" s="42">
        <f t="shared" si="10"/>
        <v>16.497953001781287</v>
      </c>
      <c r="V58" s="42">
        <f t="shared" si="4"/>
        <v>7.0931771758799993</v>
      </c>
      <c r="X58" s="42">
        <f t="shared" si="5"/>
        <v>10.639765763819998</v>
      </c>
      <c r="Z58" s="42">
        <f t="shared" si="6"/>
        <v>14.974485149079998</v>
      </c>
      <c r="AB58" s="42">
        <f t="shared" si="15"/>
        <v>12.799783013659924</v>
      </c>
      <c r="AD58" s="42">
        <f t="shared" si="11"/>
        <v>18.014509426632486</v>
      </c>
    </row>
    <row r="59" spans="1:30" x14ac:dyDescent="0.2">
      <c r="A59" s="38">
        <f t="shared" si="12"/>
        <v>125</v>
      </c>
      <c r="B59" s="24">
        <f t="shared" si="0"/>
        <v>20.366360942512504</v>
      </c>
      <c r="C59" s="24">
        <f t="shared" si="19"/>
        <v>6.2073638959196904</v>
      </c>
      <c r="D59" s="24">
        <f t="shared" si="16"/>
        <v>14.581832390792973</v>
      </c>
      <c r="E59" s="24">
        <f t="shared" si="7"/>
        <v>4.4443256296229725</v>
      </c>
      <c r="F59" s="48">
        <f t="shared" si="8"/>
        <v>34159.100602674087</v>
      </c>
      <c r="G59" s="48">
        <f t="shared" si="1"/>
        <v>41300.688927815514</v>
      </c>
      <c r="I59" s="38">
        <f t="shared" si="17"/>
        <v>6</v>
      </c>
      <c r="J59" s="24">
        <f t="shared" si="13"/>
        <v>1.0000020000000001E-4</v>
      </c>
      <c r="K59" s="24">
        <f t="shared" si="2"/>
        <v>0.49736019188056735</v>
      </c>
      <c r="L59" s="48">
        <f t="shared" si="3"/>
        <v>6179241.1277761422</v>
      </c>
      <c r="N59" s="42">
        <f t="shared" si="18"/>
        <v>31699.42627386505</v>
      </c>
      <c r="P59" s="42">
        <f t="shared" si="9"/>
        <v>37758.350213946069</v>
      </c>
      <c r="R59" s="42">
        <f t="shared" si="14"/>
        <v>60</v>
      </c>
      <c r="T59" s="42">
        <f t="shared" si="10"/>
        <v>16.497953001781287</v>
      </c>
      <c r="V59" s="42">
        <f t="shared" si="4"/>
        <v>7.2468488684193693</v>
      </c>
      <c r="X59" s="42">
        <f t="shared" si="5"/>
        <v>10.870273302629053</v>
      </c>
      <c r="Z59" s="42">
        <f t="shared" si="6"/>
        <v>15.298903166663113</v>
      </c>
      <c r="AB59" s="42">
        <f t="shared" si="15"/>
        <v>13.075214704934092</v>
      </c>
      <c r="AD59" s="42">
        <f t="shared" si="11"/>
        <v>18.4021540291665</v>
      </c>
    </row>
    <row r="60" spans="1:30" x14ac:dyDescent="0.2">
      <c r="A60" s="38">
        <f t="shared" si="12"/>
        <v>130</v>
      </c>
      <c r="B60" s="24">
        <f t="shared" si="0"/>
        <v>21.181015380213005</v>
      </c>
      <c r="C60" s="24">
        <f t="shared" si="19"/>
        <v>6.4556584517564781</v>
      </c>
      <c r="D60" s="24">
        <f t="shared" si="16"/>
        <v>15.165105686424692</v>
      </c>
      <c r="E60" s="24">
        <f t="shared" si="7"/>
        <v>4.6220986548078908</v>
      </c>
      <c r="F60" s="48">
        <f t="shared" si="8"/>
        <v>34921.639955660103</v>
      </c>
      <c r="G60" s="48">
        <f t="shared" si="1"/>
        <v>42243.203710504975</v>
      </c>
      <c r="I60" s="38">
        <f t="shared" si="17"/>
        <v>6</v>
      </c>
      <c r="J60" s="24">
        <f t="shared" si="13"/>
        <v>1.0000020000000001E-4</v>
      </c>
      <c r="K60" s="24">
        <f t="shared" si="2"/>
        <v>0.49736019188056735</v>
      </c>
      <c r="L60" s="48">
        <f t="shared" si="3"/>
        <v>6179241.1277761422</v>
      </c>
      <c r="N60" s="42">
        <f t="shared" si="18"/>
        <v>32355.050029925085</v>
      </c>
      <c r="P60" s="42">
        <f t="shared" si="9"/>
        <v>38544.581593164628</v>
      </c>
      <c r="R60" s="42">
        <f t="shared" si="14"/>
        <v>60</v>
      </c>
      <c r="T60" s="42">
        <f t="shared" si="10"/>
        <v>16.497953001781287</v>
      </c>
      <c r="V60" s="42">
        <f t="shared" si="4"/>
        <v>7.3977479397114561</v>
      </c>
      <c r="X60" s="42">
        <f t="shared" si="5"/>
        <v>11.096621909567183</v>
      </c>
      <c r="Z60" s="42">
        <f t="shared" si="6"/>
        <v>15.617467872724186</v>
      </c>
      <c r="AB60" s="42">
        <f t="shared" si="15"/>
        <v>13.345642986571729</v>
      </c>
      <c r="AD60" s="42">
        <f t="shared" si="11"/>
        <v>18.782756795915766</v>
      </c>
    </row>
    <row r="61" spans="1:30" x14ac:dyDescent="0.2">
      <c r="A61" s="38">
        <f t="shared" si="12"/>
        <v>135</v>
      </c>
      <c r="B61" s="24">
        <f t="shared" si="0"/>
        <v>21.995669817913505</v>
      </c>
      <c r="C61" s="24">
        <f t="shared" si="19"/>
        <v>6.7039530075932658</v>
      </c>
      <c r="D61" s="24">
        <f t="shared" si="16"/>
        <v>15.748378982056412</v>
      </c>
      <c r="E61" s="24">
        <f t="shared" si="7"/>
        <v>4.7998716799928109</v>
      </c>
      <c r="F61" s="48">
        <f t="shared" si="8"/>
        <v>35673.260018271962</v>
      </c>
      <c r="G61" s="48">
        <f t="shared" si="1"/>
        <v>43172.971675628272</v>
      </c>
      <c r="I61" s="38">
        <f t="shared" si="17"/>
        <v>6</v>
      </c>
      <c r="J61" s="24">
        <f t="shared" si="13"/>
        <v>1.0000020000000001E-4</v>
      </c>
      <c r="K61" s="24">
        <f t="shared" si="2"/>
        <v>0.49736019188056735</v>
      </c>
      <c r="L61" s="48">
        <f t="shared" si="3"/>
        <v>6179241.1277761422</v>
      </c>
      <c r="N61" s="42">
        <f t="shared" si="18"/>
        <v>32999.229393723108</v>
      </c>
      <c r="P61" s="42">
        <f t="shared" si="9"/>
        <v>39317.175783429484</v>
      </c>
      <c r="R61" s="42">
        <f t="shared" si="14"/>
        <v>60</v>
      </c>
      <c r="T61" s="42">
        <f t="shared" si="10"/>
        <v>16.497953001781287</v>
      </c>
      <c r="V61" s="42">
        <f t="shared" si="4"/>
        <v>7.5460296655216146</v>
      </c>
      <c r="X61" s="42">
        <f t="shared" si="5"/>
        <v>11.31904449828242</v>
      </c>
      <c r="Z61" s="42">
        <f t="shared" si="6"/>
        <v>15.93050707165674</v>
      </c>
      <c r="AB61" s="42">
        <f t="shared" si="15"/>
        <v>13.611350744730471</v>
      </c>
      <c r="AD61" s="42">
        <f t="shared" si="11"/>
        <v>19.156715862953995</v>
      </c>
    </row>
    <row r="62" spans="1:30" x14ac:dyDescent="0.2">
      <c r="A62" s="38">
        <f t="shared" si="12"/>
        <v>140</v>
      </c>
      <c r="B62" s="24">
        <f t="shared" si="0"/>
        <v>22.810324255614006</v>
      </c>
      <c r="C62" s="24">
        <f t="shared" si="19"/>
        <v>6.9522475634300536</v>
      </c>
      <c r="D62" s="24">
        <f t="shared" si="16"/>
        <v>16.331652277688129</v>
      </c>
      <c r="E62" s="24">
        <f t="shared" si="7"/>
        <v>4.9776447051777284</v>
      </c>
      <c r="F62" s="48">
        <f t="shared" si="8"/>
        <v>36414.575405679243</v>
      </c>
      <c r="G62" s="48">
        <f t="shared" si="1"/>
        <v>44090.713129963558</v>
      </c>
      <c r="I62" s="38">
        <f t="shared" si="17"/>
        <v>6</v>
      </c>
      <c r="J62" s="24">
        <f t="shared" si="13"/>
        <v>1.0000020000000001E-4</v>
      </c>
      <c r="K62" s="24">
        <f t="shared" si="2"/>
        <v>0.49736019188056735</v>
      </c>
      <c r="L62" s="48">
        <f t="shared" si="3"/>
        <v>6179241.1277761422</v>
      </c>
      <c r="N62" s="42">
        <f t="shared" si="18"/>
        <v>33632.587069849076</v>
      </c>
      <c r="P62" s="42">
        <f t="shared" si="9"/>
        <v>40076.867455260683</v>
      </c>
      <c r="R62" s="42">
        <f t="shared" si="14"/>
        <v>60</v>
      </c>
      <c r="T62" s="42">
        <f t="shared" si="10"/>
        <v>16.497953001781287</v>
      </c>
      <c r="V62" s="42">
        <f t="shared" si="4"/>
        <v>7.6918350489974028</v>
      </c>
      <c r="X62" s="42">
        <f t="shared" si="5"/>
        <v>11.537752573496105</v>
      </c>
      <c r="Z62" s="42">
        <f t="shared" si="6"/>
        <v>16.238318436772293</v>
      </c>
      <c r="AB62" s="42">
        <f t="shared" si="15"/>
        <v>13.872594829365298</v>
      </c>
      <c r="AD62" s="42">
        <f t="shared" si="11"/>
        <v>19.524392722810418</v>
      </c>
    </row>
    <row r="63" spans="1:30" x14ac:dyDescent="0.2">
      <c r="A63" s="38">
        <f t="shared" si="12"/>
        <v>145</v>
      </c>
      <c r="B63" s="24">
        <f t="shared" si="0"/>
        <v>23.624978693314503</v>
      </c>
      <c r="C63" s="24">
        <f t="shared" si="19"/>
        <v>7.2005421192668404</v>
      </c>
      <c r="D63" s="24">
        <f t="shared" si="16"/>
        <v>16.914925573319849</v>
      </c>
      <c r="E63" s="24">
        <f t="shared" si="7"/>
        <v>5.1554177303626476</v>
      </c>
      <c r="F63" s="48">
        <f t="shared" si="8"/>
        <v>37146.145833442664</v>
      </c>
      <c r="G63" s="48">
        <f t="shared" si="1"/>
        <v>44997.083922596292</v>
      </c>
      <c r="I63" s="38">
        <f t="shared" si="17"/>
        <v>6</v>
      </c>
      <c r="J63" s="24">
        <f t="shared" si="13"/>
        <v>1.0000020000000001E-4</v>
      </c>
      <c r="K63" s="24">
        <f t="shared" si="2"/>
        <v>0.49736019188056735</v>
      </c>
      <c r="L63" s="48">
        <f t="shared" si="3"/>
        <v>6179241.1277761422</v>
      </c>
      <c r="N63" s="42">
        <f t="shared" si="18"/>
        <v>34255.690487027387</v>
      </c>
      <c r="P63" s="42">
        <f t="shared" si="9"/>
        <v>40824.326157279917</v>
      </c>
      <c r="R63" s="42">
        <f t="shared" si="14"/>
        <v>60</v>
      </c>
      <c r="T63" s="42">
        <f t="shared" si="10"/>
        <v>16.497953001781287</v>
      </c>
      <c r="V63" s="42">
        <f t="shared" si="4"/>
        <v>7.8352925946323717</v>
      </c>
      <c r="X63" s="42">
        <f t="shared" si="5"/>
        <v>11.752938891948556</v>
      </c>
      <c r="Z63" s="42">
        <f t="shared" si="6"/>
        <v>16.541173255335007</v>
      </c>
      <c r="AB63" s="42">
        <f t="shared" si="15"/>
        <v>14.129609290529274</v>
      </c>
      <c r="AD63" s="42">
        <f t="shared" si="11"/>
        <v>19.886116779263421</v>
      </c>
    </row>
    <row r="64" spans="1:30" x14ac:dyDescent="0.2">
      <c r="A64" s="38">
        <f t="shared" si="12"/>
        <v>150</v>
      </c>
      <c r="B64" s="24">
        <f t="shared" si="0"/>
        <v>24.439633131015004</v>
      </c>
      <c r="C64" s="24">
        <f t="shared" si="19"/>
        <v>7.4488366751036281</v>
      </c>
      <c r="D64" s="24">
        <f t="shared" si="16"/>
        <v>17.498198868951569</v>
      </c>
      <c r="E64" s="24">
        <f t="shared" si="7"/>
        <v>5.3331907555475668</v>
      </c>
      <c r="F64" s="48">
        <f t="shared" si="8"/>
        <v>37868.482722889887</v>
      </c>
      <c r="G64" s="48">
        <f t="shared" si="1"/>
        <v>45892.683208421418</v>
      </c>
      <c r="I64" s="38">
        <f t="shared" si="17"/>
        <v>6</v>
      </c>
      <c r="J64" s="24">
        <f t="shared" si="13"/>
        <v>1.0000020000000001E-4</v>
      </c>
      <c r="K64" s="24">
        <f t="shared" si="2"/>
        <v>0.49736019188056735</v>
      </c>
      <c r="L64" s="48">
        <f t="shared" si="3"/>
        <v>6179241.1277761422</v>
      </c>
      <c r="N64" s="42">
        <f t="shared" si="18"/>
        <v>34869.058433732811</v>
      </c>
      <c r="P64" s="42">
        <f t="shared" si="9"/>
        <v>41560.164133006598</v>
      </c>
      <c r="R64" s="42">
        <f t="shared" si="14"/>
        <v>60</v>
      </c>
      <c r="T64" s="42">
        <f t="shared" si="10"/>
        <v>16.497953001781287</v>
      </c>
      <c r="V64" s="42">
        <f t="shared" si="4"/>
        <v>7.9765198085206883</v>
      </c>
      <c r="X64" s="42">
        <f t="shared" si="5"/>
        <v>11.964779712781032</v>
      </c>
      <c r="Z64" s="42">
        <f t="shared" si="6"/>
        <v>16.839319595765897</v>
      </c>
      <c r="AB64" s="42">
        <f t="shared" si="15"/>
        <v>14.382608115397915</v>
      </c>
      <c r="AD64" s="42">
        <f t="shared" si="11"/>
        <v>20.242189199448916</v>
      </c>
    </row>
    <row r="65" spans="1:30" x14ac:dyDescent="0.2">
      <c r="A65" s="38">
        <f t="shared" si="12"/>
        <v>155</v>
      </c>
      <c r="B65" s="24">
        <f t="shared" si="0"/>
        <v>25.254287568715505</v>
      </c>
      <c r="C65" s="24">
        <f t="shared" si="19"/>
        <v>7.6971312309404158</v>
      </c>
      <c r="D65" s="24">
        <f t="shared" si="16"/>
        <v>18.081472164583285</v>
      </c>
      <c r="E65" s="24">
        <f t="shared" si="7"/>
        <v>5.5109637807324852</v>
      </c>
      <c r="F65" s="48">
        <f t="shared" si="8"/>
        <v>38582.054820040255</v>
      </c>
      <c r="G65" s="48">
        <f t="shared" si="1"/>
        <v>46778.060051444001</v>
      </c>
      <c r="I65" s="38">
        <f t="shared" si="17"/>
        <v>6</v>
      </c>
      <c r="J65" s="24">
        <f t="shared" si="13"/>
        <v>1.0000020000000001E-4</v>
      </c>
      <c r="K65" s="24">
        <f t="shared" si="2"/>
        <v>0.49736019188056735</v>
      </c>
      <c r="L65" s="48">
        <f t="shared" si="3"/>
        <v>6179241.1277761422</v>
      </c>
      <c r="N65" s="42">
        <f t="shared" si="18"/>
        <v>35473.166703982322</v>
      </c>
      <c r="P65" s="42">
        <f t="shared" si="9"/>
        <v>42284.942971506585</v>
      </c>
      <c r="R65" s="42">
        <f t="shared" si="14"/>
        <v>60</v>
      </c>
      <c r="T65" s="42">
        <f t="shared" si="10"/>
        <v>16.497953001781287</v>
      </c>
      <c r="V65" s="42">
        <f t="shared" si="4"/>
        <v>8.1156244747965456</v>
      </c>
      <c r="X65" s="42">
        <f t="shared" si="5"/>
        <v>12.173436712194817</v>
      </c>
      <c r="Z65" s="42">
        <f t="shared" si="6"/>
        <v>17.13298500234826</v>
      </c>
      <c r="AB65" s="42">
        <f t="shared" si="15"/>
        <v>14.631787557016107</v>
      </c>
      <c r="AD65" s="42">
        <f t="shared" si="11"/>
        <v>20.592886191356001</v>
      </c>
    </row>
    <row r="66" spans="1:30" x14ac:dyDescent="0.2">
      <c r="A66" s="38">
        <f t="shared" si="12"/>
        <v>160</v>
      </c>
      <c r="B66" s="24">
        <f t="shared" ref="B66:B94" si="20">A66/(H$10*60)</f>
        <v>26.068942006416005</v>
      </c>
      <c r="C66" s="24">
        <f t="shared" si="19"/>
        <v>7.9454257867772036</v>
      </c>
      <c r="D66" s="24">
        <f t="shared" si="16"/>
        <v>18.664745460215006</v>
      </c>
      <c r="E66" s="24">
        <f t="shared" si="7"/>
        <v>5.6887368059174044</v>
      </c>
      <c r="F66" s="48">
        <f t="shared" si="8"/>
        <v>39287.293002230275</v>
      </c>
      <c r="G66" s="48">
        <f t="shared" ref="G66:G94" si="21">B$24*((0.3/B$25)+(0.62*B$26^(1/3))/((1+(0.4/B$26)^(2/3))^(1/4)))*SQRT(C66/(B$27*B$25))*(1+(C66*B$25/(28200*B$27))^(5/8))^(4/5)</f>
        <v>47653.719072804655</v>
      </c>
      <c r="I66" s="38">
        <f t="shared" si="17"/>
        <v>6</v>
      </c>
      <c r="J66" s="24">
        <f t="shared" ref="J66:J93" si="22">I66*0.0000166667</f>
        <v>1.0000020000000001E-4</v>
      </c>
      <c r="K66" s="24">
        <f t="shared" ref="K66:K94" si="23">(J66)/(PI()*(K$32*10^-3)^2)</f>
        <v>0.49736019188056735</v>
      </c>
      <c r="L66" s="48">
        <f t="shared" ref="L66:L94" si="24">G$24*((0.3/G$25)+(0.62*G$26^(1/3))/((1+(0.4/G$26)^(2/3))^(1/4)))*SQRT(K66/(G$27*G$25))*(1+(K66*G$25/(28200*G$27))^(5/8))^(4/5)</f>
        <v>6179241.1277761422</v>
      </c>
      <c r="N66" s="42">
        <f t="shared" si="18"/>
        <v>36068.452927928818</v>
      </c>
      <c r="P66" s="42">
        <f t="shared" si="9"/>
        <v>42999.179297656301</v>
      </c>
      <c r="R66" s="42">
        <f t="shared" si="14"/>
        <v>60</v>
      </c>
      <c r="T66" s="42">
        <f t="shared" ref="T66:T94" si="25">((L$23-L$22)/LN(L$23/L$22))</f>
        <v>16.497953001781287</v>
      </c>
      <c r="V66" s="42">
        <f t="shared" ref="V66:V94" si="26">P66*T66*L$11*0.00001</f>
        <v>8.252705747749788</v>
      </c>
      <c r="X66" s="42">
        <f t="shared" ref="X66:X94" si="27">T66*P66*O$11*0.00001</f>
        <v>12.379058621624681</v>
      </c>
      <c r="Z66" s="42">
        <f t="shared" ref="Z66:Z94" si="28">T66*P66*R$11*0.00001</f>
        <v>17.422378800805109</v>
      </c>
      <c r="AB66" s="42">
        <f t="shared" si="15"/>
        <v>14.877328126796295</v>
      </c>
      <c r="AD66" s="42">
        <f t="shared" si="11"/>
        <v>20.938461808083673</v>
      </c>
    </row>
    <row r="67" spans="1:30" ht="16" thickBot="1" x14ac:dyDescent="0.25">
      <c r="A67" s="38">
        <f t="shared" si="12"/>
        <v>165</v>
      </c>
      <c r="B67" s="24">
        <f t="shared" si="20"/>
        <v>26.883596444116506</v>
      </c>
      <c r="C67" s="24">
        <f t="shared" si="19"/>
        <v>8.1937203426139913</v>
      </c>
      <c r="D67" s="24">
        <f t="shared" si="16"/>
        <v>19.248018755846726</v>
      </c>
      <c r="E67" s="24">
        <f t="shared" si="7"/>
        <v>5.8665098311023236</v>
      </c>
      <c r="F67" s="48">
        <f t="shared" si="8"/>
        <v>39984.594411398975</v>
      </c>
      <c r="G67" s="48">
        <f t="shared" si="21"/>
        <v>48520.125307029557</v>
      </c>
      <c r="I67" s="38">
        <f t="shared" ref="I67:I94" si="29">I66+I$32</f>
        <v>6</v>
      </c>
      <c r="J67" s="24">
        <f t="shared" si="22"/>
        <v>1.0000020000000001E-4</v>
      </c>
      <c r="K67" s="24">
        <f t="shared" si="23"/>
        <v>0.49736019188056735</v>
      </c>
      <c r="L67" s="48">
        <f t="shared" si="24"/>
        <v>6179241.1277761422</v>
      </c>
      <c r="N67" s="42">
        <f t="shared" si="18"/>
        <v>36655.320726610415</v>
      </c>
      <c r="P67" s="42">
        <f t="shared" ref="P67:P94" si="30">(1)/((1/L67)+(1/G67)+(H$14/H$15))</f>
        <v>43703.349666217648</v>
      </c>
      <c r="R67" s="42">
        <f t="shared" si="14"/>
        <v>60</v>
      </c>
      <c r="T67" s="42">
        <f t="shared" si="25"/>
        <v>16.497953001781287</v>
      </c>
      <c r="V67" s="42">
        <f t="shared" si="26"/>
        <v>8.3878550911312804</v>
      </c>
      <c r="X67" s="42">
        <f t="shared" si="27"/>
        <v>12.581782636696921</v>
      </c>
      <c r="Z67" s="42">
        <f t="shared" si="28"/>
        <v>17.707694081277147</v>
      </c>
      <c r="AB67" s="42">
        <f t="shared" si="15"/>
        <v>15.119396308247905</v>
      </c>
      <c r="AD67" s="42">
        <f t="shared" si="11"/>
        <v>21.279150359756311</v>
      </c>
    </row>
    <row r="68" spans="1:30" ht="16" thickBot="1" x14ac:dyDescent="0.25">
      <c r="A68" s="59">
        <f t="shared" si="12"/>
        <v>170</v>
      </c>
      <c r="B68" s="27">
        <f t="shared" si="20"/>
        <v>27.698250881817007</v>
      </c>
      <c r="C68" s="27">
        <f t="shared" si="19"/>
        <v>8.442014898450779</v>
      </c>
      <c r="D68" s="27">
        <f t="shared" si="16"/>
        <v>19.831292051478442</v>
      </c>
      <c r="E68" s="27">
        <f t="shared" si="7"/>
        <v>6.0442828562872419</v>
      </c>
      <c r="F68" s="28">
        <f t="shared" si="8"/>
        <v>40674.326025756549</v>
      </c>
      <c r="G68" s="28">
        <f t="shared" si="21"/>
        <v>49377.708397946444</v>
      </c>
      <c r="H68" s="60"/>
      <c r="I68" s="26">
        <f t="shared" si="29"/>
        <v>6</v>
      </c>
      <c r="J68" s="27">
        <f t="shared" si="22"/>
        <v>1.0000020000000001E-4</v>
      </c>
      <c r="K68" s="27">
        <f t="shared" si="23"/>
        <v>0.49736019188056735</v>
      </c>
      <c r="L68" s="28">
        <f t="shared" si="24"/>
        <v>6179241.1277761422</v>
      </c>
      <c r="M68" s="60"/>
      <c r="N68" s="41">
        <f t="shared" si="18"/>
        <v>37234.143302909026</v>
      </c>
      <c r="O68" s="60"/>
      <c r="P68" s="41">
        <f t="shared" si="30"/>
        <v>44397.894791747807</v>
      </c>
      <c r="Q68" s="60"/>
      <c r="R68" s="41">
        <f t="shared" si="14"/>
        <v>60</v>
      </c>
      <c r="S68" s="60"/>
      <c r="T68" s="41">
        <f t="shared" si="25"/>
        <v>16.497953001781287</v>
      </c>
      <c r="U68" s="60"/>
      <c r="V68" s="41">
        <f t="shared" si="26"/>
        <v>8.5211570899870299</v>
      </c>
      <c r="W68" s="60"/>
      <c r="X68" s="41">
        <f t="shared" si="27"/>
        <v>12.781735634980542</v>
      </c>
      <c r="Y68" s="60"/>
      <c r="Z68" s="41">
        <f t="shared" si="28"/>
        <v>17.989109412194839</v>
      </c>
      <c r="AA68" s="60"/>
      <c r="AB68" s="41">
        <f t="shared" si="15"/>
        <v>15.35814603815728</v>
      </c>
      <c r="AC68" s="60"/>
      <c r="AD68" s="41">
        <f t="shared" si="11"/>
        <v>21.615168498147284</v>
      </c>
    </row>
    <row r="69" spans="1:30" x14ac:dyDescent="0.2">
      <c r="A69" s="38">
        <f t="shared" si="12"/>
        <v>175</v>
      </c>
      <c r="B69" s="24">
        <f t="shared" si="20"/>
        <v>28.512905319517504</v>
      </c>
      <c r="C69" s="24">
        <f t="shared" si="19"/>
        <v>8.690309454287565</v>
      </c>
      <c r="D69" s="24">
        <f t="shared" si="16"/>
        <v>20.414565347110162</v>
      </c>
      <c r="E69" s="24">
        <f t="shared" si="7"/>
        <v>6.2220558814721612</v>
      </c>
      <c r="F69" s="48">
        <f t="shared" si="8"/>
        <v>41356.827760301334</v>
      </c>
      <c r="G69" s="48">
        <f t="shared" si="21"/>
        <v>50226.866240688731</v>
      </c>
      <c r="I69" s="38">
        <f t="shared" si="29"/>
        <v>6</v>
      </c>
      <c r="J69" s="24">
        <f t="shared" si="22"/>
        <v>1.0000020000000001E-4</v>
      </c>
      <c r="K69" s="24">
        <f t="shared" si="23"/>
        <v>0.49736019188056735</v>
      </c>
      <c r="L69" s="48">
        <f t="shared" si="24"/>
        <v>6179241.1277761422</v>
      </c>
      <c r="N69" s="42">
        <f t="shared" si="18"/>
        <v>37805.266559461699</v>
      </c>
      <c r="P69" s="42">
        <f t="shared" si="30"/>
        <v>45083.223221256769</v>
      </c>
      <c r="R69" s="42">
        <f t="shared" si="14"/>
        <v>60</v>
      </c>
      <c r="T69" s="42">
        <f t="shared" si="25"/>
        <v>16.497953001781287</v>
      </c>
      <c r="V69" s="42">
        <f t="shared" si="26"/>
        <v>8.6526901555405207</v>
      </c>
      <c r="X69" s="42">
        <f t="shared" si="27"/>
        <v>12.979035233310782</v>
      </c>
      <c r="Z69" s="42">
        <f t="shared" si="28"/>
        <v>18.266790328363321</v>
      </c>
      <c r="AB69" s="42">
        <f t="shared" si="15"/>
        <v>15.593719992647557</v>
      </c>
      <c r="AD69" s="42">
        <f t="shared" si="11"/>
        <v>21.946717026689154</v>
      </c>
    </row>
    <row r="70" spans="1:30" x14ac:dyDescent="0.2">
      <c r="A70" s="38">
        <f t="shared" si="12"/>
        <v>180</v>
      </c>
      <c r="B70" s="24">
        <f t="shared" si="20"/>
        <v>29.327559757218005</v>
      </c>
      <c r="C70" s="24">
        <f t="shared" si="19"/>
        <v>8.9386040101243527</v>
      </c>
      <c r="D70" s="24">
        <f t="shared" si="16"/>
        <v>20.997838642741883</v>
      </c>
      <c r="E70" s="24">
        <f t="shared" si="7"/>
        <v>6.3998289066570804</v>
      </c>
      <c r="F70" s="48">
        <f t="shared" si="8"/>
        <v>42032.415169925647</v>
      </c>
      <c r="G70" s="48">
        <f t="shared" si="21"/>
        <v>51067.968156527648</v>
      </c>
      <c r="I70" s="38">
        <f t="shared" si="29"/>
        <v>6</v>
      </c>
      <c r="J70" s="24">
        <f t="shared" si="22"/>
        <v>1.0000020000000001E-4</v>
      </c>
      <c r="K70" s="24">
        <f t="shared" si="23"/>
        <v>0.49736019188056735</v>
      </c>
      <c r="L70" s="48">
        <f t="shared" si="24"/>
        <v>6179241.1277761422</v>
      </c>
      <c r="N70" s="42">
        <f t="shared" si="18"/>
        <v>38369.011817500817</v>
      </c>
      <c r="P70" s="42">
        <f t="shared" si="30"/>
        <v>45759.714536767875</v>
      </c>
      <c r="R70" s="42">
        <f t="shared" si="14"/>
        <v>60</v>
      </c>
      <c r="T70" s="42">
        <f t="shared" si="25"/>
        <v>16.497953001781287</v>
      </c>
      <c r="V70" s="42">
        <f t="shared" si="26"/>
        <v>8.7825271398507212</v>
      </c>
      <c r="X70" s="42">
        <f t="shared" si="27"/>
        <v>13.17379070977608</v>
      </c>
      <c r="Z70" s="42">
        <f t="shared" si="28"/>
        <v>18.540890628573745</v>
      </c>
      <c r="AB70" s="42">
        <f t="shared" si="15"/>
        <v>15.826250708631749</v>
      </c>
      <c r="AD70" s="42">
        <f t="shared" si="11"/>
        <v>22.273982478815054</v>
      </c>
    </row>
    <row r="71" spans="1:30" x14ac:dyDescent="0.2">
      <c r="A71" s="38">
        <f t="shared" si="12"/>
        <v>185</v>
      </c>
      <c r="B71" s="24">
        <f t="shared" si="20"/>
        <v>30.142214194918505</v>
      </c>
      <c r="C71" s="24">
        <f t="shared" si="19"/>
        <v>9.1868985659611404</v>
      </c>
      <c r="D71" s="24">
        <f t="shared" si="16"/>
        <v>21.581111938373599</v>
      </c>
      <c r="E71" s="24">
        <f t="shared" si="7"/>
        <v>6.5776019318419987</v>
      </c>
      <c r="F71" s="48">
        <f t="shared" si="8"/>
        <v>42701.381815594927</v>
      </c>
      <c r="G71" s="48">
        <f t="shared" si="21"/>
        <v>51901.357671672296</v>
      </c>
      <c r="I71" s="38">
        <f t="shared" si="29"/>
        <v>6</v>
      </c>
      <c r="J71" s="24">
        <f t="shared" si="22"/>
        <v>1.0000020000000001E-4</v>
      </c>
      <c r="K71" s="24">
        <f t="shared" si="23"/>
        <v>0.49736019188056735</v>
      </c>
      <c r="L71" s="48">
        <f t="shared" si="24"/>
        <v>6179241.1277761422</v>
      </c>
      <c r="N71" s="42">
        <f t="shared" si="18"/>
        <v>38925.678197308196</v>
      </c>
      <c r="P71" s="42">
        <f t="shared" si="30"/>
        <v>46427.722159274861</v>
      </c>
      <c r="R71" s="42">
        <f t="shared" si="14"/>
        <v>60</v>
      </c>
      <c r="T71" s="42">
        <f t="shared" si="25"/>
        <v>16.497953001781287</v>
      </c>
      <c r="V71" s="42">
        <f t="shared" si="26"/>
        <v>8.9107358739672939</v>
      </c>
      <c r="X71" s="42">
        <f t="shared" si="27"/>
        <v>13.366103810950943</v>
      </c>
      <c r="Z71" s="42">
        <f t="shared" si="28"/>
        <v>18.81155351170873</v>
      </c>
      <c r="AB71" s="42">
        <f t="shared" si="15"/>
        <v>16.05586156569009</v>
      </c>
      <c r="AD71" s="42">
        <f t="shared" si="11"/>
        <v>22.597138499860126</v>
      </c>
    </row>
    <row r="72" spans="1:30" x14ac:dyDescent="0.2">
      <c r="A72" s="38">
        <f t="shared" si="12"/>
        <v>190</v>
      </c>
      <c r="B72" s="24">
        <f t="shared" si="20"/>
        <v>30.956868632619006</v>
      </c>
      <c r="C72" s="24">
        <f t="shared" si="19"/>
        <v>9.4351931217979281</v>
      </c>
      <c r="D72" s="24">
        <f t="shared" si="16"/>
        <v>22.164385234005319</v>
      </c>
      <c r="E72" s="24">
        <f t="shared" si="7"/>
        <v>6.7553749570269179</v>
      </c>
      <c r="F72" s="48">
        <f t="shared" si="8"/>
        <v>43364.001343502561</v>
      </c>
      <c r="G72" s="48">
        <f t="shared" si="21"/>
        <v>52727.354958726923</v>
      </c>
      <c r="I72" s="38">
        <f t="shared" si="29"/>
        <v>6</v>
      </c>
      <c r="J72" s="24">
        <f t="shared" si="22"/>
        <v>1.0000020000000001E-4</v>
      </c>
      <c r="K72" s="24">
        <f t="shared" si="23"/>
        <v>0.49736019188056735</v>
      </c>
      <c r="L72" s="48">
        <f t="shared" si="24"/>
        <v>6179241.1277761422</v>
      </c>
      <c r="N72" s="42">
        <f t="shared" si="18"/>
        <v>39475.54471035696</v>
      </c>
      <c r="P72" s="42">
        <f t="shared" si="30"/>
        <v>47087.575813087155</v>
      </c>
      <c r="R72" s="42">
        <f t="shared" si="14"/>
        <v>60</v>
      </c>
      <c r="T72" s="42">
        <f t="shared" si="25"/>
        <v>16.497953001781287</v>
      </c>
      <c r="V72" s="42">
        <f t="shared" si="26"/>
        <v>9.0373796409051259</v>
      </c>
      <c r="X72" s="42">
        <f t="shared" si="27"/>
        <v>13.556069461357687</v>
      </c>
      <c r="Z72" s="42">
        <f t="shared" si="28"/>
        <v>19.078912575244157</v>
      </c>
      <c r="AB72" s="42">
        <f t="shared" si="15"/>
        <v>16.282667649025854</v>
      </c>
      <c r="AD72" s="42">
        <f t="shared" si="11"/>
        <v>22.916347061591939</v>
      </c>
    </row>
    <row r="73" spans="1:30" x14ac:dyDescent="0.2">
      <c r="A73" s="38">
        <f t="shared" si="12"/>
        <v>195</v>
      </c>
      <c r="B73" s="24">
        <f t="shared" si="20"/>
        <v>31.771523070319507</v>
      </c>
      <c r="C73" s="24">
        <f t="shared" si="19"/>
        <v>9.6834876776347159</v>
      </c>
      <c r="D73" s="24">
        <f t="shared" si="16"/>
        <v>22.747658529637039</v>
      </c>
      <c r="E73" s="24">
        <f t="shared" si="7"/>
        <v>6.9331479822118371</v>
      </c>
      <c r="F73" s="48">
        <f t="shared" si="8"/>
        <v>44020.529318601373</v>
      </c>
      <c r="G73" s="48">
        <f t="shared" si="21"/>
        <v>53546.258989492257</v>
      </c>
      <c r="I73" s="38">
        <f t="shared" si="29"/>
        <v>6</v>
      </c>
      <c r="J73" s="24">
        <f t="shared" si="22"/>
        <v>1.0000020000000001E-4</v>
      </c>
      <c r="K73" s="24">
        <f t="shared" si="23"/>
        <v>0.49736019188056735</v>
      </c>
      <c r="L73" s="48">
        <f t="shared" si="24"/>
        <v>6179241.1277761422</v>
      </c>
      <c r="N73" s="42">
        <f t="shared" si="18"/>
        <v>40018.872104689675</v>
      </c>
      <c r="P73" s="42">
        <f t="shared" si="30"/>
        <v>47739.583699509749</v>
      </c>
      <c r="R73" s="42">
        <f t="shared" si="14"/>
        <v>60</v>
      </c>
      <c r="T73" s="42">
        <f t="shared" si="25"/>
        <v>16.497953001781287</v>
      </c>
      <c r="V73" s="42">
        <f t="shared" si="26"/>
        <v>9.1625175928322982</v>
      </c>
      <c r="X73" s="42">
        <f t="shared" si="27"/>
        <v>13.743776389248447</v>
      </c>
      <c r="Z73" s="42">
        <f t="shared" si="28"/>
        <v>19.343092695979298</v>
      </c>
      <c r="AB73" s="42">
        <f t="shared" si="15"/>
        <v>16.506776510637323</v>
      </c>
      <c r="AD73" s="42">
        <f t="shared" si="11"/>
        <v>23.231759533489562</v>
      </c>
    </row>
    <row r="74" spans="1:30" x14ac:dyDescent="0.2">
      <c r="A74" s="38">
        <f t="shared" si="12"/>
        <v>200</v>
      </c>
      <c r="B74" s="24">
        <f t="shared" si="20"/>
        <v>32.586177508020008</v>
      </c>
      <c r="C74" s="24">
        <f t="shared" si="19"/>
        <v>9.9317822334715054</v>
      </c>
      <c r="D74" s="24">
        <f t="shared" si="16"/>
        <v>23.330931825268756</v>
      </c>
      <c r="E74" s="24">
        <f t="shared" si="7"/>
        <v>7.1109210073967555</v>
      </c>
      <c r="F74" s="48">
        <f t="shared" si="8"/>
        <v>44671.204847038782</v>
      </c>
      <c r="G74" s="48">
        <f t="shared" si="21"/>
        <v>54358.349439709636</v>
      </c>
      <c r="I74" s="38">
        <f t="shared" si="29"/>
        <v>6</v>
      </c>
      <c r="J74" s="24">
        <f t="shared" si="22"/>
        <v>1.0000020000000001E-4</v>
      </c>
      <c r="K74" s="24">
        <f t="shared" si="23"/>
        <v>0.49736019188056735</v>
      </c>
      <c r="L74" s="48">
        <f t="shared" si="24"/>
        <v>6179241.1277761422</v>
      </c>
      <c r="N74" s="42">
        <f t="shared" si="18"/>
        <v>40555.904498186537</v>
      </c>
      <c r="P74" s="42">
        <f t="shared" si="30"/>
        <v>48384.034420680626</v>
      </c>
      <c r="R74" s="42">
        <f t="shared" si="14"/>
        <v>60</v>
      </c>
      <c r="T74" s="42">
        <f t="shared" si="25"/>
        <v>16.497953001781287</v>
      </c>
      <c r="V74" s="42">
        <f t="shared" si="26"/>
        <v>9.2862051203065317</v>
      </c>
      <c r="X74" s="42">
        <f t="shared" si="27"/>
        <v>13.929307680459797</v>
      </c>
      <c r="Z74" s="42">
        <f t="shared" si="28"/>
        <v>19.604210809536013</v>
      </c>
      <c r="AB74" s="42">
        <f t="shared" si="15"/>
        <v>16.728288842999795</v>
      </c>
      <c r="AD74" s="42">
        <f t="shared" si="11"/>
        <v>23.543517630888598</v>
      </c>
    </row>
    <row r="75" spans="1:30" ht="16" thickBot="1" x14ac:dyDescent="0.25">
      <c r="A75" s="38">
        <f t="shared" si="12"/>
        <v>205</v>
      </c>
      <c r="B75" s="24">
        <f t="shared" si="20"/>
        <v>33.400831945720505</v>
      </c>
      <c r="C75" s="24">
        <f t="shared" si="19"/>
        <v>10.180076789308291</v>
      </c>
      <c r="D75" s="24">
        <f t="shared" si="16"/>
        <v>23.914205120900476</v>
      </c>
      <c r="E75" s="24">
        <f t="shared" si="7"/>
        <v>7.2886940325816747</v>
      </c>
      <c r="F75" s="48">
        <f t="shared" si="8"/>
        <v>45316.252016432532</v>
      </c>
      <c r="G75" s="48">
        <f t="shared" si="21"/>
        <v>55163.888379771633</v>
      </c>
      <c r="I75" s="38">
        <f t="shared" si="29"/>
        <v>6</v>
      </c>
      <c r="J75" s="24">
        <f t="shared" si="22"/>
        <v>1.0000020000000001E-4</v>
      </c>
      <c r="K75" s="24">
        <f t="shared" si="23"/>
        <v>0.49736019188056735</v>
      </c>
      <c r="L75" s="48">
        <f t="shared" si="24"/>
        <v>6179241.1277761422</v>
      </c>
      <c r="N75" s="42">
        <f t="shared" si="18"/>
        <v>41086.870828771018</v>
      </c>
      <c r="P75" s="42">
        <f t="shared" si="30"/>
        <v>49021.198687783319</v>
      </c>
      <c r="R75" s="42">
        <f t="shared" si="14"/>
        <v>60</v>
      </c>
      <c r="T75" s="42">
        <f t="shared" si="25"/>
        <v>16.497953001781287</v>
      </c>
      <c r="V75" s="42">
        <f t="shared" si="26"/>
        <v>9.4084941801273967</v>
      </c>
      <c r="X75" s="42">
        <f t="shared" si="27"/>
        <v>14.112741270191092</v>
      </c>
      <c r="Z75" s="42">
        <f t="shared" si="28"/>
        <v>19.862376602491171</v>
      </c>
      <c r="AB75" s="42">
        <f t="shared" si="15"/>
        <v>16.947299077238856</v>
      </c>
      <c r="AD75" s="42">
        <f t="shared" si="11"/>
        <v>23.851754256854687</v>
      </c>
    </row>
    <row r="76" spans="1:30" ht="16" thickBot="1" x14ac:dyDescent="0.25">
      <c r="A76" s="61">
        <f t="shared" si="12"/>
        <v>210</v>
      </c>
      <c r="B76" s="27">
        <f t="shared" si="20"/>
        <v>34.215486383421009</v>
      </c>
      <c r="C76" s="27">
        <f t="shared" si="19"/>
        <v>10.428371345145081</v>
      </c>
      <c r="D76" s="27">
        <f t="shared" si="16"/>
        <v>24.497478416532196</v>
      </c>
      <c r="E76" s="27">
        <f t="shared" si="7"/>
        <v>7.4664670577665939</v>
      </c>
      <c r="F76" s="28">
        <f t="shared" si="8"/>
        <v>45955.881178352276</v>
      </c>
      <c r="G76" s="28">
        <f t="shared" si="21"/>
        <v>55963.121780045214</v>
      </c>
      <c r="H76" s="60"/>
      <c r="I76" s="26">
        <f t="shared" si="29"/>
        <v>6</v>
      </c>
      <c r="J76" s="27">
        <f t="shared" si="22"/>
        <v>1.0000020000000001E-4</v>
      </c>
      <c r="K76" s="27">
        <f t="shared" si="23"/>
        <v>0.49736019188056735</v>
      </c>
      <c r="L76" s="28">
        <f t="shared" si="24"/>
        <v>6179241.1277761422</v>
      </c>
      <c r="M76" s="60"/>
      <c r="N76" s="41">
        <f t="shared" si="18"/>
        <v>41611.986146013609</v>
      </c>
      <c r="O76" s="60"/>
      <c r="P76" s="41">
        <f t="shared" si="30"/>
        <v>49651.330842449315</v>
      </c>
      <c r="Q76" s="60"/>
      <c r="R76" s="41">
        <f t="shared" si="14"/>
        <v>60</v>
      </c>
      <c r="S76" s="60"/>
      <c r="T76" s="41">
        <f t="shared" si="25"/>
        <v>16.497953001781287</v>
      </c>
      <c r="U76" s="60"/>
      <c r="V76" s="41">
        <f t="shared" si="26"/>
        <v>9.5294335873345837</v>
      </c>
      <c r="W76" s="60"/>
      <c r="X76" s="41">
        <f t="shared" si="27"/>
        <v>14.294150381001874</v>
      </c>
      <c r="Y76" s="60"/>
      <c r="Z76" s="41">
        <f t="shared" si="28"/>
        <v>20.11769312881745</v>
      </c>
      <c r="AA76" s="60"/>
      <c r="AB76" s="41">
        <f t="shared" si="15"/>
        <v>17.163895915884396</v>
      </c>
      <c r="AC76" s="60"/>
      <c r="AD76" s="41">
        <f t="shared" si="11"/>
        <v>24.156594251985446</v>
      </c>
    </row>
    <row r="77" spans="1:30" x14ac:dyDescent="0.2">
      <c r="A77" s="38">
        <f t="shared" si="12"/>
        <v>215</v>
      </c>
      <c r="B77" s="24">
        <f t="shared" si="20"/>
        <v>35.030140821121506</v>
      </c>
      <c r="C77" s="24">
        <f t="shared" si="19"/>
        <v>10.676665900981867</v>
      </c>
      <c r="D77" s="24">
        <f t="shared" si="16"/>
        <v>25.080751712163913</v>
      </c>
      <c r="E77" s="24">
        <f t="shared" si="7"/>
        <v>7.6442400829515122</v>
      </c>
      <c r="F77" s="48">
        <f t="shared" si="8"/>
        <v>46590.290093614458</v>
      </c>
      <c r="G77" s="48">
        <f t="shared" si="21"/>
        <v>56756.280855032419</v>
      </c>
      <c r="I77" s="38">
        <f t="shared" si="29"/>
        <v>6</v>
      </c>
      <c r="J77" s="24">
        <f t="shared" si="22"/>
        <v>1.0000020000000001E-4</v>
      </c>
      <c r="K77" s="24">
        <f t="shared" si="23"/>
        <v>0.49736019188056735</v>
      </c>
      <c r="L77" s="48">
        <f t="shared" si="24"/>
        <v>6179241.1277761422</v>
      </c>
      <c r="N77" s="42">
        <f t="shared" si="18"/>
        <v>42131.452764824877</v>
      </c>
      <c r="P77" s="42">
        <f t="shared" si="30"/>
        <v>50274.670215722574</v>
      </c>
      <c r="R77" s="42">
        <f t="shared" si="14"/>
        <v>60</v>
      </c>
      <c r="T77" s="42">
        <f t="shared" si="25"/>
        <v>16.497953001781287</v>
      </c>
      <c r="V77" s="42">
        <f t="shared" si="26"/>
        <v>9.649069276029957</v>
      </c>
      <c r="X77" s="42">
        <f t="shared" si="27"/>
        <v>14.473603914044933</v>
      </c>
      <c r="Z77" s="42">
        <f t="shared" si="28"/>
        <v>20.370257360507683</v>
      </c>
      <c r="AB77" s="42">
        <f t="shared" si="15"/>
        <v>17.378162808739908</v>
      </c>
      <c r="AD77" s="42">
        <f t="shared" si="11"/>
        <v>24.458155064152464</v>
      </c>
    </row>
    <row r="78" spans="1:30" x14ac:dyDescent="0.2">
      <c r="A78" s="38">
        <f t="shared" si="12"/>
        <v>220</v>
      </c>
      <c r="B78" s="24">
        <f t="shared" si="20"/>
        <v>35.84479525882201</v>
      </c>
      <c r="C78" s="24">
        <f t="shared" si="19"/>
        <v>10.924960456818656</v>
      </c>
      <c r="D78" s="24">
        <f t="shared" si="16"/>
        <v>25.664025007795633</v>
      </c>
      <c r="E78" s="24">
        <f t="shared" si="7"/>
        <v>7.8220131081364315</v>
      </c>
      <c r="F78" s="48">
        <f t="shared" si="8"/>
        <v>47219.664957892463</v>
      </c>
      <c r="G78" s="48">
        <f t="shared" si="21"/>
        <v>57543.583266942696</v>
      </c>
      <c r="I78" s="38">
        <f t="shared" si="29"/>
        <v>6</v>
      </c>
      <c r="J78" s="24">
        <f t="shared" si="22"/>
        <v>1.0000020000000001E-4</v>
      </c>
      <c r="K78" s="24">
        <f t="shared" si="23"/>
        <v>0.49736019188056735</v>
      </c>
      <c r="L78" s="48">
        <f t="shared" si="24"/>
        <v>6179241.1277761422</v>
      </c>
      <c r="N78" s="42">
        <f t="shared" si="18"/>
        <v>42645.461298812814</v>
      </c>
      <c r="P78" s="42">
        <f t="shared" si="30"/>
        <v>50891.442345288975</v>
      </c>
      <c r="R78" s="42">
        <f t="shared" si="14"/>
        <v>60</v>
      </c>
      <c r="T78" s="42">
        <f t="shared" si="25"/>
        <v>16.497953001781287</v>
      </c>
      <c r="V78" s="42">
        <f t="shared" si="26"/>
        <v>9.7674445329968247</v>
      </c>
      <c r="X78" s="42">
        <f t="shared" si="27"/>
        <v>14.651166799495238</v>
      </c>
      <c r="Z78" s="42">
        <f t="shared" si="28"/>
        <v>20.620160680771075</v>
      </c>
      <c r="AB78" s="42">
        <f t="shared" si="15"/>
        <v>17.590178379116388</v>
      </c>
      <c r="AD78" s="42">
        <f t="shared" si="11"/>
        <v>24.756547348386029</v>
      </c>
    </row>
    <row r="79" spans="1:30" x14ac:dyDescent="0.2">
      <c r="A79" s="38">
        <f t="shared" si="12"/>
        <v>225</v>
      </c>
      <c r="B79" s="24">
        <f t="shared" si="20"/>
        <v>36.659449696522508</v>
      </c>
      <c r="C79" s="24">
        <f t="shared" si="19"/>
        <v>11.173255012655442</v>
      </c>
      <c r="D79" s="24">
        <f t="shared" si="16"/>
        <v>26.247298303427353</v>
      </c>
      <c r="E79" s="24">
        <f t="shared" si="7"/>
        <v>7.9997861333213507</v>
      </c>
      <c r="F79" s="48">
        <f t="shared" si="8"/>
        <v>47844.181322566757</v>
      </c>
      <c r="G79" s="48">
        <f t="shared" si="21"/>
        <v>58325.234206218571</v>
      </c>
      <c r="I79" s="38">
        <f t="shared" si="29"/>
        <v>6</v>
      </c>
      <c r="J79" s="24">
        <f t="shared" si="22"/>
        <v>1.0000020000000001E-4</v>
      </c>
      <c r="K79" s="24">
        <f t="shared" si="23"/>
        <v>0.49736019188056735</v>
      </c>
      <c r="L79" s="48">
        <f t="shared" si="24"/>
        <v>6179241.1277761422</v>
      </c>
      <c r="N79" s="42">
        <f t="shared" si="18"/>
        <v>43154.19158829347</v>
      </c>
      <c r="P79" s="42">
        <f t="shared" si="30"/>
        <v>51501.86006862572</v>
      </c>
      <c r="R79" s="42">
        <f t="shared" si="14"/>
        <v>60</v>
      </c>
      <c r="T79" s="42">
        <f t="shared" si="25"/>
        <v>16.497953001781287</v>
      </c>
      <c r="V79" s="42">
        <f t="shared" si="26"/>
        <v>9.8846002075048744</v>
      </c>
      <c r="X79" s="42">
        <f t="shared" si="27"/>
        <v>14.82690031125731</v>
      </c>
      <c r="Z79" s="42">
        <f t="shared" si="28"/>
        <v>20.867489326954733</v>
      </c>
      <c r="AB79" s="42">
        <f t="shared" si="15"/>
        <v>17.800016806613325</v>
      </c>
      <c r="AD79" s="42">
        <f t="shared" si="11"/>
        <v>25.051875505603942</v>
      </c>
    </row>
    <row r="80" spans="1:30" x14ac:dyDescent="0.2">
      <c r="A80" s="38">
        <f t="shared" si="12"/>
        <v>230</v>
      </c>
      <c r="B80" s="24">
        <f t="shared" si="20"/>
        <v>37.474104134223005</v>
      </c>
      <c r="C80" s="24">
        <f t="shared" si="19"/>
        <v>11.421549568492228</v>
      </c>
      <c r="D80" s="24">
        <f t="shared" si="16"/>
        <v>26.83057159905907</v>
      </c>
      <c r="E80" s="24">
        <f t="shared" si="7"/>
        <v>8.1775591585062699</v>
      </c>
      <c r="F80" s="48">
        <f t="shared" si="8"/>
        <v>48464.004923590015</v>
      </c>
      <c r="G80" s="48">
        <f t="shared" si="21"/>
        <v>59101.427364029732</v>
      </c>
      <c r="I80" s="38">
        <f t="shared" si="29"/>
        <v>6</v>
      </c>
      <c r="J80" s="24">
        <f t="shared" si="22"/>
        <v>1.0000020000000001E-4</v>
      </c>
      <c r="K80" s="24">
        <f t="shared" si="23"/>
        <v>0.49736019188056735</v>
      </c>
      <c r="L80" s="48">
        <f t="shared" si="24"/>
        <v>6179241.1277761422</v>
      </c>
      <c r="N80" s="42">
        <f t="shared" si="18"/>
        <v>43657.813535786452</v>
      </c>
      <c r="P80" s="42">
        <f t="shared" si="30"/>
        <v>52106.12450718529</v>
      </c>
      <c r="R80" s="42">
        <f t="shared" si="14"/>
        <v>60</v>
      </c>
      <c r="T80" s="42">
        <f t="shared" si="25"/>
        <v>16.497953001781287</v>
      </c>
      <c r="V80" s="42">
        <f t="shared" si="26"/>
        <v>10.000574900201698</v>
      </c>
      <c r="X80" s="42">
        <f t="shared" si="27"/>
        <v>15.000862350302548</v>
      </c>
      <c r="Z80" s="42">
        <f t="shared" si="28"/>
        <v>21.112324789314695</v>
      </c>
      <c r="AB80" s="42">
        <f t="shared" si="15"/>
        <v>18.007748171739539</v>
      </c>
      <c r="AD80" s="42">
        <f t="shared" si="11"/>
        <v>25.344238167633424</v>
      </c>
    </row>
    <row r="81" spans="1:30" x14ac:dyDescent="0.2">
      <c r="A81" s="38">
        <f t="shared" si="12"/>
        <v>235</v>
      </c>
      <c r="B81" s="24">
        <f t="shared" si="20"/>
        <v>38.288758571923509</v>
      </c>
      <c r="C81" s="24">
        <f t="shared" si="19"/>
        <v>11.669844124329018</v>
      </c>
      <c r="D81" s="24">
        <f t="shared" si="16"/>
        <v>27.41384489469079</v>
      </c>
      <c r="E81" s="24">
        <f t="shared" si="7"/>
        <v>8.3553321836911891</v>
      </c>
      <c r="F81" s="48">
        <f t="shared" si="8"/>
        <v>49079.292429342095</v>
      </c>
      <c r="G81" s="48">
        <f t="shared" si="21"/>
        <v>59872.34580963292</v>
      </c>
      <c r="I81" s="38">
        <f t="shared" si="29"/>
        <v>6</v>
      </c>
      <c r="J81" s="24">
        <f t="shared" si="22"/>
        <v>1.0000020000000001E-4</v>
      </c>
      <c r="K81" s="24">
        <f t="shared" si="23"/>
        <v>0.49736019188056735</v>
      </c>
      <c r="L81" s="48">
        <f t="shared" si="24"/>
        <v>6179241.1277761422</v>
      </c>
      <c r="N81" s="42">
        <f t="shared" si="18"/>
        <v>44156.487860020243</v>
      </c>
      <c r="P81" s="42">
        <f t="shared" si="30"/>
        <v>52704.425954599625</v>
      </c>
      <c r="R81" s="42">
        <f t="shared" si="14"/>
        <v>60</v>
      </c>
      <c r="T81" s="42">
        <f t="shared" si="25"/>
        <v>16.497953001781287</v>
      </c>
      <c r="V81" s="42">
        <f t="shared" si="26"/>
        <v>10.115405133583209</v>
      </c>
      <c r="X81" s="42">
        <f t="shared" si="27"/>
        <v>15.173107700374814</v>
      </c>
      <c r="Z81" s="42">
        <f t="shared" si="28"/>
        <v>21.354744170897888</v>
      </c>
      <c r="AB81" s="42">
        <f t="shared" si="15"/>
        <v>18.213438766921396</v>
      </c>
      <c r="AD81" s="42">
        <f t="shared" si="11"/>
        <v>25.63372863492641</v>
      </c>
    </row>
    <row r="82" spans="1:30" x14ac:dyDescent="0.2">
      <c r="A82" s="38">
        <f t="shared" si="12"/>
        <v>240</v>
      </c>
      <c r="B82" s="24">
        <f t="shared" si="20"/>
        <v>39.103413009624006</v>
      </c>
      <c r="C82" s="24">
        <f t="shared" si="19"/>
        <v>11.918138680165805</v>
      </c>
      <c r="D82" s="24">
        <f t="shared" si="16"/>
        <v>27.99711819032251</v>
      </c>
      <c r="E82" s="24">
        <f t="shared" si="7"/>
        <v>8.5331052088761083</v>
      </c>
      <c r="F82" s="48">
        <f t="shared" si="8"/>
        <v>49690.192116936523</v>
      </c>
      <c r="G82" s="48">
        <f t="shared" si="21"/>
        <v>60638.162783715816</v>
      </c>
      <c r="I82" s="38">
        <f t="shared" si="29"/>
        <v>6</v>
      </c>
      <c r="J82" s="24">
        <f t="shared" si="22"/>
        <v>1.0000020000000001E-4</v>
      </c>
      <c r="K82" s="24">
        <f t="shared" si="23"/>
        <v>0.49736019188056735</v>
      </c>
      <c r="L82" s="48">
        <f t="shared" si="24"/>
        <v>6179241.1277761422</v>
      </c>
      <c r="N82" s="42">
        <f t="shared" si="18"/>
        <v>44650.366777953161</v>
      </c>
      <c r="P82" s="42">
        <f t="shared" si="30"/>
        <v>53296.944680100831</v>
      </c>
      <c r="R82" s="42">
        <f t="shared" si="14"/>
        <v>60</v>
      </c>
      <c r="T82" s="42">
        <f t="shared" si="25"/>
        <v>16.497953001781287</v>
      </c>
      <c r="V82" s="42">
        <f t="shared" si="26"/>
        <v>10.229125506191805</v>
      </c>
      <c r="X82" s="42">
        <f t="shared" si="27"/>
        <v>15.343688259287704</v>
      </c>
      <c r="Z82" s="42">
        <f t="shared" si="28"/>
        <v>21.594820513071582</v>
      </c>
      <c r="AB82" s="42">
        <f t="shared" si="15"/>
        <v>18.417151377819263</v>
      </c>
      <c r="AD82" s="42">
        <f t="shared" si="11"/>
        <v>25.920435272486365</v>
      </c>
    </row>
    <row r="83" spans="1:30" x14ac:dyDescent="0.2">
      <c r="A83" s="38">
        <f t="shared" si="12"/>
        <v>245</v>
      </c>
      <c r="B83" s="24">
        <f t="shared" si="20"/>
        <v>39.918067447324511</v>
      </c>
      <c r="C83" s="24">
        <f t="shared" si="19"/>
        <v>12.166433236002593</v>
      </c>
      <c r="D83" s="24">
        <f t="shared" si="16"/>
        <v>28.580391485954227</v>
      </c>
      <c r="E83" s="24">
        <f t="shared" si="7"/>
        <v>8.7108782340610258</v>
      </c>
      <c r="F83" s="48">
        <f t="shared" si="8"/>
        <v>50296.844485161128</v>
      </c>
      <c r="G83" s="48">
        <f t="shared" si="21"/>
        <v>61399.042417340694</v>
      </c>
      <c r="I83" s="38">
        <f t="shared" si="29"/>
        <v>6</v>
      </c>
      <c r="J83" s="24">
        <f t="shared" si="22"/>
        <v>1.0000020000000001E-4</v>
      </c>
      <c r="K83" s="24">
        <f t="shared" si="23"/>
        <v>0.49736019188056735</v>
      </c>
      <c r="L83" s="48">
        <f t="shared" si="24"/>
        <v>6179241.1277761422</v>
      </c>
      <c r="N83" s="42">
        <f t="shared" si="18"/>
        <v>45139.594623032237</v>
      </c>
      <c r="P83" s="42">
        <f t="shared" si="30"/>
        <v>53883.851656843341</v>
      </c>
      <c r="R83" s="42">
        <f t="shared" si="14"/>
        <v>60</v>
      </c>
      <c r="T83" s="42">
        <f t="shared" si="25"/>
        <v>16.497953001781287</v>
      </c>
      <c r="V83" s="42">
        <f t="shared" si="26"/>
        <v>10.341768832401085</v>
      </c>
      <c r="X83" s="42">
        <f t="shared" si="27"/>
        <v>15.512653248601628</v>
      </c>
      <c r="Z83" s="42">
        <f t="shared" si="28"/>
        <v>21.832623090624512</v>
      </c>
      <c r="AB83" s="42">
        <f t="shared" si="15"/>
        <v>18.618945538343706</v>
      </c>
      <c r="AD83" s="42">
        <f t="shared" si="11"/>
        <v>26.204441868780034</v>
      </c>
    </row>
    <row r="84" spans="1:30" x14ac:dyDescent="0.2">
      <c r="A84" s="38">
        <f t="shared" si="12"/>
        <v>250</v>
      </c>
      <c r="B84" s="24">
        <f t="shared" si="20"/>
        <v>40.732721885025008</v>
      </c>
      <c r="C84" s="24">
        <f t="shared" si="19"/>
        <v>12.414727791839381</v>
      </c>
      <c r="D84" s="24">
        <f t="shared" si="16"/>
        <v>29.163664781585947</v>
      </c>
      <c r="E84" s="24">
        <f t="shared" si="7"/>
        <v>8.888651259245945</v>
      </c>
      <c r="F84" s="48">
        <f t="shared" si="8"/>
        <v>50899.382811153693</v>
      </c>
      <c r="G84" s="48">
        <f t="shared" si="21"/>
        <v>62155.140384829821</v>
      </c>
      <c r="I84" s="38">
        <f t="shared" si="29"/>
        <v>6</v>
      </c>
      <c r="J84" s="24">
        <f t="shared" si="22"/>
        <v>1.0000020000000001E-4</v>
      </c>
      <c r="K84" s="24">
        <f t="shared" si="23"/>
        <v>0.49736019188056735</v>
      </c>
      <c r="L84" s="48">
        <f t="shared" si="24"/>
        <v>6179241.1277761422</v>
      </c>
      <c r="N84" s="42">
        <f t="shared" si="18"/>
        <v>45624.308406825745</v>
      </c>
      <c r="P84" s="42">
        <f t="shared" si="30"/>
        <v>54465.309223531556</v>
      </c>
      <c r="R84" s="42">
        <f t="shared" si="14"/>
        <v>60</v>
      </c>
      <c r="T84" s="42">
        <f t="shared" si="25"/>
        <v>16.497953001781287</v>
      </c>
      <c r="V84" s="42">
        <f t="shared" si="26"/>
        <v>10.453366269400123</v>
      </c>
      <c r="X84" s="42">
        <f t="shared" si="27"/>
        <v>15.680049404100183</v>
      </c>
      <c r="Z84" s="42">
        <f t="shared" si="28"/>
        <v>22.0682176798447</v>
      </c>
      <c r="AB84" s="42">
        <f t="shared" si="15"/>
        <v>18.818877762314788</v>
      </c>
      <c r="AD84" s="42">
        <f t="shared" si="11"/>
        <v>26.485827961776366</v>
      </c>
    </row>
    <row r="85" spans="1:30" x14ac:dyDescent="0.2">
      <c r="A85" s="38">
        <f t="shared" si="12"/>
        <v>255</v>
      </c>
      <c r="B85" s="24">
        <f t="shared" si="20"/>
        <v>41.547376322725505</v>
      </c>
      <c r="C85" s="24">
        <f t="shared" si="19"/>
        <v>12.663022347676167</v>
      </c>
      <c r="D85" s="24">
        <f t="shared" si="16"/>
        <v>29.746938077217667</v>
      </c>
      <c r="E85" s="24">
        <f t="shared" si="7"/>
        <v>9.0664242844308642</v>
      </c>
      <c r="F85" s="48">
        <f t="shared" si="8"/>
        <v>51497.933656991918</v>
      </c>
      <c r="G85" s="48">
        <f t="shared" si="21"/>
        <v>62906.604497853026</v>
      </c>
      <c r="I85" s="38">
        <f t="shared" si="29"/>
        <v>6</v>
      </c>
      <c r="J85" s="24">
        <f t="shared" si="22"/>
        <v>1.0000020000000001E-4</v>
      </c>
      <c r="K85" s="24">
        <f t="shared" si="23"/>
        <v>0.49736019188056735</v>
      </c>
      <c r="L85" s="48">
        <f t="shared" si="24"/>
        <v>6179241.1277761422</v>
      </c>
      <c r="N85" s="42">
        <f t="shared" si="18"/>
        <v>46104.638330240137</v>
      </c>
      <c r="P85" s="42">
        <f t="shared" si="30"/>
        <v>55041.471686668505</v>
      </c>
      <c r="R85" s="42">
        <f t="shared" si="14"/>
        <v>60</v>
      </c>
      <c r="T85" s="42">
        <f t="shared" si="25"/>
        <v>16.497953001781287</v>
      </c>
      <c r="V85" s="42">
        <f t="shared" si="26"/>
        <v>10.563947432781237</v>
      </c>
      <c r="X85" s="42">
        <f t="shared" si="27"/>
        <v>15.845921149171856</v>
      </c>
      <c r="Z85" s="42">
        <f t="shared" si="28"/>
        <v>22.301666802538165</v>
      </c>
      <c r="AB85" s="42">
        <f t="shared" si="15"/>
        <v>19.017001754326138</v>
      </c>
      <c r="AD85" s="42">
        <f t="shared" si="11"/>
        <v>26.764669135718268</v>
      </c>
    </row>
    <row r="86" spans="1:30" x14ac:dyDescent="0.2">
      <c r="A86" s="38">
        <f t="shared" si="12"/>
        <v>260</v>
      </c>
      <c r="B86" s="24">
        <f t="shared" si="20"/>
        <v>42.362030760426009</v>
      </c>
      <c r="C86" s="24">
        <f t="shared" si="19"/>
        <v>12.911316903512956</v>
      </c>
      <c r="D86" s="24">
        <f t="shared" si="16"/>
        <v>30.330211372849384</v>
      </c>
      <c r="E86" s="24">
        <f t="shared" si="7"/>
        <v>9.2441973096157817</v>
      </c>
      <c r="F86" s="48">
        <f t="shared" si="8"/>
        <v>52092.617331591086</v>
      </c>
      <c r="G86" s="48">
        <f t="shared" si="21"/>
        <v>63653.575247053115</v>
      </c>
      <c r="I86" s="38">
        <f t="shared" si="29"/>
        <v>6</v>
      </c>
      <c r="J86" s="24">
        <f t="shared" si="22"/>
        <v>1.0000020000000001E-4</v>
      </c>
      <c r="K86" s="24">
        <f t="shared" si="23"/>
        <v>0.49736019188056735</v>
      </c>
      <c r="L86" s="48">
        <f t="shared" si="24"/>
        <v>6179241.1277761422</v>
      </c>
      <c r="N86" s="42">
        <f t="shared" si="18"/>
        <v>46580.708249742813</v>
      </c>
      <c r="P86" s="42">
        <f t="shared" si="30"/>
        <v>55612.485869810618</v>
      </c>
      <c r="R86" s="42">
        <f t="shared" si="14"/>
        <v>60</v>
      </c>
      <c r="T86" s="42">
        <f t="shared" si="25"/>
        <v>16.497953001781287</v>
      </c>
      <c r="V86" s="42">
        <f t="shared" si="26"/>
        <v>10.67354050195687</v>
      </c>
      <c r="X86" s="42">
        <f t="shared" si="27"/>
        <v>16.010310752935307</v>
      </c>
      <c r="Z86" s="42">
        <f t="shared" si="28"/>
        <v>22.533029948575614</v>
      </c>
      <c r="AB86" s="42">
        <f t="shared" si="15"/>
        <v>19.213368602050139</v>
      </c>
      <c r="AD86" s="42">
        <f t="shared" si="11"/>
        <v>27.041037291774266</v>
      </c>
    </row>
    <row r="87" spans="1:30" x14ac:dyDescent="0.2">
      <c r="A87" s="38">
        <f t="shared" si="12"/>
        <v>265</v>
      </c>
      <c r="B87" s="24">
        <f t="shared" si="20"/>
        <v>43.176685198126506</v>
      </c>
      <c r="C87" s="24">
        <f t="shared" si="19"/>
        <v>13.159611459349742</v>
      </c>
      <c r="D87" s="24">
        <f t="shared" si="16"/>
        <v>30.913484668481104</v>
      </c>
      <c r="E87" s="24">
        <f t="shared" si="7"/>
        <v>9.4219703348007009</v>
      </c>
      <c r="F87" s="48">
        <f t="shared" si="8"/>
        <v>52683.548312630752</v>
      </c>
      <c r="G87" s="48">
        <f t="shared" si="21"/>
        <v>64396.186296754917</v>
      </c>
      <c r="I87" s="38">
        <f t="shared" si="29"/>
        <v>6</v>
      </c>
      <c r="J87" s="24">
        <f t="shared" si="22"/>
        <v>1.0000020000000001E-4</v>
      </c>
      <c r="K87" s="24">
        <f t="shared" si="23"/>
        <v>0.49736019188056735</v>
      </c>
      <c r="L87" s="48">
        <f t="shared" si="24"/>
        <v>6179241.1277761422</v>
      </c>
      <c r="N87" s="42">
        <f t="shared" si="18"/>
        <v>47052.636103337223</v>
      </c>
      <c r="P87" s="42">
        <f t="shared" si="30"/>
        <v>56178.491615418767</v>
      </c>
      <c r="R87" s="42">
        <f t="shared" si="14"/>
        <v>60</v>
      </c>
      <c r="T87" s="42">
        <f t="shared" si="25"/>
        <v>16.497953001781287</v>
      </c>
      <c r="V87" s="42">
        <f t="shared" si="26"/>
        <v>10.782172316478373</v>
      </c>
      <c r="X87" s="42">
        <f t="shared" si="27"/>
        <v>16.17325847471756</v>
      </c>
      <c r="Z87" s="42">
        <f t="shared" si="28"/>
        <v>22.762363779232118</v>
      </c>
      <c r="AB87" s="42">
        <f t="shared" si="15"/>
        <v>19.408026951941885</v>
      </c>
      <c r="AD87" s="42">
        <f t="shared" si="11"/>
        <v>27.315000895325618</v>
      </c>
    </row>
    <row r="88" spans="1:30" x14ac:dyDescent="0.2">
      <c r="A88" s="38">
        <f t="shared" si="12"/>
        <v>270</v>
      </c>
      <c r="B88" s="24">
        <f t="shared" si="20"/>
        <v>43.991339635827011</v>
      </c>
      <c r="C88" s="24">
        <f t="shared" si="19"/>
        <v>13.407906015186532</v>
      </c>
      <c r="D88" s="24">
        <f t="shared" si="16"/>
        <v>31.496757964112824</v>
      </c>
      <c r="E88" s="24">
        <f t="shared" si="7"/>
        <v>9.5997433599856219</v>
      </c>
      <c r="F88" s="48">
        <f t="shared" si="8"/>
        <v>53270.835632652757</v>
      </c>
      <c r="G88" s="48">
        <f t="shared" si="21"/>
        <v>65134.56493762404</v>
      </c>
      <c r="I88" s="38">
        <f t="shared" si="29"/>
        <v>6</v>
      </c>
      <c r="J88" s="24">
        <f t="shared" si="22"/>
        <v>1.0000020000000001E-4</v>
      </c>
      <c r="K88" s="24">
        <f t="shared" si="23"/>
        <v>0.49736019188056735</v>
      </c>
      <c r="L88" s="48">
        <f t="shared" si="24"/>
        <v>6179241.1277761422</v>
      </c>
      <c r="N88" s="42">
        <f t="shared" si="18"/>
        <v>47520.534300455241</v>
      </c>
      <c r="P88" s="42">
        <f t="shared" si="30"/>
        <v>56739.622244211401</v>
      </c>
      <c r="R88" s="42">
        <f t="shared" si="14"/>
        <v>60</v>
      </c>
      <c r="T88" s="42">
        <f t="shared" si="25"/>
        <v>16.497953001781287</v>
      </c>
      <c r="V88" s="42">
        <f t="shared" si="26"/>
        <v>10.889868464198285</v>
      </c>
      <c r="X88" s="42">
        <f t="shared" si="27"/>
        <v>16.33480269629743</v>
      </c>
      <c r="Z88" s="42">
        <f t="shared" si="28"/>
        <v>22.989722313307492</v>
      </c>
      <c r="AB88" s="42">
        <f t="shared" si="15"/>
        <v>19.601023170059992</v>
      </c>
      <c r="AD88" s="42">
        <f t="shared" si="11"/>
        <v>27.586625202306656</v>
      </c>
    </row>
    <row r="89" spans="1:30" ht="16" thickBot="1" x14ac:dyDescent="0.25">
      <c r="A89" s="38">
        <f t="shared" si="12"/>
        <v>275</v>
      </c>
      <c r="B89" s="24">
        <f t="shared" si="20"/>
        <v>44.805994073527508</v>
      </c>
      <c r="C89" s="24">
        <f t="shared" si="19"/>
        <v>13.656200571023318</v>
      </c>
      <c r="D89" s="24">
        <f t="shared" si="16"/>
        <v>32.080031259744544</v>
      </c>
      <c r="E89" s="24">
        <f t="shared" si="7"/>
        <v>9.7775163851705411</v>
      </c>
      <c r="F89" s="48">
        <f t="shared" si="8"/>
        <v>53854.583232976445</v>
      </c>
      <c r="G89" s="48">
        <f t="shared" si="21"/>
        <v>65868.832501556652</v>
      </c>
      <c r="I89" s="38">
        <f t="shared" si="29"/>
        <v>6</v>
      </c>
      <c r="J89" s="24">
        <f t="shared" si="22"/>
        <v>1.0000020000000001E-4</v>
      </c>
      <c r="K89" s="24">
        <f t="shared" si="23"/>
        <v>0.49736019188056735</v>
      </c>
      <c r="L89" s="48">
        <f t="shared" si="24"/>
        <v>6179241.1277761422</v>
      </c>
      <c r="N89" s="42">
        <f t="shared" si="18"/>
        <v>47984.51007943305</v>
      </c>
      <c r="P89" s="42">
        <f t="shared" si="30"/>
        <v>57296.004976337259</v>
      </c>
      <c r="R89" s="42">
        <f t="shared" si="14"/>
        <v>60</v>
      </c>
      <c r="T89" s="42">
        <f t="shared" si="25"/>
        <v>16.497953001781287</v>
      </c>
      <c r="V89" s="42">
        <f t="shared" si="26"/>
        <v>10.996653362104794</v>
      </c>
      <c r="X89" s="42">
        <f t="shared" si="27"/>
        <v>16.494980043157188</v>
      </c>
      <c r="Z89" s="42">
        <f t="shared" si="28"/>
        <v>23.215157097776785</v>
      </c>
      <c r="AB89" s="42">
        <f t="shared" si="15"/>
        <v>19.792401489516376</v>
      </c>
      <c r="AD89" s="42">
        <f t="shared" si="11"/>
        <v>27.855972466726747</v>
      </c>
    </row>
    <row r="90" spans="1:30" ht="16" thickBot="1" x14ac:dyDescent="0.25">
      <c r="A90" s="50">
        <f t="shared" si="12"/>
        <v>280</v>
      </c>
      <c r="B90" s="27">
        <f t="shared" si="20"/>
        <v>45.620648511228012</v>
      </c>
      <c r="C90" s="27">
        <f t="shared" si="19"/>
        <v>13.904495126860107</v>
      </c>
      <c r="D90" s="27">
        <f>A90/(H$12*60)</f>
        <v>32.663304555376257</v>
      </c>
      <c r="E90" s="27">
        <f t="shared" si="7"/>
        <v>9.9552894103554568</v>
      </c>
      <c r="F90" s="28">
        <f t="shared" si="8"/>
        <v>54434.890288645802</v>
      </c>
      <c r="G90" s="28">
        <f t="shared" si="21"/>
        <v>66599.104742576295</v>
      </c>
      <c r="H90" s="60"/>
      <c r="I90" s="26">
        <f t="shared" si="29"/>
        <v>6</v>
      </c>
      <c r="J90" s="27">
        <f t="shared" si="22"/>
        <v>1.0000020000000001E-4</v>
      </c>
      <c r="K90" s="27">
        <f t="shared" si="23"/>
        <v>0.49736019188056735</v>
      </c>
      <c r="L90" s="28">
        <f t="shared" si="24"/>
        <v>6179241.1277761422</v>
      </c>
      <c r="M90" s="60"/>
      <c r="N90" s="41">
        <f t="shared" si="18"/>
        <v>48444.665835803731</v>
      </c>
      <c r="O90" s="60"/>
      <c r="P90" s="41">
        <f t="shared" si="30"/>
        <v>57847.761318175755</v>
      </c>
      <c r="Q90" s="60"/>
      <c r="R90" s="41">
        <f t="shared" si="14"/>
        <v>60</v>
      </c>
      <c r="S90" s="60"/>
      <c r="T90" s="41">
        <f t="shared" si="25"/>
        <v>16.497953001781287</v>
      </c>
      <c r="U90" s="60"/>
      <c r="V90" s="41">
        <f t="shared" si="26"/>
        <v>11.102550330559168</v>
      </c>
      <c r="W90" s="60"/>
      <c r="X90" s="41">
        <f t="shared" si="27"/>
        <v>16.653825495838753</v>
      </c>
      <c r="Y90" s="60"/>
      <c r="Z90" s="41">
        <f t="shared" si="28"/>
        <v>23.438717364513796</v>
      </c>
      <c r="AA90" s="60"/>
      <c r="AB90" s="41">
        <f t="shared" si="15"/>
        <v>19.982204145888691</v>
      </c>
      <c r="AC90" s="60"/>
      <c r="AD90" s="41">
        <f t="shared" si="11"/>
        <v>28.12310213125075</v>
      </c>
    </row>
    <row r="91" spans="1:30" x14ac:dyDescent="0.2">
      <c r="A91" s="38">
        <f t="shared" si="12"/>
        <v>285</v>
      </c>
      <c r="B91" s="24">
        <f t="shared" si="20"/>
        <v>46.435302948928509</v>
      </c>
      <c r="C91" s="24">
        <f t="shared" si="19"/>
        <v>14.152789682696893</v>
      </c>
      <c r="D91" s="24">
        <f t="shared" si="16"/>
        <v>33.246577851007977</v>
      </c>
      <c r="E91" s="24">
        <f t="shared" si="7"/>
        <v>10.133062435540376</v>
      </c>
      <c r="F91" s="48">
        <f t="shared" si="8"/>
        <v>55011.851507251384</v>
      </c>
      <c r="G91" s="48">
        <f t="shared" si="21"/>
        <v>67325.49218707587</v>
      </c>
      <c r="I91" s="38">
        <f t="shared" si="29"/>
        <v>6</v>
      </c>
      <c r="J91" s="24">
        <f t="shared" si="22"/>
        <v>1.0000020000000001E-4</v>
      </c>
      <c r="K91" s="24">
        <f t="shared" si="23"/>
        <v>0.49736019188056735</v>
      </c>
      <c r="L91" s="48">
        <f t="shared" si="24"/>
        <v>6179241.1277761422</v>
      </c>
      <c r="N91" s="42">
        <f t="shared" si="18"/>
        <v>48901.099424266002</v>
      </c>
      <c r="P91" s="42">
        <f t="shared" si="30"/>
        <v>58395.00741813294</v>
      </c>
      <c r="R91" s="42">
        <f t="shared" si="14"/>
        <v>60</v>
      </c>
      <c r="T91" s="42">
        <f t="shared" si="25"/>
        <v>16.497953001781287</v>
      </c>
      <c r="V91" s="42">
        <f t="shared" si="26"/>
        <v>11.207581661582653</v>
      </c>
      <c r="X91" s="42">
        <f t="shared" si="27"/>
        <v>16.811372492373977</v>
      </c>
      <c r="Z91" s="42">
        <f t="shared" si="28"/>
        <v>23.660450174452269</v>
      </c>
      <c r="AB91" s="42">
        <f t="shared" si="15"/>
        <v>20.170471501774816</v>
      </c>
      <c r="AD91" s="42">
        <f t="shared" si="11"/>
        <v>28.388071002497888</v>
      </c>
    </row>
    <row r="92" spans="1:30" x14ac:dyDescent="0.2">
      <c r="A92" s="38">
        <f t="shared" si="12"/>
        <v>290</v>
      </c>
      <c r="B92" s="24">
        <f t="shared" si="20"/>
        <v>47.249957386629006</v>
      </c>
      <c r="C92" s="24">
        <f t="shared" si="19"/>
        <v>14.401084238533681</v>
      </c>
      <c r="D92" s="24">
        <f t="shared" si="16"/>
        <v>33.829851146639697</v>
      </c>
      <c r="E92" s="24">
        <f t="shared" si="7"/>
        <v>10.310835460725295</v>
      </c>
      <c r="F92" s="48">
        <f t="shared" si="8"/>
        <v>55585.557404145897</v>
      </c>
      <c r="G92" s="48">
        <f t="shared" si="21"/>
        <v>68048.100456362576</v>
      </c>
      <c r="I92" s="38">
        <f t="shared" si="29"/>
        <v>6</v>
      </c>
      <c r="J92" s="24">
        <f t="shared" si="22"/>
        <v>1.0000020000000001E-4</v>
      </c>
      <c r="K92" s="24">
        <f t="shared" si="23"/>
        <v>0.49736019188056735</v>
      </c>
      <c r="L92" s="48">
        <f t="shared" si="24"/>
        <v>6179241.1277761422</v>
      </c>
      <c r="N92" s="42">
        <f t="shared" si="18"/>
        <v>49353.904436863253</v>
      </c>
      <c r="P92" s="42">
        <f t="shared" si="30"/>
        <v>58937.854394416965</v>
      </c>
      <c r="R92" s="42">
        <f t="shared" si="14"/>
        <v>60</v>
      </c>
      <c r="T92" s="42">
        <f t="shared" si="25"/>
        <v>16.497953001781287</v>
      </c>
      <c r="V92" s="42">
        <f t="shared" si="26"/>
        <v>11.311768681765431</v>
      </c>
      <c r="X92" s="42">
        <f t="shared" si="27"/>
        <v>16.967653022648143</v>
      </c>
      <c r="Z92" s="42">
        <f t="shared" si="28"/>
        <v>23.880400550393684</v>
      </c>
      <c r="AB92" s="42">
        <f t="shared" si="15"/>
        <v>20.357242161534696</v>
      </c>
      <c r="AD92" s="42">
        <f t="shared" si="11"/>
        <v>28.650933412530314</v>
      </c>
    </row>
    <row r="93" spans="1:30" x14ac:dyDescent="0.2">
      <c r="A93" s="38">
        <f t="shared" si="12"/>
        <v>295</v>
      </c>
      <c r="B93" s="24">
        <f t="shared" si="20"/>
        <v>48.064611824329511</v>
      </c>
      <c r="C93" s="24">
        <f t="shared" si="19"/>
        <v>14.649378794370469</v>
      </c>
      <c r="D93" s="24">
        <f t="shared" si="16"/>
        <v>34.413124442271418</v>
      </c>
      <c r="E93" s="24">
        <f t="shared" si="7"/>
        <v>10.488608485910214</v>
      </c>
      <c r="F93" s="48">
        <f t="shared" si="8"/>
        <v>56156.094556290613</v>
      </c>
      <c r="G93" s="48">
        <f t="shared" si="21"/>
        <v>68767.03056413286</v>
      </c>
      <c r="I93" s="38">
        <f t="shared" si="29"/>
        <v>6</v>
      </c>
      <c r="J93" s="24">
        <f t="shared" si="22"/>
        <v>1.0000020000000001E-4</v>
      </c>
      <c r="K93" s="24">
        <f t="shared" si="23"/>
        <v>0.49736019188056735</v>
      </c>
      <c r="L93" s="48">
        <f t="shared" si="24"/>
        <v>6179241.1277761422</v>
      </c>
      <c r="N93" s="42">
        <f t="shared" si="18"/>
        <v>49803.170459623419</v>
      </c>
      <c r="P93" s="42">
        <f t="shared" si="30"/>
        <v>59476.408637444554</v>
      </c>
      <c r="R93" s="42">
        <f t="shared" si="14"/>
        <v>60</v>
      </c>
      <c r="T93" s="42">
        <f t="shared" si="25"/>
        <v>16.497953001781287</v>
      </c>
      <c r="V93" s="42">
        <f t="shared" si="26"/>
        <v>11.415131810306606</v>
      </c>
      <c r="X93" s="42">
        <f t="shared" si="27"/>
        <v>17.12269771545991</v>
      </c>
      <c r="Z93" s="42">
        <f t="shared" si="28"/>
        <v>24.098611599536174</v>
      </c>
      <c r="AB93" s="42">
        <f t="shared" si="15"/>
        <v>20.542553077147829</v>
      </c>
      <c r="AD93" s="42">
        <f t="shared" si="11"/>
        <v>28.911741367837685</v>
      </c>
    </row>
    <row r="94" spans="1:30" ht="16" thickBot="1" x14ac:dyDescent="0.25">
      <c r="A94" s="39">
        <f t="shared" si="12"/>
        <v>300</v>
      </c>
      <c r="B94" s="49">
        <f t="shared" si="20"/>
        <v>48.879266262030008</v>
      </c>
      <c r="C94" s="49">
        <f t="shared" si="19"/>
        <v>14.897673350207256</v>
      </c>
      <c r="D94" s="49">
        <f t="shared" si="16"/>
        <v>34.996397737903138</v>
      </c>
      <c r="E94" s="49">
        <f t="shared" si="7"/>
        <v>10.666381511095134</v>
      </c>
      <c r="F94" s="23">
        <f t="shared" si="8"/>
        <v>56723.545836723395</v>
      </c>
      <c r="G94" s="23">
        <f t="shared" si="21"/>
        <v>69482.379191214364</v>
      </c>
      <c r="I94" s="39">
        <f t="shared" si="29"/>
        <v>6</v>
      </c>
      <c r="J94" s="49">
        <f t="shared" ref="J94" si="31">I94*0.0000166667</f>
        <v>1.0000020000000001E-4</v>
      </c>
      <c r="K94" s="49">
        <f t="shared" si="23"/>
        <v>0.49736019188056735</v>
      </c>
      <c r="L94" s="23">
        <f t="shared" si="24"/>
        <v>6179241.1277761422</v>
      </c>
      <c r="N94" s="43">
        <f t="shared" si="18"/>
        <v>50248.983309663403</v>
      </c>
      <c r="P94" s="43">
        <f t="shared" si="30"/>
        <v>60010.772089237362</v>
      </c>
      <c r="R94" s="43">
        <f>R93</f>
        <v>60</v>
      </c>
      <c r="T94" s="43">
        <f t="shared" si="25"/>
        <v>16.497953001781287</v>
      </c>
      <c r="V94" s="43">
        <f t="shared" si="26"/>
        <v>11.517690612637942</v>
      </c>
      <c r="X94" s="43">
        <f t="shared" si="27"/>
        <v>17.276535918956913</v>
      </c>
      <c r="Z94" s="43">
        <f t="shared" si="28"/>
        <v>24.315124626680099</v>
      </c>
      <c r="AB94" s="43">
        <f t="shared" si="15"/>
        <v>20.726439646012871</v>
      </c>
      <c r="AD94" s="43">
        <f t="shared" si="11"/>
        <v>29.170544686981078</v>
      </c>
    </row>
  </sheetData>
  <mergeCells count="14">
    <mergeCell ref="W1:X1"/>
    <mergeCell ref="W4:X4"/>
    <mergeCell ref="Q1:R1"/>
    <mergeCell ref="Q4:R4"/>
    <mergeCell ref="A23:C23"/>
    <mergeCell ref="F23:H23"/>
    <mergeCell ref="N1:O1"/>
    <mergeCell ref="K21:M21"/>
    <mergeCell ref="G4:I4"/>
    <mergeCell ref="N4:O4"/>
    <mergeCell ref="T1:U1"/>
    <mergeCell ref="T4:U4"/>
    <mergeCell ref="K1:L1"/>
    <mergeCell ref="K4:L4"/>
  </mergeCells>
  <conditionalFormatting sqref="V34:AD94">
    <cfRule type="cellIs" dxfId="0" priority="3" operator="greaterThan">
      <formula>$L$24*$P$30</formula>
    </cfRule>
  </conditionalFormatting>
  <hyperlinks>
    <hyperlink ref="I5" r:id="rId1" xr:uid="{3ECAD19A-EE94-4CB7-80B1-C31EF7006EA9}"/>
  </hyperlinks>
  <pageMargins left="0.7" right="0.7" top="0.75" bottom="0.75" header="0.3" footer="0.3"/>
  <ignoredErrors>
    <ignoredError sqref="D34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2BF50-F8E0-47CB-8A52-92AD1D6FEE10}">
  <dimension ref="A1:O97"/>
  <sheetViews>
    <sheetView zoomScale="85" zoomScaleNormal="85" workbookViewId="0">
      <selection activeCell="C87" sqref="C87"/>
    </sheetView>
  </sheetViews>
  <sheetFormatPr baseColWidth="10" defaultColWidth="9.1640625" defaultRowHeight="15" x14ac:dyDescent="0.2"/>
  <cols>
    <col min="1" max="1" width="9.1640625" style="24" bestFit="1" customWidth="1"/>
    <col min="2" max="2" width="9.6640625" style="24" bestFit="1" customWidth="1"/>
    <col min="3" max="3" width="19.6640625" style="24" bestFit="1" customWidth="1"/>
    <col min="4" max="4" width="16.5" style="24" bestFit="1" customWidth="1"/>
    <col min="5" max="5" width="12" style="24" bestFit="1" customWidth="1"/>
    <col min="6" max="7" width="9.1640625" style="24"/>
    <col min="8" max="8" width="24.1640625" style="24" bestFit="1" customWidth="1"/>
    <col min="9" max="9" width="9.1640625" style="24"/>
    <col min="10" max="10" width="15.5" style="24" bestFit="1" customWidth="1"/>
    <col min="11" max="11" width="9.33203125" style="24" bestFit="1" customWidth="1"/>
    <col min="12" max="12" width="9.5" style="24" bestFit="1" customWidth="1"/>
    <col min="13" max="13" width="5.5" style="24" bestFit="1" customWidth="1"/>
    <col min="14" max="14" width="9.1640625" style="24"/>
    <col min="15" max="15" width="95.6640625" style="10" bestFit="1" customWidth="1"/>
    <col min="16" max="16384" width="9.1640625" style="24"/>
  </cols>
  <sheetData>
    <row r="1" spans="1:15" ht="16" thickBot="1" x14ac:dyDescent="0.25">
      <c r="A1" s="136" t="s">
        <v>141</v>
      </c>
      <c r="B1" s="137"/>
      <c r="C1" s="137"/>
      <c r="D1" s="137"/>
      <c r="E1" s="137"/>
      <c r="F1" s="138"/>
      <c r="H1" s="92" t="s">
        <v>142</v>
      </c>
      <c r="I1"/>
      <c r="J1" s="136" t="s">
        <v>143</v>
      </c>
      <c r="K1" s="137"/>
      <c r="L1" s="137"/>
      <c r="M1" s="138"/>
      <c r="O1" s="96" t="s">
        <v>144</v>
      </c>
    </row>
    <row r="2" spans="1:15" ht="16" thickBot="1" x14ac:dyDescent="0.25">
      <c r="A2" s="26" t="s">
        <v>145</v>
      </c>
      <c r="B2" s="27" t="s">
        <v>146</v>
      </c>
      <c r="C2" s="27" t="s">
        <v>147</v>
      </c>
      <c r="D2" s="27" t="s">
        <v>148</v>
      </c>
      <c r="E2" s="27" t="s">
        <v>149</v>
      </c>
      <c r="F2" s="28" t="s">
        <v>150</v>
      </c>
      <c r="H2" s="41" t="s">
        <v>151</v>
      </c>
      <c r="J2" s="26" t="s">
        <v>152</v>
      </c>
      <c r="K2" s="27" t="s">
        <v>153</v>
      </c>
      <c r="L2" s="27" t="s">
        <v>154</v>
      </c>
      <c r="M2" s="28" t="s">
        <v>155</v>
      </c>
      <c r="O2" s="32" t="s">
        <v>156</v>
      </c>
    </row>
    <row r="3" spans="1:15" x14ac:dyDescent="0.2">
      <c r="A3" s="38" t="s">
        <v>157</v>
      </c>
      <c r="B3" s="24" t="s">
        <v>158</v>
      </c>
      <c r="C3" s="24" t="s">
        <v>159</v>
      </c>
      <c r="D3" s="24">
        <v>209</v>
      </c>
      <c r="E3" s="24">
        <v>2.66</v>
      </c>
      <c r="F3" s="73" t="s">
        <v>160</v>
      </c>
      <c r="H3" s="47">
        <f>((L5)/(E3*3+L3+L4))*60</f>
        <v>56.92599620493359</v>
      </c>
      <c r="J3" s="74" t="s">
        <v>161</v>
      </c>
      <c r="K3" s="75" t="s">
        <v>159</v>
      </c>
      <c r="L3" s="75">
        <v>7.1</v>
      </c>
      <c r="M3" s="69" t="s">
        <v>162</v>
      </c>
      <c r="O3" s="30" t="s">
        <v>163</v>
      </c>
    </row>
    <row r="4" spans="1:15" x14ac:dyDescent="0.2">
      <c r="A4" s="38"/>
      <c r="F4" s="48"/>
      <c r="H4" s="42"/>
      <c r="J4" s="38" t="s">
        <v>164</v>
      </c>
      <c r="K4" s="24" t="s">
        <v>165</v>
      </c>
      <c r="L4" s="24">
        <v>6</v>
      </c>
      <c r="M4" s="48" t="s">
        <v>162</v>
      </c>
      <c r="O4" s="30"/>
    </row>
    <row r="5" spans="1:15" x14ac:dyDescent="0.2">
      <c r="A5" s="38"/>
      <c r="F5" s="48"/>
      <c r="H5" s="42"/>
      <c r="J5" s="38" t="s">
        <v>166</v>
      </c>
      <c r="K5" s="24" t="s">
        <v>167</v>
      </c>
      <c r="L5" s="24">
        <v>20</v>
      </c>
      <c r="M5" s="48" t="s">
        <v>168</v>
      </c>
      <c r="O5" s="30"/>
    </row>
    <row r="6" spans="1:15" ht="16" thickBot="1" x14ac:dyDescent="0.25">
      <c r="A6" s="38"/>
      <c r="F6" s="48"/>
      <c r="H6" s="42"/>
      <c r="J6" s="39" t="s">
        <v>166</v>
      </c>
      <c r="K6" s="49" t="s">
        <v>169</v>
      </c>
      <c r="L6" s="49">
        <v>15.6</v>
      </c>
      <c r="M6" s="23" t="s">
        <v>168</v>
      </c>
      <c r="O6" s="30"/>
    </row>
    <row r="7" spans="1:15" x14ac:dyDescent="0.2">
      <c r="A7" s="38"/>
      <c r="F7" s="48"/>
      <c r="H7" s="42"/>
      <c r="O7" s="30"/>
    </row>
    <row r="8" spans="1:15" x14ac:dyDescent="0.2">
      <c r="A8" s="38"/>
      <c r="F8" s="48"/>
      <c r="H8" s="42">
        <f>((L6)/(E3*3+L3+L4))*60</f>
        <v>44.402277039848201</v>
      </c>
      <c r="O8" s="30"/>
    </row>
    <row r="9" spans="1:15" x14ac:dyDescent="0.2">
      <c r="A9" s="38"/>
      <c r="F9" s="48"/>
      <c r="H9" s="42"/>
      <c r="O9" s="30"/>
    </row>
    <row r="10" spans="1:15" x14ac:dyDescent="0.2">
      <c r="A10" s="38"/>
      <c r="F10" s="48"/>
      <c r="H10" s="42"/>
      <c r="O10" s="30"/>
    </row>
    <row r="11" spans="1:15" ht="16" thickBot="1" x14ac:dyDescent="0.25">
      <c r="A11" s="38"/>
      <c r="F11" s="48"/>
      <c r="H11" s="42"/>
      <c r="J11"/>
      <c r="O11" s="97"/>
    </row>
    <row r="12" spans="1:15" x14ac:dyDescent="0.2">
      <c r="A12" s="38"/>
      <c r="F12" s="48"/>
      <c r="H12" s="42"/>
    </row>
    <row r="13" spans="1:15" x14ac:dyDescent="0.2">
      <c r="A13" s="38"/>
      <c r="F13" s="48"/>
      <c r="H13" s="42"/>
    </row>
    <row r="14" spans="1:15" x14ac:dyDescent="0.2">
      <c r="A14" s="38"/>
      <c r="F14" s="48"/>
      <c r="H14" s="42"/>
    </row>
    <row r="15" spans="1:15" x14ac:dyDescent="0.2">
      <c r="A15" s="38"/>
      <c r="F15" s="48"/>
      <c r="H15" s="42"/>
    </row>
    <row r="16" spans="1:15" ht="16" thickBot="1" x14ac:dyDescent="0.25">
      <c r="A16" s="39"/>
      <c r="B16" s="49"/>
      <c r="C16" s="49"/>
      <c r="D16" s="49"/>
      <c r="E16" s="49"/>
      <c r="F16" s="23"/>
      <c r="H16" s="43"/>
    </row>
    <row r="17" spans="1:8" x14ac:dyDescent="0.2">
      <c r="A17" s="74" t="s">
        <v>157</v>
      </c>
      <c r="B17" s="75" t="s">
        <v>170</v>
      </c>
      <c r="C17" s="75" t="s">
        <v>171</v>
      </c>
      <c r="D17" s="75">
        <v>224</v>
      </c>
      <c r="E17" s="75">
        <v>3</v>
      </c>
      <c r="F17" s="76" t="s">
        <v>160</v>
      </c>
      <c r="H17" s="47">
        <f>(L5/(E17*3+L3+L4))*60</f>
        <v>54.298642533936643</v>
      </c>
    </row>
    <row r="18" spans="1:8" x14ac:dyDescent="0.2">
      <c r="A18" s="38"/>
      <c r="F18" s="48"/>
      <c r="H18" s="42"/>
    </row>
    <row r="19" spans="1:8" x14ac:dyDescent="0.2">
      <c r="A19" s="38"/>
      <c r="F19" s="48"/>
      <c r="H19" s="42"/>
    </row>
    <row r="20" spans="1:8" x14ac:dyDescent="0.2">
      <c r="A20" s="38"/>
      <c r="F20" s="48"/>
      <c r="H20" s="42"/>
    </row>
    <row r="21" spans="1:8" x14ac:dyDescent="0.2">
      <c r="A21" s="38"/>
      <c r="F21" s="48"/>
      <c r="H21" s="42"/>
    </row>
    <row r="22" spans="1:8" x14ac:dyDescent="0.2">
      <c r="A22" s="38"/>
      <c r="F22" s="48"/>
      <c r="H22" s="42"/>
    </row>
    <row r="23" spans="1:8" x14ac:dyDescent="0.2">
      <c r="A23" s="38"/>
      <c r="F23" s="48"/>
      <c r="H23" s="42"/>
    </row>
    <row r="24" spans="1:8" x14ac:dyDescent="0.2">
      <c r="A24" s="38"/>
      <c r="F24" s="48"/>
      <c r="H24" s="42"/>
    </row>
    <row r="25" spans="1:8" x14ac:dyDescent="0.2">
      <c r="A25" s="38"/>
      <c r="F25" s="48"/>
      <c r="H25" s="42"/>
    </row>
    <row r="26" spans="1:8" x14ac:dyDescent="0.2">
      <c r="A26" s="38"/>
      <c r="F26" s="48"/>
      <c r="H26" s="42"/>
    </row>
    <row r="27" spans="1:8" ht="16" thickBot="1" x14ac:dyDescent="0.25">
      <c r="A27" s="39"/>
      <c r="B27" s="49"/>
      <c r="C27" s="49"/>
      <c r="D27" s="49"/>
      <c r="E27" s="49"/>
      <c r="F27" s="23"/>
      <c r="H27" s="43"/>
    </row>
    <row r="28" spans="1:8" x14ac:dyDescent="0.2">
      <c r="A28" s="74" t="s">
        <v>157</v>
      </c>
      <c r="B28" s="75" t="s">
        <v>172</v>
      </c>
      <c r="C28" s="75" t="s">
        <v>173</v>
      </c>
      <c r="D28" s="75">
        <v>169.5</v>
      </c>
      <c r="E28" s="75">
        <v>2.16</v>
      </c>
      <c r="F28" s="76" t="s">
        <v>160</v>
      </c>
      <c r="H28" s="47">
        <f>(L5/(E28*3+L3+L4))*60</f>
        <v>61.287027579162419</v>
      </c>
    </row>
    <row r="29" spans="1:8" x14ac:dyDescent="0.2">
      <c r="A29" s="38"/>
      <c r="F29" s="48"/>
      <c r="H29" s="42"/>
    </row>
    <row r="30" spans="1:8" x14ac:dyDescent="0.2">
      <c r="A30" s="38"/>
      <c r="F30" s="48"/>
      <c r="H30" s="42"/>
    </row>
    <row r="31" spans="1:8" x14ac:dyDescent="0.2">
      <c r="A31" s="38"/>
      <c r="F31" s="48"/>
      <c r="H31" s="42"/>
    </row>
    <row r="32" spans="1:8" x14ac:dyDescent="0.2">
      <c r="A32" s="38"/>
      <c r="F32" s="48"/>
      <c r="H32" s="42"/>
    </row>
    <row r="33" spans="1:8" x14ac:dyDescent="0.2">
      <c r="A33" s="38"/>
      <c r="F33" s="48"/>
      <c r="H33" s="42"/>
    </row>
    <row r="34" spans="1:8" x14ac:dyDescent="0.2">
      <c r="A34" s="38"/>
      <c r="F34" s="48"/>
      <c r="H34" s="42"/>
    </row>
    <row r="35" spans="1:8" x14ac:dyDescent="0.2">
      <c r="A35" s="38"/>
      <c r="F35" s="48"/>
      <c r="H35" s="42"/>
    </row>
    <row r="36" spans="1:8" x14ac:dyDescent="0.2">
      <c r="A36" s="38"/>
      <c r="F36" s="48"/>
      <c r="H36" s="42"/>
    </row>
    <row r="37" spans="1:8" x14ac:dyDescent="0.2">
      <c r="A37" s="38"/>
      <c r="F37" s="48"/>
      <c r="H37" s="42"/>
    </row>
    <row r="38" spans="1:8" x14ac:dyDescent="0.2">
      <c r="A38" s="38"/>
      <c r="F38" s="48"/>
      <c r="H38" s="42"/>
    </row>
    <row r="39" spans="1:8" x14ac:dyDescent="0.2">
      <c r="A39" s="38"/>
      <c r="F39" s="48"/>
      <c r="H39" s="42"/>
    </row>
    <row r="40" spans="1:8" x14ac:dyDescent="0.2">
      <c r="A40" s="38"/>
      <c r="F40" s="48"/>
      <c r="H40" s="42"/>
    </row>
    <row r="41" spans="1:8" x14ac:dyDescent="0.2">
      <c r="A41" s="38"/>
      <c r="F41" s="48"/>
      <c r="H41" s="42"/>
    </row>
    <row r="42" spans="1:8" ht="16" thickBot="1" x14ac:dyDescent="0.25">
      <c r="A42" s="39"/>
      <c r="B42" s="49"/>
      <c r="C42" s="49"/>
      <c r="D42" s="49"/>
      <c r="E42" s="49"/>
      <c r="F42" s="23"/>
      <c r="H42" s="43"/>
    </row>
    <row r="43" spans="1:8" x14ac:dyDescent="0.2">
      <c r="A43" s="74" t="s">
        <v>120</v>
      </c>
      <c r="B43" s="75" t="s">
        <v>170</v>
      </c>
      <c r="C43" s="75" t="s">
        <v>174</v>
      </c>
      <c r="D43" s="75">
        <v>212</v>
      </c>
      <c r="E43" s="75">
        <v>1.7</v>
      </c>
      <c r="F43" s="76" t="s">
        <v>160</v>
      </c>
      <c r="H43" s="47">
        <f>(L5/(E43*3+L3+L4))*60</f>
        <v>65.934065934065941</v>
      </c>
    </row>
    <row r="44" spans="1:8" x14ac:dyDescent="0.2">
      <c r="A44" s="38"/>
      <c r="F44" s="48"/>
      <c r="H44" s="42"/>
    </row>
    <row r="45" spans="1:8" x14ac:dyDescent="0.2">
      <c r="A45" s="38"/>
      <c r="F45" s="48"/>
      <c r="H45" s="42" t="s">
        <v>175</v>
      </c>
    </row>
    <row r="46" spans="1:8" x14ac:dyDescent="0.2">
      <c r="A46" s="38"/>
      <c r="F46" s="48"/>
      <c r="H46" s="42"/>
    </row>
    <row r="47" spans="1:8" x14ac:dyDescent="0.2">
      <c r="A47" s="38"/>
      <c r="F47" s="48"/>
      <c r="H47" s="42"/>
    </row>
    <row r="48" spans="1:8" x14ac:dyDescent="0.2">
      <c r="A48" s="38"/>
      <c r="F48" s="48"/>
      <c r="H48" s="42"/>
    </row>
    <row r="49" spans="1:8" x14ac:dyDescent="0.2">
      <c r="A49" s="38"/>
      <c r="F49" s="48"/>
      <c r="H49" s="42"/>
    </row>
    <row r="50" spans="1:8" x14ac:dyDescent="0.2">
      <c r="A50" s="38"/>
      <c r="F50" s="48"/>
      <c r="H50" s="42"/>
    </row>
    <row r="51" spans="1:8" x14ac:dyDescent="0.2">
      <c r="A51" s="38"/>
      <c r="F51" s="48"/>
      <c r="H51" s="42"/>
    </row>
    <row r="52" spans="1:8" x14ac:dyDescent="0.2">
      <c r="A52" s="38"/>
      <c r="F52" s="48"/>
      <c r="H52" s="42"/>
    </row>
    <row r="53" spans="1:8" ht="16" thickBot="1" x14ac:dyDescent="0.25">
      <c r="A53" s="39"/>
      <c r="B53" s="49"/>
      <c r="C53" s="49"/>
      <c r="D53" s="49"/>
      <c r="E53" s="49"/>
      <c r="F53" s="23"/>
      <c r="H53" s="43"/>
    </row>
    <row r="54" spans="1:8" x14ac:dyDescent="0.2">
      <c r="A54" s="74" t="s">
        <v>120</v>
      </c>
      <c r="B54" s="75" t="s">
        <v>170</v>
      </c>
      <c r="C54" s="75" t="s">
        <v>176</v>
      </c>
      <c r="D54" s="75">
        <v>212</v>
      </c>
      <c r="E54" s="75">
        <v>1.83</v>
      </c>
      <c r="F54" s="76" t="s">
        <v>160</v>
      </c>
      <c r="H54" s="47">
        <f>(L5/(E54*3+L3+L4))*60</f>
        <v>64.550833781603018</v>
      </c>
    </row>
    <row r="55" spans="1:8" x14ac:dyDescent="0.2">
      <c r="A55" s="38"/>
      <c r="F55" s="48"/>
      <c r="H55" s="42"/>
    </row>
    <row r="56" spans="1:8" x14ac:dyDescent="0.2">
      <c r="A56" s="38"/>
      <c r="F56" s="48"/>
      <c r="H56" s="42" t="s">
        <v>177</v>
      </c>
    </row>
    <row r="57" spans="1:8" x14ac:dyDescent="0.2">
      <c r="A57" s="38"/>
      <c r="F57" s="48"/>
      <c r="H57" s="42"/>
    </row>
    <row r="58" spans="1:8" x14ac:dyDescent="0.2">
      <c r="A58" s="38"/>
      <c r="F58" s="48"/>
      <c r="H58" s="42"/>
    </row>
    <row r="59" spans="1:8" x14ac:dyDescent="0.2">
      <c r="A59" s="38"/>
      <c r="F59" s="48"/>
      <c r="H59" s="42"/>
    </row>
    <row r="60" spans="1:8" x14ac:dyDescent="0.2">
      <c r="A60" s="38"/>
      <c r="F60" s="48"/>
      <c r="H60" s="42"/>
    </row>
    <row r="61" spans="1:8" x14ac:dyDescent="0.2">
      <c r="A61" s="38"/>
      <c r="F61" s="48"/>
      <c r="H61" s="42"/>
    </row>
    <row r="62" spans="1:8" x14ac:dyDescent="0.2">
      <c r="A62" s="38"/>
      <c r="F62" s="48"/>
      <c r="H62" s="42"/>
    </row>
    <row r="63" spans="1:8" x14ac:dyDescent="0.2">
      <c r="A63" s="38"/>
      <c r="F63" s="48"/>
      <c r="H63" s="42"/>
    </row>
    <row r="64" spans="1:8" ht="16" thickBot="1" x14ac:dyDescent="0.25">
      <c r="A64" s="39"/>
      <c r="B64" s="49"/>
      <c r="C64" s="49"/>
      <c r="D64" s="49"/>
      <c r="E64" s="49"/>
      <c r="F64" s="23"/>
      <c r="H64" s="43"/>
    </row>
    <row r="65" spans="1:8" x14ac:dyDescent="0.2">
      <c r="A65" s="74" t="s">
        <v>120</v>
      </c>
      <c r="B65" s="75" t="s">
        <v>178</v>
      </c>
      <c r="C65" s="75" t="s">
        <v>179</v>
      </c>
      <c r="D65" s="75">
        <v>272</v>
      </c>
      <c r="E65" s="75">
        <v>3.1</v>
      </c>
      <c r="F65" s="76" t="s">
        <v>160</v>
      </c>
      <c r="H65" s="47">
        <f>(L5/(E65*3+L3+L4))*60</f>
        <v>53.571428571428577</v>
      </c>
    </row>
    <row r="66" spans="1:8" x14ac:dyDescent="0.2">
      <c r="A66" s="38"/>
      <c r="F66" s="48"/>
      <c r="H66" s="42"/>
    </row>
    <row r="67" spans="1:8" x14ac:dyDescent="0.2">
      <c r="A67" s="38"/>
      <c r="F67" s="48"/>
      <c r="H67" s="42"/>
    </row>
    <row r="68" spans="1:8" x14ac:dyDescent="0.2">
      <c r="A68" s="38"/>
      <c r="F68" s="48"/>
      <c r="H68" s="42"/>
    </row>
    <row r="69" spans="1:8" x14ac:dyDescent="0.2">
      <c r="A69" s="38"/>
      <c r="F69" s="48"/>
      <c r="H69" s="42"/>
    </row>
    <row r="70" spans="1:8" x14ac:dyDescent="0.2">
      <c r="A70" s="38"/>
      <c r="F70" s="48"/>
      <c r="H70" s="42"/>
    </row>
    <row r="71" spans="1:8" x14ac:dyDescent="0.2">
      <c r="A71" s="38"/>
      <c r="F71" s="48"/>
      <c r="H71" s="42"/>
    </row>
    <row r="72" spans="1:8" x14ac:dyDescent="0.2">
      <c r="A72" s="38"/>
      <c r="F72" s="48"/>
      <c r="H72" s="42"/>
    </row>
    <row r="73" spans="1:8" x14ac:dyDescent="0.2">
      <c r="A73" s="38"/>
      <c r="F73" s="48"/>
      <c r="H73" s="42"/>
    </row>
    <row r="74" spans="1:8" x14ac:dyDescent="0.2">
      <c r="A74" s="38"/>
      <c r="F74" s="48"/>
      <c r="H74" s="42"/>
    </row>
    <row r="75" spans="1:8" ht="16" thickBot="1" x14ac:dyDescent="0.25">
      <c r="A75" s="39"/>
      <c r="B75" s="49"/>
      <c r="C75" s="49"/>
      <c r="D75" s="49"/>
      <c r="E75" s="49"/>
      <c r="F75" s="23"/>
      <c r="H75" s="43"/>
    </row>
    <row r="76" spans="1:8" x14ac:dyDescent="0.2">
      <c r="A76" s="74" t="s">
        <v>120</v>
      </c>
      <c r="B76" s="75" t="s">
        <v>170</v>
      </c>
      <c r="C76" s="75" t="s">
        <v>180</v>
      </c>
      <c r="D76" s="75">
        <v>212</v>
      </c>
      <c r="E76" s="75">
        <v>1.83</v>
      </c>
      <c r="F76" s="76" t="s">
        <v>160</v>
      </c>
      <c r="H76" s="47">
        <f>(L5/(E76*3+L3+L4))*60</f>
        <v>64.550833781603018</v>
      </c>
    </row>
    <row r="77" spans="1:8" x14ac:dyDescent="0.2">
      <c r="A77" s="38"/>
      <c r="F77" s="48"/>
      <c r="H77" s="42"/>
    </row>
    <row r="78" spans="1:8" x14ac:dyDescent="0.2">
      <c r="A78" s="38"/>
      <c r="F78" s="48"/>
      <c r="H78" s="42" t="s">
        <v>181</v>
      </c>
    </row>
    <row r="79" spans="1:8" x14ac:dyDescent="0.2">
      <c r="A79" s="38"/>
      <c r="F79" s="48"/>
      <c r="H79" s="42"/>
    </row>
    <row r="80" spans="1:8" x14ac:dyDescent="0.2">
      <c r="A80" s="38"/>
      <c r="F80" s="48"/>
      <c r="H80" s="42"/>
    </row>
    <row r="81" spans="1:8" x14ac:dyDescent="0.2">
      <c r="A81" s="38"/>
      <c r="F81" s="48"/>
      <c r="H81" s="42"/>
    </row>
    <row r="82" spans="1:8" x14ac:dyDescent="0.2">
      <c r="A82" s="38"/>
      <c r="F82" s="48"/>
      <c r="H82" s="42"/>
    </row>
    <row r="83" spans="1:8" x14ac:dyDescent="0.2">
      <c r="A83" s="38"/>
      <c r="F83" s="48"/>
      <c r="H83" s="42"/>
    </row>
    <row r="84" spans="1:8" x14ac:dyDescent="0.2">
      <c r="A84" s="38"/>
      <c r="F84" s="48"/>
      <c r="H84" s="42"/>
    </row>
    <row r="85" spans="1:8" x14ac:dyDescent="0.2">
      <c r="A85" s="38"/>
      <c r="F85" s="48"/>
      <c r="H85" s="42"/>
    </row>
    <row r="86" spans="1:8" ht="16" thickBot="1" x14ac:dyDescent="0.25">
      <c r="A86" s="39"/>
      <c r="B86" s="49"/>
      <c r="C86" s="49"/>
      <c r="D86" s="49"/>
      <c r="E86" s="49"/>
      <c r="F86" s="23"/>
      <c r="H86" s="43"/>
    </row>
    <row r="87" spans="1:8" x14ac:dyDescent="0.2">
      <c r="A87" s="74" t="s">
        <v>120</v>
      </c>
      <c r="B87" s="75" t="s">
        <v>170</v>
      </c>
      <c r="C87" s="75" t="s">
        <v>182</v>
      </c>
      <c r="D87" s="75">
        <v>282</v>
      </c>
      <c r="E87">
        <v>3.72</v>
      </c>
      <c r="F87" s="76" t="s">
        <v>160</v>
      </c>
      <c r="H87" s="47">
        <f>(L5/(E87*3+L3+L4))*60</f>
        <v>49.464138499587797</v>
      </c>
    </row>
    <row r="88" spans="1:8" x14ac:dyDescent="0.2">
      <c r="A88" s="38"/>
      <c r="F88" s="48"/>
      <c r="H88" s="42"/>
    </row>
    <row r="89" spans="1:8" x14ac:dyDescent="0.2">
      <c r="A89" s="38"/>
      <c r="F89" s="48"/>
      <c r="H89" s="42"/>
    </row>
    <row r="90" spans="1:8" x14ac:dyDescent="0.2">
      <c r="A90" s="38"/>
      <c r="F90" s="48"/>
      <c r="H90" s="42">
        <f>(L6/(E87*3+L3+L4))*60</f>
        <v>38.582028029678483</v>
      </c>
    </row>
    <row r="91" spans="1:8" x14ac:dyDescent="0.2">
      <c r="A91" s="38"/>
      <c r="F91" s="48"/>
      <c r="H91" s="42"/>
    </row>
    <row r="92" spans="1:8" x14ac:dyDescent="0.2">
      <c r="A92" s="38"/>
      <c r="F92" s="48"/>
      <c r="H92" s="42"/>
    </row>
    <row r="93" spans="1:8" x14ac:dyDescent="0.2">
      <c r="A93" s="38"/>
      <c r="F93" s="48"/>
      <c r="H93" s="42"/>
    </row>
    <row r="94" spans="1:8" x14ac:dyDescent="0.2">
      <c r="A94" s="38"/>
      <c r="F94" s="48"/>
      <c r="H94" s="42" t="s">
        <v>183</v>
      </c>
    </row>
    <row r="95" spans="1:8" x14ac:dyDescent="0.2">
      <c r="A95" s="38"/>
      <c r="F95" s="48"/>
      <c r="H95" s="42"/>
    </row>
    <row r="96" spans="1:8" x14ac:dyDescent="0.2">
      <c r="A96" s="38"/>
      <c r="F96" s="48"/>
      <c r="H96" s="42"/>
    </row>
    <row r="97" spans="1:8" ht="16" thickBot="1" x14ac:dyDescent="0.25">
      <c r="A97" s="39"/>
      <c r="B97" s="49"/>
      <c r="C97" s="49"/>
      <c r="D97" s="49"/>
      <c r="E97" s="49"/>
      <c r="F97" s="23"/>
      <c r="H97" s="43"/>
    </row>
  </sheetData>
  <mergeCells count="2">
    <mergeCell ref="A1:F1"/>
    <mergeCell ref="J1:M1"/>
  </mergeCells>
  <hyperlinks>
    <hyperlink ref="F87" r:id="rId1" xr:uid="{5D732C4F-9A10-4B99-9399-0C4970A67EB8}"/>
    <hyperlink ref="F76" r:id="rId2" xr:uid="{19799424-F0D9-4ACF-99E6-35DB85712FD9}"/>
    <hyperlink ref="F65" r:id="rId3" xr:uid="{28F17E89-D4C3-49AB-AD92-BB61447CDC6C}"/>
    <hyperlink ref="F54" r:id="rId4" xr:uid="{B59BB110-0453-4AD9-A214-F889E070B930}"/>
    <hyperlink ref="F43" r:id="rId5" xr:uid="{75355F08-5769-4B19-8FEC-DF81619B51BA}"/>
    <hyperlink ref="F28" r:id="rId6" xr:uid="{857C417F-5653-4FDC-8BE1-FB07C344E1CC}"/>
    <hyperlink ref="F17" r:id="rId7" xr:uid="{BCC595EF-ED7F-4679-8494-9D8020DF7ECD}"/>
    <hyperlink ref="F3" r:id="rId8" xr:uid="{4D46691C-34B0-4A14-996D-2A41DBE43436}"/>
  </hyperlinks>
  <pageMargins left="0.7" right="0.7" top="0.75" bottom="0.75" header="0.3" footer="0.3"/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89743-5662-4713-BDEE-6D72C585F3BA}">
  <dimension ref="A1:G25"/>
  <sheetViews>
    <sheetView workbookViewId="0">
      <selection activeCell="D6" sqref="D6"/>
    </sheetView>
  </sheetViews>
  <sheetFormatPr baseColWidth="10" defaultColWidth="8.83203125" defaultRowHeight="15" x14ac:dyDescent="0.2"/>
  <cols>
    <col min="1" max="1" width="22.83203125" bestFit="1" customWidth="1"/>
    <col min="3" max="3" width="22.6640625" bestFit="1" customWidth="1"/>
    <col min="4" max="4" width="13.33203125" bestFit="1" customWidth="1"/>
    <col min="5" max="5" width="12.1640625" bestFit="1" customWidth="1"/>
    <col min="6" max="6" width="12.5" customWidth="1"/>
    <col min="7" max="7" width="97.5" bestFit="1" customWidth="1"/>
  </cols>
  <sheetData>
    <row r="1" spans="1:7" ht="16" thickBot="1" x14ac:dyDescent="0.25">
      <c r="A1" s="99"/>
      <c r="B1" s="99"/>
      <c r="C1" s="99"/>
      <c r="D1" s="99"/>
      <c r="E1" s="99"/>
      <c r="F1" s="99"/>
      <c r="G1" s="98" t="s">
        <v>24</v>
      </c>
    </row>
    <row r="2" spans="1:7" x14ac:dyDescent="0.2">
      <c r="A2" s="99"/>
      <c r="B2" s="99"/>
      <c r="C2" s="99"/>
      <c r="D2" s="99"/>
      <c r="E2" s="99"/>
      <c r="F2" s="99"/>
      <c r="G2" s="95" t="s">
        <v>184</v>
      </c>
    </row>
    <row r="3" spans="1:7" ht="16" thickBot="1" x14ac:dyDescent="0.25">
      <c r="A3" s="99"/>
      <c r="B3" s="99"/>
      <c r="C3" s="99"/>
      <c r="D3" s="99"/>
      <c r="E3" s="99">
        <f>E5+E6+E7+E8</f>
        <v>21.875</v>
      </c>
      <c r="F3" s="99"/>
      <c r="G3" s="93" t="s">
        <v>185</v>
      </c>
    </row>
    <row r="4" spans="1:7" ht="16" thickBot="1" x14ac:dyDescent="0.25">
      <c r="A4" s="100" t="s">
        <v>186</v>
      </c>
      <c r="B4" s="101" t="s">
        <v>187</v>
      </c>
      <c r="C4" s="101" t="s">
        <v>188</v>
      </c>
      <c r="D4" s="101" t="s">
        <v>189</v>
      </c>
      <c r="E4" s="102" t="s">
        <v>190</v>
      </c>
      <c r="F4" s="99"/>
      <c r="G4" s="93" t="s">
        <v>191</v>
      </c>
    </row>
    <row r="5" spans="1:7" x14ac:dyDescent="0.2">
      <c r="A5" s="103" t="s">
        <v>192</v>
      </c>
      <c r="B5" s="104">
        <v>1</v>
      </c>
      <c r="C5" s="104">
        <v>1</v>
      </c>
      <c r="D5" s="104">
        <v>1</v>
      </c>
      <c r="E5" s="105">
        <f>D5*1.25</f>
        <v>1.25</v>
      </c>
      <c r="F5" s="99"/>
      <c r="G5" s="93" t="s">
        <v>193</v>
      </c>
    </row>
    <row r="6" spans="1:7" x14ac:dyDescent="0.2">
      <c r="A6" s="106" t="s">
        <v>194</v>
      </c>
      <c r="B6" s="107">
        <v>2.5</v>
      </c>
      <c r="C6" s="107">
        <v>3</v>
      </c>
      <c r="D6" s="107">
        <f>B6*C6</f>
        <v>7.5</v>
      </c>
      <c r="E6" s="108">
        <f t="shared" ref="E6:E8" si="0">D6*1.25</f>
        <v>9.375</v>
      </c>
      <c r="F6" s="99"/>
      <c r="G6" s="93"/>
    </row>
    <row r="7" spans="1:7" x14ac:dyDescent="0.2">
      <c r="A7" s="106" t="s">
        <v>195</v>
      </c>
      <c r="B7" s="107">
        <v>7</v>
      </c>
      <c r="C7" s="107">
        <v>1</v>
      </c>
      <c r="D7" s="107">
        <f>B7*C7</f>
        <v>7</v>
      </c>
      <c r="E7" s="108">
        <f t="shared" si="0"/>
        <v>8.75</v>
      </c>
      <c r="F7" s="99"/>
      <c r="G7" s="93"/>
    </row>
    <row r="8" spans="1:7" ht="16" thickBot="1" x14ac:dyDescent="0.25">
      <c r="A8" s="109" t="s">
        <v>196</v>
      </c>
      <c r="B8" s="110">
        <v>2</v>
      </c>
      <c r="C8" s="110">
        <v>1</v>
      </c>
      <c r="D8" s="110">
        <f>B8*C8</f>
        <v>2</v>
      </c>
      <c r="E8" s="111">
        <f t="shared" si="0"/>
        <v>2.5</v>
      </c>
      <c r="F8" s="99"/>
      <c r="G8" s="93"/>
    </row>
    <row r="9" spans="1:7" ht="16" thickBot="1" x14ac:dyDescent="0.25">
      <c r="A9" s="99"/>
      <c r="B9" s="99"/>
      <c r="C9" s="99"/>
      <c r="D9" s="99"/>
      <c r="E9" s="99"/>
      <c r="F9" s="99"/>
      <c r="G9" s="93"/>
    </row>
    <row r="10" spans="1:7" x14ac:dyDescent="0.2">
      <c r="A10" s="112" t="s">
        <v>197</v>
      </c>
      <c r="B10" s="113" t="s">
        <v>168</v>
      </c>
      <c r="C10" s="113" t="s">
        <v>198</v>
      </c>
      <c r="D10" s="114" t="s">
        <v>199</v>
      </c>
      <c r="E10" s="99"/>
      <c r="F10" s="99"/>
      <c r="G10" s="93"/>
    </row>
    <row r="11" spans="1:7" x14ac:dyDescent="0.2">
      <c r="A11" s="106" t="s">
        <v>167</v>
      </c>
      <c r="B11" s="107">
        <v>18</v>
      </c>
      <c r="C11" s="115">
        <f>((B11)/(E3))*60</f>
        <v>49.371428571428574</v>
      </c>
      <c r="D11" s="116">
        <v>5.6</v>
      </c>
      <c r="E11" s="99"/>
      <c r="F11" s="99"/>
      <c r="G11" s="93"/>
    </row>
    <row r="12" spans="1:7" ht="16" thickBot="1" x14ac:dyDescent="0.25">
      <c r="A12" s="109" t="s">
        <v>169</v>
      </c>
      <c r="B12" s="110">
        <v>14</v>
      </c>
      <c r="C12" s="110">
        <f>((B12)/(E3))*60</f>
        <v>38.4</v>
      </c>
      <c r="D12" s="117">
        <v>4.9000000000000004</v>
      </c>
      <c r="E12" s="99"/>
      <c r="F12" s="99"/>
      <c r="G12" s="93"/>
    </row>
    <row r="13" spans="1:7" x14ac:dyDescent="0.2">
      <c r="A13" s="99"/>
      <c r="B13" s="99"/>
      <c r="C13" s="99"/>
      <c r="D13" s="99"/>
      <c r="E13" s="99"/>
      <c r="F13" s="99"/>
      <c r="G13" s="93"/>
    </row>
    <row r="14" spans="1:7" x14ac:dyDescent="0.2">
      <c r="A14" s="99"/>
      <c r="B14" s="99"/>
      <c r="C14" s="99"/>
      <c r="D14" s="99"/>
      <c r="E14" s="99"/>
      <c r="F14" s="99"/>
      <c r="G14" s="93"/>
    </row>
    <row r="15" spans="1:7" x14ac:dyDescent="0.2">
      <c r="A15" s="99"/>
      <c r="B15" s="99"/>
      <c r="C15" s="99"/>
      <c r="D15" s="99"/>
      <c r="E15" s="99"/>
      <c r="F15" s="99"/>
      <c r="G15" s="93"/>
    </row>
    <row r="16" spans="1:7" x14ac:dyDescent="0.2">
      <c r="A16" s="99"/>
      <c r="B16" s="99"/>
      <c r="C16" s="99"/>
      <c r="D16" s="99"/>
      <c r="E16" s="99"/>
      <c r="F16" s="99"/>
      <c r="G16" s="93"/>
    </row>
    <row r="17" spans="1:7" x14ac:dyDescent="0.2">
      <c r="A17" s="99"/>
      <c r="B17" s="99"/>
      <c r="C17" s="99"/>
      <c r="D17" s="99"/>
      <c r="E17" s="99"/>
      <c r="F17" s="99"/>
      <c r="G17" s="93"/>
    </row>
    <row r="18" spans="1:7" x14ac:dyDescent="0.2">
      <c r="G18" s="93"/>
    </row>
    <row r="19" spans="1:7" x14ac:dyDescent="0.2">
      <c r="G19" s="93"/>
    </row>
    <row r="20" spans="1:7" x14ac:dyDescent="0.2">
      <c r="G20" s="93"/>
    </row>
    <row r="21" spans="1:7" x14ac:dyDescent="0.2">
      <c r="G21" s="93"/>
    </row>
    <row r="22" spans="1:7" x14ac:dyDescent="0.2">
      <c r="G22" s="93"/>
    </row>
    <row r="23" spans="1:7" x14ac:dyDescent="0.2">
      <c r="G23" s="93"/>
    </row>
    <row r="24" spans="1:7" x14ac:dyDescent="0.2">
      <c r="G24" s="93"/>
    </row>
    <row r="25" spans="1:7" ht="16" thickBot="1" x14ac:dyDescent="0.25">
      <c r="G25" s="94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E6C0A-16CA-48D4-935C-AD984EBD7862}">
  <dimension ref="A2:I28"/>
  <sheetViews>
    <sheetView tabSelected="1" workbookViewId="0">
      <selection activeCell="K25" sqref="K25"/>
    </sheetView>
  </sheetViews>
  <sheetFormatPr baseColWidth="10" defaultColWidth="8.83203125" defaultRowHeight="15" x14ac:dyDescent="0.2"/>
  <cols>
    <col min="1" max="1" width="11.5" bestFit="1" customWidth="1"/>
    <col min="4" max="4" width="11.5" bestFit="1" customWidth="1"/>
    <col min="7" max="7" width="19" bestFit="1" customWidth="1"/>
  </cols>
  <sheetData>
    <row r="2" spans="1:9" ht="16" thickBot="1" x14ac:dyDescent="0.25"/>
    <row r="3" spans="1:9" ht="16" thickBot="1" x14ac:dyDescent="0.25">
      <c r="A3" s="140" t="s">
        <v>200</v>
      </c>
      <c r="B3" s="141"/>
      <c r="D3" s="140" t="s">
        <v>201</v>
      </c>
      <c r="E3" s="141"/>
      <c r="G3" s="119" t="s">
        <v>202</v>
      </c>
      <c r="H3" s="119"/>
      <c r="I3" s="119"/>
    </row>
    <row r="4" spans="1:9" x14ac:dyDescent="0.2">
      <c r="A4" s="82" t="s">
        <v>203</v>
      </c>
      <c r="B4" s="83">
        <v>100</v>
      </c>
      <c r="D4" s="82" t="s">
        <v>203</v>
      </c>
      <c r="E4" s="83">
        <v>92</v>
      </c>
      <c r="G4" t="s">
        <v>204</v>
      </c>
      <c r="H4">
        <v>1000</v>
      </c>
      <c r="I4" t="s">
        <v>205</v>
      </c>
    </row>
    <row r="5" spans="1:9" x14ac:dyDescent="0.2">
      <c r="A5" s="84" t="s">
        <v>206</v>
      </c>
      <c r="B5" s="85">
        <v>97</v>
      </c>
      <c r="D5" s="84" t="s">
        <v>206</v>
      </c>
      <c r="E5" s="85">
        <v>85</v>
      </c>
      <c r="G5" t="s">
        <v>207</v>
      </c>
      <c r="H5">
        <v>4186</v>
      </c>
      <c r="I5" t="s">
        <v>208</v>
      </c>
    </row>
    <row r="6" spans="1:9" x14ac:dyDescent="0.2">
      <c r="A6" s="84" t="s">
        <v>209</v>
      </c>
      <c r="B6" s="85">
        <v>90</v>
      </c>
      <c r="D6" s="84" t="s">
        <v>209</v>
      </c>
      <c r="E6" s="85">
        <v>85</v>
      </c>
    </row>
    <row r="7" spans="1:9" ht="16" thickBot="1" x14ac:dyDescent="0.25">
      <c r="A7" s="86" t="s">
        <v>210</v>
      </c>
      <c r="B7" s="87">
        <v>93</v>
      </c>
      <c r="D7" s="86" t="s">
        <v>210</v>
      </c>
      <c r="E7" s="87">
        <v>90</v>
      </c>
    </row>
    <row r="8" spans="1:9" ht="16" thickBot="1" x14ac:dyDescent="0.25"/>
    <row r="9" spans="1:9" ht="16" thickBot="1" x14ac:dyDescent="0.25">
      <c r="A9" s="136" t="s">
        <v>211</v>
      </c>
      <c r="B9" s="138"/>
      <c r="D9" s="136" t="s">
        <v>212</v>
      </c>
      <c r="E9" s="138"/>
    </row>
    <row r="10" spans="1:9" x14ac:dyDescent="0.2">
      <c r="A10" s="82" t="s">
        <v>203</v>
      </c>
      <c r="B10" s="83">
        <v>95</v>
      </c>
      <c r="D10" s="82" t="s">
        <v>203</v>
      </c>
      <c r="E10" s="83">
        <f>CONVERT( B4, "F","C")</f>
        <v>37.777777777777779</v>
      </c>
    </row>
    <row r="11" spans="1:9" x14ac:dyDescent="0.2">
      <c r="A11" s="84" t="s">
        <v>206</v>
      </c>
      <c r="B11" s="85">
        <v>93</v>
      </c>
      <c r="D11" s="84" t="s">
        <v>206</v>
      </c>
      <c r="E11" s="83">
        <f>CONVERT( B5, "F","C")</f>
        <v>36.111111111111107</v>
      </c>
    </row>
    <row r="12" spans="1:9" x14ac:dyDescent="0.2">
      <c r="A12" s="84" t="s">
        <v>209</v>
      </c>
      <c r="B12" s="85">
        <v>86</v>
      </c>
      <c r="D12" s="84" t="s">
        <v>209</v>
      </c>
      <c r="E12" s="83">
        <f>CONVERT( B6, "F","C")</f>
        <v>32.222222222222221</v>
      </c>
    </row>
    <row r="13" spans="1:9" ht="16" thickBot="1" x14ac:dyDescent="0.25">
      <c r="A13" s="86" t="s">
        <v>210</v>
      </c>
      <c r="B13" s="87">
        <v>89</v>
      </c>
      <c r="D13" s="86" t="s">
        <v>210</v>
      </c>
      <c r="E13" s="88">
        <f>CONVERT( B7, "F","C")</f>
        <v>33.888888888888886</v>
      </c>
    </row>
    <row r="14" spans="1:9" ht="16" thickBot="1" x14ac:dyDescent="0.25"/>
    <row r="15" spans="1:9" ht="16" thickBot="1" x14ac:dyDescent="0.25">
      <c r="A15" s="136" t="s">
        <v>213</v>
      </c>
      <c r="B15" s="138"/>
      <c r="D15" s="136" t="s">
        <v>214</v>
      </c>
      <c r="E15" s="138"/>
    </row>
    <row r="16" spans="1:9" x14ac:dyDescent="0.2">
      <c r="A16" s="82" t="s">
        <v>203</v>
      </c>
      <c r="B16" s="83">
        <f>CONVERT(E4, "F","C")</f>
        <v>33.333333333333336</v>
      </c>
      <c r="D16" s="82" t="s">
        <v>203</v>
      </c>
      <c r="E16" s="83">
        <f>CONVERT(B10,"F","C")</f>
        <v>35</v>
      </c>
    </row>
    <row r="17" spans="1:5" x14ac:dyDescent="0.2">
      <c r="A17" s="84" t="s">
        <v>206</v>
      </c>
      <c r="B17" s="83">
        <f t="shared" ref="B17:B19" si="0">CONVERT(E5, "F","C")</f>
        <v>29.444444444444443</v>
      </c>
      <c r="D17" s="84" t="s">
        <v>206</v>
      </c>
      <c r="E17" s="83">
        <f>CONVERT(B11,"F","C")</f>
        <v>33.888888888888886</v>
      </c>
    </row>
    <row r="18" spans="1:5" x14ac:dyDescent="0.2">
      <c r="A18" s="84" t="s">
        <v>209</v>
      </c>
      <c r="B18" s="83">
        <f t="shared" si="0"/>
        <v>29.444444444444443</v>
      </c>
      <c r="D18" s="84" t="s">
        <v>209</v>
      </c>
      <c r="E18" s="83">
        <f>CONVERT(B12,"F","C")</f>
        <v>30</v>
      </c>
    </row>
    <row r="19" spans="1:5" ht="16" thickBot="1" x14ac:dyDescent="0.25">
      <c r="A19" s="86" t="s">
        <v>210</v>
      </c>
      <c r="B19" s="88">
        <f t="shared" si="0"/>
        <v>32.222222222222221</v>
      </c>
      <c r="D19" s="86" t="s">
        <v>210</v>
      </c>
      <c r="E19" s="88">
        <f t="shared" ref="E19" si="1">CONVERT(B13,"F","C")</f>
        <v>31.666666666666664</v>
      </c>
    </row>
    <row r="21" spans="1:5" x14ac:dyDescent="0.2">
      <c r="A21" s="139"/>
      <c r="B21" s="139"/>
      <c r="D21" s="139"/>
      <c r="E21" s="139"/>
    </row>
    <row r="27" spans="1:5" ht="16" thickBot="1" x14ac:dyDescent="0.25"/>
    <row r="28" spans="1:5" ht="16" thickBot="1" x14ac:dyDescent="0.25">
      <c r="A28" s="79" t="s">
        <v>215</v>
      </c>
      <c r="B28" s="80"/>
      <c r="C28" s="80"/>
      <c r="D28" s="80"/>
      <c r="E28" s="81"/>
    </row>
  </sheetData>
  <mergeCells count="9">
    <mergeCell ref="A21:B21"/>
    <mergeCell ref="D21:E21"/>
    <mergeCell ref="G3:I3"/>
    <mergeCell ref="A3:B3"/>
    <mergeCell ref="D3:E3"/>
    <mergeCell ref="A9:B9"/>
    <mergeCell ref="D9:E9"/>
    <mergeCell ref="A15:B15"/>
    <mergeCell ref="D15:E1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645115-511e-4d5f-8991-5954171924b3" xsi:nil="true"/>
    <lcf76f155ced4ddcb4097134ff3c332f xmlns="e85f313b-5b47-450f-9584-881ba22c86c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DCF7C37072B4FA8ECC5AD7D601B21" ma:contentTypeVersion="19" ma:contentTypeDescription="Create a new document." ma:contentTypeScope="" ma:versionID="26dea1879fd6140a14a8112b1e5c03f6">
  <xsd:schema xmlns:xsd="http://www.w3.org/2001/XMLSchema" xmlns:xs="http://www.w3.org/2001/XMLSchema" xmlns:p="http://schemas.microsoft.com/office/2006/metadata/properties" xmlns:ns2="e85f313b-5b47-450f-9584-881ba22c86cd" xmlns:ns3="a3645115-511e-4d5f-8991-5954171924b3" targetNamespace="http://schemas.microsoft.com/office/2006/metadata/properties" ma:root="true" ma:fieldsID="81760662bda8f9b38f34b69735401cce" ns2:_="" ns3:_="">
    <xsd:import namespace="e85f313b-5b47-450f-9584-881ba22c86cd"/>
    <xsd:import namespace="a3645115-511e-4d5f-8991-5954171924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5f313b-5b47-450f-9584-881ba22c86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034b13c-ebbc-4df5-bee6-d4e945db1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645115-511e-4d5f-8991-5954171924b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d7d19b5-ee8f-48d4-84fb-42f151de38ce}" ma:internalName="TaxCatchAll" ma:showField="CatchAllData" ma:web="a3645115-511e-4d5f-8991-5954171924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8C28AB-1803-49CC-9403-64EAD6D8F5D2}">
  <ds:schemaRefs>
    <ds:schemaRef ds:uri="http://schemas.microsoft.com/office/2006/metadata/properties"/>
    <ds:schemaRef ds:uri="http://schemas.microsoft.com/office/infopath/2007/PartnerControls"/>
    <ds:schemaRef ds:uri="a3645115-511e-4d5f-8991-5954171924b3"/>
    <ds:schemaRef ds:uri="e85f313b-5b47-450f-9584-881ba22c86cd"/>
  </ds:schemaRefs>
</ds:datastoreItem>
</file>

<file path=customXml/itemProps2.xml><?xml version="1.0" encoding="utf-8"?>
<ds:datastoreItem xmlns:ds="http://schemas.openxmlformats.org/officeDocument/2006/customXml" ds:itemID="{7944A1BC-1B5B-4B9D-ACF4-94540143A8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5f313b-5b47-450f-9584-881ba22c86cd"/>
    <ds:schemaRef ds:uri="a3645115-511e-4d5f-8991-5954171924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6C8A0C-FE5D-4DB2-BF23-835BFFA9AB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General Overview </vt:lpstr>
      <vt:lpstr>Cooling Load</vt:lpstr>
      <vt:lpstr>The better radiator calc</vt:lpstr>
      <vt:lpstr>Radiator Max Capable Load</vt:lpstr>
      <vt:lpstr>Fan Selection + Battery Sizing </vt:lpstr>
      <vt:lpstr>Battery Sizing But Better </vt:lpstr>
      <vt:lpstr>E24 Temperature Test 11-23-24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Sarman, Thomas Anthony</dc:creator>
  <cp:keywords/>
  <dc:description/>
  <cp:lastModifiedBy>Agboola, Muizz</cp:lastModifiedBy>
  <cp:revision/>
  <dcterms:created xsi:type="dcterms:W3CDTF">2024-11-06T23:02:31Z</dcterms:created>
  <dcterms:modified xsi:type="dcterms:W3CDTF">2026-03-31T18:18:41Z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0x010100AF5DCF7C37072B4FA8ECC5AD7D601B21</vt:lpwstr>
  </property>
  <property fmtid="{D5CDD505-2E9C-101B-9397-08002B2CF9AE}" pid="3" name="MediaServiceImageTags">
    <vt:lpwstr/>
  </property>
</Properties>
</file>