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aki/Desktop/pbl2/"/>
    </mc:Choice>
  </mc:AlternateContent>
  <bookViews>
    <workbookView xWindow="0" yWindow="460" windowWidth="25600" windowHeight="15460" tabRatio="500" activeTab="3"/>
  </bookViews>
  <sheets>
    <sheet name="DS2仕事量" sheetId="1" r:id="rId1"/>
    <sheet name="DS2EVM" sheetId="6" r:id="rId2"/>
    <sheet name="DS3仕事量 " sheetId="3" r:id="rId3"/>
    <sheet name="DS3EVM " sheetId="7" r:id="rId4"/>
    <sheet name="追加タスク管理 " sheetId="5" r:id="rId5"/>
    <sheet name="中止タスク管理" sheetId="4" r:id="rId6"/>
  </sheets>
  <calcPr calcId="15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H14" i="6" l="1"/>
  <c r="H15" i="6"/>
  <c r="I15" i="7"/>
  <c r="J15" i="7"/>
  <c r="J14" i="7"/>
  <c r="J13" i="7"/>
  <c r="I13" i="7"/>
  <c r="J12" i="7"/>
  <c r="I12" i="7"/>
  <c r="J11" i="7"/>
  <c r="I11" i="7"/>
  <c r="I10" i="7"/>
  <c r="J10" i="7"/>
  <c r="J9" i="7"/>
  <c r="J8" i="7"/>
  <c r="J3" i="7"/>
  <c r="J4" i="7"/>
  <c r="J5" i="7"/>
  <c r="J6" i="7"/>
  <c r="J7" i="7"/>
  <c r="J2" i="7"/>
  <c r="D14" i="7"/>
  <c r="G9" i="7"/>
  <c r="F9" i="7"/>
  <c r="E9" i="7"/>
  <c r="D9" i="7"/>
  <c r="I4" i="7"/>
  <c r="I5" i="7"/>
  <c r="D2" i="7"/>
  <c r="D6" i="7"/>
  <c r="E2" i="7"/>
  <c r="E6" i="7"/>
  <c r="F2" i="7"/>
  <c r="F6" i="7"/>
  <c r="G2" i="7"/>
  <c r="G6" i="7"/>
  <c r="I6" i="7"/>
  <c r="E7" i="7"/>
  <c r="F7" i="7"/>
  <c r="G7" i="7"/>
  <c r="I7" i="7"/>
  <c r="I3" i="7"/>
  <c r="H7" i="7"/>
  <c r="G15" i="7"/>
  <c r="F15" i="7"/>
  <c r="E15" i="7"/>
  <c r="D7" i="7"/>
  <c r="D15" i="7"/>
  <c r="I9" i="7"/>
  <c r="I14" i="7"/>
  <c r="G14" i="7"/>
  <c r="F14" i="7"/>
  <c r="E14" i="7"/>
  <c r="I8" i="7"/>
  <c r="G13" i="7"/>
  <c r="F13" i="7"/>
  <c r="E13" i="7"/>
  <c r="D13" i="7"/>
  <c r="G12" i="7"/>
  <c r="F12" i="7"/>
  <c r="E12" i="7"/>
  <c r="D12" i="7"/>
  <c r="G11" i="7"/>
  <c r="F11" i="7"/>
  <c r="E11" i="7"/>
  <c r="D11" i="7"/>
  <c r="G10" i="7"/>
  <c r="F10" i="7"/>
  <c r="E10" i="7"/>
  <c r="D10" i="7"/>
  <c r="E15" i="6"/>
  <c r="F15" i="6"/>
  <c r="G15" i="6"/>
  <c r="D15" i="6"/>
  <c r="E14" i="6"/>
  <c r="F14" i="6"/>
  <c r="G14" i="6"/>
  <c r="D14" i="6"/>
  <c r="E13" i="6"/>
  <c r="F13" i="6"/>
  <c r="G13" i="6"/>
  <c r="H13" i="6"/>
  <c r="D13" i="6"/>
  <c r="D7" i="6"/>
  <c r="E12" i="6"/>
  <c r="F12" i="6"/>
  <c r="G12" i="6"/>
  <c r="H12" i="6"/>
  <c r="D12" i="6"/>
  <c r="E11" i="6"/>
  <c r="F11" i="6"/>
  <c r="G11" i="6"/>
  <c r="H11" i="6"/>
  <c r="D11" i="6"/>
  <c r="H10" i="6"/>
  <c r="G10" i="6"/>
  <c r="F10" i="6"/>
  <c r="E10" i="6"/>
  <c r="D10" i="6"/>
  <c r="H9" i="6"/>
  <c r="G9" i="6"/>
  <c r="F9" i="6"/>
  <c r="E9" i="6"/>
  <c r="I16" i="1"/>
  <c r="H16" i="1"/>
  <c r="H8" i="6"/>
  <c r="D3" i="6"/>
  <c r="H3" i="6"/>
  <c r="H5" i="6"/>
  <c r="H7" i="6"/>
  <c r="H6" i="6"/>
  <c r="E2" i="6"/>
  <c r="E6" i="6"/>
  <c r="F2" i="6"/>
  <c r="F6" i="6"/>
  <c r="G2" i="6"/>
  <c r="G6" i="6"/>
  <c r="D2" i="6"/>
  <c r="D6" i="6"/>
  <c r="E7" i="6"/>
  <c r="G7" i="6"/>
  <c r="F7" i="6"/>
  <c r="H7" i="3"/>
  <c r="K16" i="3"/>
  <c r="M5" i="3"/>
  <c r="K6" i="3"/>
  <c r="K8" i="3"/>
  <c r="K9" i="3"/>
  <c r="J9" i="3"/>
  <c r="I9" i="3"/>
  <c r="H9" i="3"/>
  <c r="G9" i="3"/>
  <c r="F9" i="3"/>
  <c r="G9" i="1"/>
  <c r="H9" i="1"/>
  <c r="I9" i="1"/>
  <c r="J9" i="1"/>
  <c r="F9" i="1"/>
  <c r="K4" i="3"/>
  <c r="J4" i="1"/>
  <c r="H11" i="3"/>
  <c r="I11" i="3"/>
  <c r="K11" i="3"/>
  <c r="H10" i="3"/>
  <c r="I10" i="3"/>
  <c r="K10" i="3"/>
  <c r="K17" i="3"/>
  <c r="F7" i="3"/>
  <c r="G7" i="3"/>
  <c r="I7" i="3"/>
  <c r="K7" i="3"/>
  <c r="K15" i="3"/>
  <c r="I5" i="3"/>
  <c r="I15" i="3"/>
  <c r="H5" i="3"/>
  <c r="H15" i="3"/>
  <c r="G5" i="3"/>
  <c r="G15" i="3"/>
  <c r="F5" i="3"/>
  <c r="F15" i="3"/>
  <c r="K14" i="3"/>
  <c r="I14" i="3"/>
  <c r="H14" i="3"/>
  <c r="G14" i="3"/>
  <c r="F14" i="3"/>
  <c r="K13" i="3"/>
  <c r="I13" i="3"/>
  <c r="H13" i="3"/>
  <c r="G13" i="3"/>
  <c r="F13" i="3"/>
  <c r="K12" i="3"/>
  <c r="I12" i="3"/>
  <c r="H12" i="3"/>
  <c r="G12" i="3"/>
  <c r="F12" i="3"/>
  <c r="F10" i="3"/>
  <c r="F11" i="3"/>
  <c r="G11" i="3"/>
  <c r="G10" i="3"/>
  <c r="B2" i="3"/>
  <c r="M8" i="3"/>
  <c r="L8" i="3"/>
  <c r="M7" i="3"/>
  <c r="L7" i="3"/>
  <c r="M6" i="3"/>
  <c r="L6" i="3"/>
  <c r="L5" i="3"/>
  <c r="J17" i="1"/>
  <c r="F7" i="1"/>
  <c r="G7" i="1"/>
  <c r="G5" i="1"/>
  <c r="G14" i="1"/>
  <c r="I5" i="1"/>
  <c r="H5" i="1"/>
  <c r="F5" i="1"/>
  <c r="F6" i="1"/>
  <c r="F10" i="1"/>
  <c r="F11" i="1"/>
  <c r="G11" i="1"/>
  <c r="H11" i="1"/>
  <c r="I11" i="1"/>
  <c r="G15" i="1"/>
  <c r="H7" i="1"/>
  <c r="H15" i="1"/>
  <c r="I7" i="1"/>
  <c r="I15" i="1"/>
  <c r="J7" i="1"/>
  <c r="J6" i="1"/>
  <c r="J8" i="1"/>
  <c r="J15" i="1"/>
  <c r="F15" i="1"/>
  <c r="F14" i="1"/>
  <c r="H14" i="1"/>
  <c r="I14" i="1"/>
  <c r="J14" i="1"/>
  <c r="F12" i="1"/>
  <c r="G10" i="1"/>
  <c r="H10" i="1"/>
  <c r="I10" i="1"/>
  <c r="J11" i="1"/>
  <c r="J16" i="1"/>
  <c r="B2" i="1"/>
  <c r="L8" i="1"/>
  <c r="K8" i="1"/>
  <c r="K7" i="1"/>
  <c r="L7" i="1"/>
  <c r="L6" i="1"/>
  <c r="L5" i="1"/>
  <c r="K5" i="1"/>
  <c r="K6" i="1"/>
  <c r="G13" i="1"/>
  <c r="H13" i="1"/>
  <c r="I13" i="1"/>
  <c r="J13" i="1"/>
  <c r="F13" i="1"/>
  <c r="G12" i="1"/>
  <c r="H12" i="1"/>
  <c r="I12" i="1"/>
  <c r="J12" i="1"/>
  <c r="J10" i="1"/>
</calcChain>
</file>

<file path=xl/sharedStrings.xml><?xml version="1.0" encoding="utf-8"?>
<sst xmlns="http://schemas.openxmlformats.org/spreadsheetml/2006/main" count="199" uniqueCount="116">
  <si>
    <t>２日目</t>
    <phoneticPr fontId="2"/>
  </si>
  <si>
    <t>３日目</t>
    <rPh sb="2" eb="3">
      <t>メ</t>
    </rPh>
    <phoneticPr fontId="2"/>
  </si>
  <si>
    <t>４日目</t>
    <phoneticPr fontId="2"/>
  </si>
  <si>
    <t>見積もり(人時）</t>
    <rPh sb="0" eb="2">
      <t>ミツモリ</t>
    </rPh>
    <rPh sb="5" eb="6">
      <t>ヒト</t>
    </rPh>
    <rPh sb="6" eb="7">
      <t>ジ</t>
    </rPh>
    <phoneticPr fontId="2"/>
  </si>
  <si>
    <t>実績（人時）</t>
    <rPh sb="0" eb="2">
      <t>ジッセキ</t>
    </rPh>
    <phoneticPr fontId="2"/>
  </si>
  <si>
    <t>残り（人時）</t>
    <rPh sb="0" eb="1">
      <t>ノコリ</t>
    </rPh>
    <phoneticPr fontId="2"/>
  </si>
  <si>
    <t>遅延率</t>
    <rPh sb="0" eb="2">
      <t>チエン</t>
    </rPh>
    <rPh sb="2" eb="3">
      <t>リツ</t>
    </rPh>
    <phoneticPr fontId="2"/>
  </si>
  <si>
    <t>遅延時間</t>
    <rPh sb="0" eb="4">
      <t>チエンジカン</t>
    </rPh>
    <phoneticPr fontId="2"/>
  </si>
  <si>
    <t>追加タスク見積もり</t>
    <rPh sb="0" eb="2">
      <t>ツイカ</t>
    </rPh>
    <rPh sb="5" eb="7">
      <t>ミツモリ</t>
    </rPh>
    <phoneticPr fontId="2"/>
  </si>
  <si>
    <t>暫定合計</t>
    <rPh sb="0" eb="2">
      <t>ザンテイ</t>
    </rPh>
    <rPh sb="2" eb="4">
      <t>ゴウケイ</t>
    </rPh>
    <phoneticPr fontId="2"/>
  </si>
  <si>
    <t>none</t>
    <phoneticPr fontId="2"/>
  </si>
  <si>
    <t>１日目</t>
    <phoneticPr fontId="2"/>
  </si>
  <si>
    <t>日時</t>
    <rPh sb="0" eb="2">
      <t>ニチジ</t>
    </rPh>
    <phoneticPr fontId="2"/>
  </si>
  <si>
    <t>欠員による減少仕事量</t>
    <rPh sb="0" eb="1">
      <t>ケツイン</t>
    </rPh>
    <rPh sb="1" eb="2">
      <t>イン</t>
    </rPh>
    <rPh sb="5" eb="7">
      <t>ゲンショウ</t>
    </rPh>
    <rPh sb="7" eb="9">
      <t>シゴト</t>
    </rPh>
    <rPh sb="9" eb="10">
      <t>リョウ</t>
    </rPh>
    <phoneticPr fontId="2"/>
  </si>
  <si>
    <t>追加タスク量</t>
    <rPh sb="0" eb="2">
      <t>ツイカ</t>
    </rPh>
    <rPh sb="5" eb="6">
      <t>リョウ</t>
    </rPh>
    <phoneticPr fontId="2"/>
  </si>
  <si>
    <t>減少時間を加味した稼働率</t>
    <rPh sb="0" eb="4">
      <t>ゲンショウジカンヲ</t>
    </rPh>
    <rPh sb="5" eb="7">
      <t>カミシタ</t>
    </rPh>
    <rPh sb="9" eb="12">
      <t>カドウリツ</t>
    </rPh>
    <phoneticPr fontId="2"/>
  </si>
  <si>
    <t>追加タスク実績</t>
    <rPh sb="0" eb="2">
      <t>ツイカタスク</t>
    </rPh>
    <rPh sb="5" eb="7">
      <t>ジッセキ</t>
    </rPh>
    <phoneticPr fontId="2"/>
  </si>
  <si>
    <t>追加タスクを加味した残り</t>
    <rPh sb="0" eb="2">
      <t>ツイカ</t>
    </rPh>
    <rPh sb="6" eb="8">
      <t>カミシタ</t>
    </rPh>
    <rPh sb="10" eb="11">
      <t>ノコリ</t>
    </rPh>
    <phoneticPr fontId="2"/>
  </si>
  <si>
    <t>追加タスクを加味した遅延時間</t>
    <rPh sb="10" eb="14">
      <t>チエンジカン</t>
    </rPh>
    <phoneticPr fontId="2"/>
  </si>
  <si>
    <t>追加タスクを加味した遅延率</t>
    <rPh sb="10" eb="13">
      <t>チエンリツ</t>
    </rPh>
    <phoneticPr fontId="2"/>
  </si>
  <si>
    <t>デイリースクラム（人時/スプリント）</t>
    <phoneticPr fontId="2"/>
  </si>
  <si>
    <t>スプリントレビュー（人時/スプリント）</t>
    <phoneticPr fontId="2"/>
  </si>
  <si>
    <t>スプリント計画（人時/スプリント）</t>
    <phoneticPr fontId="2"/>
  </si>
  <si>
    <t>スプリント総仕事量（人時/スプリント）</t>
    <rPh sb="5" eb="6">
      <t>ソウ</t>
    </rPh>
    <rPh sb="6" eb="9">
      <t>シゴトリョウ</t>
    </rPh>
    <phoneticPr fontId="2"/>
  </si>
  <si>
    <t>備考</t>
    <rPh sb="0" eb="2">
      <t>ビコウ</t>
    </rPh>
    <phoneticPr fontId="2"/>
  </si>
  <si>
    <t>講義時間外</t>
    <rPh sb="0" eb="2">
      <t>コウギ</t>
    </rPh>
    <rPh sb="2" eb="5">
      <t>ジカンガイ</t>
    </rPh>
    <phoneticPr fontId="2"/>
  </si>
  <si>
    <t>次スプリントでは初期タスク見積もりを35~40人時に設定する</t>
    <rPh sb="0" eb="1">
      <t>ジスプリント</t>
    </rPh>
    <rPh sb="8" eb="10">
      <t>ショキ</t>
    </rPh>
    <rPh sb="13" eb="15">
      <t>ミツモリ</t>
    </rPh>
    <rPh sb="23" eb="25">
      <t>ニンジ</t>
    </rPh>
    <phoneticPr fontId="2"/>
  </si>
  <si>
    <t>次スプリントでは時間外労働データもとる</t>
    <rPh sb="0" eb="1">
      <t>ジスプリント</t>
    </rPh>
    <rPh sb="8" eb="11">
      <t>ジカンガイ</t>
    </rPh>
    <rPh sb="11" eb="13">
      <t>ロウドウ</t>
    </rPh>
    <phoneticPr fontId="2"/>
  </si>
  <si>
    <t>smwに対する稼働率</t>
    <rPh sb="7" eb="9">
      <t>カドウリョウ</t>
    </rPh>
    <rPh sb="9" eb="10">
      <t>リツ</t>
    </rPh>
    <phoneticPr fontId="2"/>
  </si>
  <si>
    <t>スプリントあたり仕事量spw（人時/スプリント）</t>
    <rPh sb="8" eb="11">
      <t>シゴトリョウ</t>
    </rPh>
    <phoneticPr fontId="2"/>
  </si>
  <si>
    <t>遅延時間(/day)</t>
    <rPh sb="0" eb="4">
      <t>チエンジカン</t>
    </rPh>
    <phoneticPr fontId="2"/>
  </si>
  <si>
    <t>遅延率(/day)</t>
    <rPh sb="0" eb="2">
      <t>チエン</t>
    </rPh>
    <rPh sb="2" eb="3">
      <t>リツ</t>
    </rPh>
    <phoneticPr fontId="2"/>
  </si>
  <si>
    <t>講義あたり仕事量(人時）</t>
    <rPh sb="0" eb="2">
      <t>コウギ</t>
    </rPh>
    <rPh sb="5" eb="8">
      <t>シゴトリョウ</t>
    </rPh>
    <rPh sb="9" eb="11">
      <t>ニンジ</t>
    </rPh>
    <phoneticPr fontId="2"/>
  </si>
  <si>
    <t>総実績</t>
    <rPh sb="0" eb="1">
      <t>ソウ</t>
    </rPh>
    <rPh sb="1" eb="3">
      <t>ゴウケイジッセキ</t>
    </rPh>
    <phoneticPr fontId="2"/>
  </si>
  <si>
    <t>spwに対する稼働率</t>
    <rPh sb="7" eb="9">
      <t>カドウリョウ</t>
    </rPh>
    <rPh sb="9" eb="10">
      <t>リツ</t>
    </rPh>
    <phoneticPr fontId="2"/>
  </si>
  <si>
    <t>見積もりに対して少ない作業時間でタスクが完了していた</t>
    <rPh sb="0" eb="2">
      <t>ミツモリニ</t>
    </rPh>
    <rPh sb="5" eb="6">
      <t>タイシテ</t>
    </rPh>
    <rPh sb="8" eb="9">
      <t>スクナイ</t>
    </rPh>
    <rPh sb="11" eb="13">
      <t>サギョウ</t>
    </rPh>
    <rPh sb="13" eb="15">
      <t>ジカンガ</t>
    </rPh>
    <rPh sb="20" eb="22">
      <t>カンリョウシテイタ</t>
    </rPh>
    <phoneticPr fontId="2"/>
  </si>
  <si>
    <t>追加タスクの分析（なぜ追加が生じるか）を行う為、追加タスクの管理も行う</t>
    <rPh sb="0" eb="2">
      <t>ツイカタスク</t>
    </rPh>
    <rPh sb="6" eb="8">
      <t>ブンセキ</t>
    </rPh>
    <rPh sb="14" eb="15">
      <t>ショウジルカ</t>
    </rPh>
    <rPh sb="20" eb="21">
      <t>オコナウタメ</t>
    </rPh>
    <rPh sb="24" eb="26">
      <t>ツイカ</t>
    </rPh>
    <rPh sb="30" eb="32">
      <t>カンリ</t>
    </rPh>
    <rPh sb="33" eb="34">
      <t>オコナウ</t>
    </rPh>
    <phoneticPr fontId="2"/>
  </si>
  <si>
    <t>システムテストのレビューを行う</t>
    <rPh sb="13" eb="14">
      <t>オコナウ</t>
    </rPh>
    <phoneticPr fontId="2"/>
  </si>
  <si>
    <t>チームメンバで擬似ブレスト会議を行う</t>
    <rPh sb="7" eb="9">
      <t>ギジ</t>
    </rPh>
    <rPh sb="13" eb="15">
      <t>カイギヲ</t>
    </rPh>
    <rPh sb="16" eb="17">
      <t>オコナウ</t>
    </rPh>
    <phoneticPr fontId="2"/>
  </si>
  <si>
    <t>テーマ概要を考える</t>
    <rPh sb="6" eb="7">
      <t>カンガエル</t>
    </rPh>
    <phoneticPr fontId="2"/>
  </si>
  <si>
    <t>プレゼン資料のアウトラインを考える</t>
    <rPh sb="14" eb="15">
      <t>カンガエル</t>
    </rPh>
    <phoneticPr fontId="2"/>
  </si>
  <si>
    <t>プレゼン資料を作成する</t>
    <rPh sb="7" eb="9">
      <t>サクセイスル</t>
    </rPh>
    <phoneticPr fontId="2"/>
  </si>
  <si>
    <t>スプリントNo.</t>
    <phoneticPr fontId="2"/>
  </si>
  <si>
    <t>ID</t>
    <phoneticPr fontId="2"/>
  </si>
  <si>
    <t>追加日</t>
    <rPh sb="0" eb="2">
      <t>ツイカ</t>
    </rPh>
    <rPh sb="2" eb="3">
      <t>ヒ</t>
    </rPh>
    <phoneticPr fontId="2"/>
  </si>
  <si>
    <t>追加タスク名</t>
    <rPh sb="0" eb="2">
      <t>ツイカタスクメイ</t>
    </rPh>
    <phoneticPr fontId="2"/>
  </si>
  <si>
    <t>理由</t>
    <rPh sb="0" eb="2">
      <t>リユウ</t>
    </rPh>
    <phoneticPr fontId="2"/>
  </si>
  <si>
    <t>見積もり時間</t>
    <rPh sb="0" eb="2">
      <t>ミツモリジカン</t>
    </rPh>
    <phoneticPr fontId="2"/>
  </si>
  <si>
    <t>非表示にするアプローチで付箋を消す</t>
    <rPh sb="0" eb="3">
      <t>ヒヒョウジニスル</t>
    </rPh>
    <rPh sb="12" eb="14">
      <t>フセンヲ</t>
    </rPh>
    <rPh sb="15" eb="16">
      <t>ケス</t>
    </rPh>
    <phoneticPr fontId="2"/>
  </si>
  <si>
    <t>付箋を動かせない問題を解決する</t>
    <rPh sb="0" eb="2">
      <t>フセンヲ</t>
    </rPh>
    <rPh sb="3" eb="4">
      <t>ウゴカセナイ</t>
    </rPh>
    <rPh sb="8" eb="10">
      <t>モンダイヲ</t>
    </rPh>
    <rPh sb="11" eb="13">
      <t>カイケツスル</t>
    </rPh>
    <phoneticPr fontId="2"/>
  </si>
  <si>
    <t>ダウンロードボタン押下時の動作を修正する</t>
    <rPh sb="13" eb="15">
      <t>ドウサヲ</t>
    </rPh>
    <rPh sb="16" eb="18">
      <t>シュウセイスル</t>
    </rPh>
    <phoneticPr fontId="2"/>
  </si>
  <si>
    <t>キャンパスのズームイン・アウトができない問題に対処する</t>
    <phoneticPr fontId="2"/>
  </si>
  <si>
    <t>もなかにおけるスマホ・PC間の対応について調べる</t>
    <rPh sb="13" eb="14">
      <t>カンノ</t>
    </rPh>
    <rPh sb="15" eb="17">
      <t>タイオウニ</t>
    </rPh>
    <rPh sb="21" eb="22">
      <t>シラベル</t>
    </rPh>
    <phoneticPr fontId="2"/>
  </si>
  <si>
    <t>スマホの開発環境を再度検討する</t>
    <rPh sb="9" eb="13">
      <t>サイドケントウスル</t>
    </rPh>
    <phoneticPr fontId="2"/>
  </si>
  <si>
    <t>付箋作成時にキャンバスからはみ出ないようにする</t>
    <rPh sb="0" eb="5">
      <t>フセンサクセイジニ</t>
    </rPh>
    <phoneticPr fontId="2"/>
  </si>
  <si>
    <t>付箋の連続作成を実装する</t>
    <rPh sb="0" eb="2">
      <t>フセンノ</t>
    </rPh>
    <rPh sb="3" eb="7">
      <t>レンゾクサクセイ</t>
    </rPh>
    <rPh sb="8" eb="10">
      <t>ジッソウスル</t>
    </rPh>
    <phoneticPr fontId="2"/>
  </si>
  <si>
    <t>スプリント総括</t>
    <rPh sb="5" eb="7">
      <t>ソウカツ</t>
    </rPh>
    <phoneticPr fontId="2"/>
  </si>
  <si>
    <t>見積もり時間(人時）</t>
    <rPh sb="0" eb="2">
      <t>ミツモリジカン</t>
    </rPh>
    <rPh sb="7" eb="9">
      <t>ニンジ</t>
    </rPh>
    <phoneticPr fontId="2"/>
  </si>
  <si>
    <t>中止日</t>
    <rPh sb="0" eb="2">
      <t>チュウシ</t>
    </rPh>
    <rPh sb="2" eb="3">
      <t>ヒ</t>
    </rPh>
    <phoneticPr fontId="2"/>
  </si>
  <si>
    <t>中止タスク名</t>
    <rPh sb="0" eb="2">
      <t>チュウシ</t>
    </rPh>
    <phoneticPr fontId="2"/>
  </si>
  <si>
    <t>スマホの画面拡張機能を動作確認する</t>
    <rPh sb="4" eb="8">
      <t>ガメンカクチョウ</t>
    </rPh>
    <rPh sb="8" eb="10">
      <t>キノウ</t>
    </rPh>
    <rPh sb="11" eb="13">
      <t>ドウサ</t>
    </rPh>
    <rPh sb="13" eb="15">
      <t>カクニンスル</t>
    </rPh>
    <phoneticPr fontId="2"/>
  </si>
  <si>
    <t>会議の結果、画面拡張を行わない方針となった為</t>
    <rPh sb="0" eb="2">
      <t>カイギノケッカ</t>
    </rPh>
    <rPh sb="6" eb="10">
      <t>ガメンカクチョウ</t>
    </rPh>
    <rPh sb="11" eb="12">
      <t>オコナワナイホウシント</t>
    </rPh>
    <phoneticPr fontId="2"/>
  </si>
  <si>
    <t>画面拡張を実装する</t>
    <rPh sb="0" eb="4">
      <t>ガメンカクチョウヲ</t>
    </rPh>
    <rPh sb="5" eb="7">
      <t>ジッソウスル</t>
    </rPh>
    <phoneticPr fontId="2"/>
  </si>
  <si>
    <t>後に実装中止となった</t>
    <rPh sb="0" eb="1">
      <t>ノチニ</t>
    </rPh>
    <rPh sb="2" eb="4">
      <t>ジッソウ</t>
    </rPh>
    <rPh sb="4" eb="6">
      <t>チュウシトナッタ</t>
    </rPh>
    <phoneticPr fontId="2"/>
  </si>
  <si>
    <t>スマホにローカル保存を実装しないことになった為</t>
    <rPh sb="11" eb="13">
      <t>ジッソウシナイコトニ</t>
    </rPh>
    <phoneticPr fontId="2"/>
  </si>
  <si>
    <t>後に開発環境が変わった際にローカル保存が可能となった</t>
    <rPh sb="0" eb="1">
      <t>ノチニ</t>
    </rPh>
    <rPh sb="2" eb="6">
      <t>カイハツカンキョウ</t>
    </rPh>
    <rPh sb="7" eb="8">
      <t>カワッタサイニ</t>
    </rPh>
    <rPh sb="20" eb="22">
      <t>カノウトナッタ</t>
    </rPh>
    <phoneticPr fontId="2"/>
  </si>
  <si>
    <t>DS3</t>
    <phoneticPr fontId="2"/>
  </si>
  <si>
    <t>DS2</t>
    <phoneticPr fontId="2"/>
  </si>
  <si>
    <t>DS2</t>
    <phoneticPr fontId="2"/>
  </si>
  <si>
    <t>Development
Sprint
２</t>
    <phoneticPr fontId="2"/>
  </si>
  <si>
    <t>Development
Sprint
3</t>
    <phoneticPr fontId="2"/>
  </si>
  <si>
    <t>「ゴミ箱」機能など</t>
    <rPh sb="5" eb="7">
      <t>キノウ</t>
    </rPh>
    <phoneticPr fontId="2"/>
  </si>
  <si>
    <t>Monaca導入だけでは、スマホから付箋を動かせなかった為</t>
    <rPh sb="6" eb="8">
      <t>ドウニュウダケデハ</t>
    </rPh>
    <rPh sb="18" eb="20">
      <t>フセンヲ</t>
    </rPh>
    <rPh sb="21" eb="22">
      <t>ウゴカセナカッタ</t>
    </rPh>
    <rPh sb="28" eb="29">
      <t>タメ</t>
    </rPh>
    <phoneticPr fontId="2"/>
  </si>
  <si>
    <t>Monaca上では、ダウンロードボタン押下時に不適切な動作をした為</t>
    <rPh sb="6" eb="7">
      <t>ジョウ</t>
    </rPh>
    <rPh sb="19" eb="22">
      <t>オウカジニ</t>
    </rPh>
    <rPh sb="23" eb="26">
      <t>フテキセツナ</t>
    </rPh>
    <rPh sb="27" eb="29">
      <t>ドウサヲ</t>
    </rPh>
    <phoneticPr fontId="2"/>
  </si>
  <si>
    <t>Monaca上では、Androidのみズームイン・アウトができなかった為</t>
    <rPh sb="6" eb="7">
      <t>ジョウデハ</t>
    </rPh>
    <phoneticPr fontId="2"/>
  </si>
  <si>
    <t>Monaca導入だけでは、スマホからの動作に多くの問題が生じた為</t>
    <rPh sb="6" eb="8">
      <t>ドウニュウ</t>
    </rPh>
    <rPh sb="19" eb="21">
      <t>ドウサニ</t>
    </rPh>
    <rPh sb="22" eb="23">
      <t>オオクノ</t>
    </rPh>
    <rPh sb="25" eb="27">
      <t>モンダイガショウジタタメ</t>
    </rPh>
    <phoneticPr fontId="2"/>
  </si>
  <si>
    <t>Monaca上で、多くの問題が生じた為</t>
    <rPh sb="6" eb="7">
      <t>ジョウ</t>
    </rPh>
    <rPh sb="9" eb="10">
      <t>オオクノモンダイガショウジタタメ</t>
    </rPh>
    <phoneticPr fontId="2"/>
  </si>
  <si>
    <t>付箋を多く作成した際にキャンバスから付箋がはみ出していた為</t>
    <rPh sb="0" eb="7">
      <t>フセンサクセイジニ</t>
    </rPh>
    <rPh sb="9" eb="10">
      <t>サイニ</t>
    </rPh>
    <rPh sb="18" eb="20">
      <t>フセンガ</t>
    </rPh>
    <rPh sb="28" eb="29">
      <t>タメ</t>
    </rPh>
    <phoneticPr fontId="2"/>
  </si>
  <si>
    <t>後にbitballonをプラットフォームとすることになった</t>
    <rPh sb="0" eb="1">
      <t>ノチニ</t>
    </rPh>
    <phoneticPr fontId="2"/>
  </si>
  <si>
    <t>ユーザビリティを考えた為</t>
    <rPh sb="8" eb="9">
      <t>カンガエタ</t>
    </rPh>
    <rPh sb="11" eb="12">
      <t>タメ</t>
    </rPh>
    <phoneticPr fontId="2"/>
  </si>
  <si>
    <t>追加原因カテゴリ</t>
    <rPh sb="0" eb="2">
      <t>ツイカ</t>
    </rPh>
    <rPh sb="2" eb="4">
      <t>ゲンインカテゴリ</t>
    </rPh>
    <phoneticPr fontId="2"/>
  </si>
  <si>
    <t>システムテストレビュー</t>
    <phoneticPr fontId="2"/>
  </si>
  <si>
    <t>PFに起因する障害</t>
    <rPh sb="3" eb="5">
      <t>キイン</t>
    </rPh>
    <rPh sb="7" eb="9">
      <t>ショウガイ</t>
    </rPh>
    <phoneticPr fontId="2"/>
  </si>
  <si>
    <t>実装上のバグ</t>
    <rPh sb="0" eb="3">
      <t>ジッソウジョウノ</t>
    </rPh>
    <phoneticPr fontId="2"/>
  </si>
  <si>
    <t>計画漏れ</t>
    <rPh sb="0" eb="2">
      <t>ケイカクジ</t>
    </rPh>
    <rPh sb="2" eb="3">
      <t>モレ</t>
    </rPh>
    <phoneticPr fontId="2"/>
  </si>
  <si>
    <t>大学側からの制約</t>
    <rPh sb="0" eb="2">
      <t>ダイガク</t>
    </rPh>
    <rPh sb="2" eb="3">
      <t>ガワカラノ</t>
    </rPh>
    <rPh sb="6" eb="8">
      <t>セイヤク</t>
    </rPh>
    <phoneticPr fontId="2"/>
  </si>
  <si>
    <t>スケジューリング後に第一回発表練習が決まった為</t>
    <rPh sb="10" eb="13">
      <t>ダイイ</t>
    </rPh>
    <rPh sb="13" eb="17">
      <t>ハッピョウレンシュウ</t>
    </rPh>
    <rPh sb="18" eb="19">
      <t>キマッタ</t>
    </rPh>
    <rPh sb="22" eb="23">
      <t>タメ</t>
    </rPh>
    <phoneticPr fontId="2"/>
  </si>
  <si>
    <t>システムテストをスケジューリング時に思いつかなかった為</t>
    <rPh sb="16" eb="17">
      <t>ジニ</t>
    </rPh>
    <rPh sb="18" eb="19">
      <t>オモイツカナカッタ</t>
    </rPh>
    <rPh sb="26" eb="27">
      <t>タメ</t>
    </rPh>
    <phoneticPr fontId="2"/>
  </si>
  <si>
    <t>中止原因カテゴリ</t>
    <rPh sb="0" eb="4">
      <t>チュウシゲンイン</t>
    </rPh>
    <phoneticPr fontId="2"/>
  </si>
  <si>
    <t>要件の非洗練</t>
    <rPh sb="0" eb="2">
      <t>ヨウケンノ</t>
    </rPh>
    <rPh sb="3" eb="4">
      <t>ヒ</t>
    </rPh>
    <rPh sb="4" eb="6">
      <t>ヒセンレン</t>
    </rPh>
    <phoneticPr fontId="2"/>
  </si>
  <si>
    <t>スプリント計画時に要件が曖昧なままであったことが原因となり3つの中止タスクが生じてしまった。ただし、実装着手前の会議にて決定が下された為、この中止に準ずるコストは5人時（会議時間30分*2回*5人）に抑えられた。</t>
    <rPh sb="9" eb="11">
      <t>ヨウケンガ</t>
    </rPh>
    <rPh sb="12" eb="14">
      <t>アイマイナ</t>
    </rPh>
    <rPh sb="24" eb="26">
      <t>ゲンイン</t>
    </rPh>
    <rPh sb="32" eb="34">
      <t>チュウシ</t>
    </rPh>
    <rPh sb="38" eb="39">
      <t>ショウジテシマッタ</t>
    </rPh>
    <rPh sb="50" eb="54">
      <t>ジッソウチャクシュマエノ</t>
    </rPh>
    <rPh sb="54" eb="55">
      <t>マエノ</t>
    </rPh>
    <rPh sb="56" eb="58">
      <t>カイギニテ</t>
    </rPh>
    <rPh sb="60" eb="62">
      <t>ケッテイシタ</t>
    </rPh>
    <rPh sb="63" eb="64">
      <t>クダサレタタメ</t>
    </rPh>
    <rPh sb="74" eb="75">
      <t>ジュンズル</t>
    </rPh>
    <rPh sb="82" eb="83">
      <t>ニン</t>
    </rPh>
    <rPh sb="83" eb="84">
      <t>ジ</t>
    </rPh>
    <rPh sb="85" eb="89">
      <t>カイギジカン</t>
    </rPh>
    <rPh sb="91" eb="92">
      <t>フン</t>
    </rPh>
    <rPh sb="100" eb="101">
      <t>オサエラレタ</t>
    </rPh>
    <phoneticPr fontId="2"/>
  </si>
  <si>
    <t>復元可能性を残した実装も同時に行う為</t>
    <rPh sb="0" eb="2">
      <t>フクゲン</t>
    </rPh>
    <rPh sb="2" eb="5">
      <t>カノウセイニ</t>
    </rPh>
    <rPh sb="6" eb="7">
      <t>ノコシテオキタカッタタメ</t>
    </rPh>
    <rPh sb="9" eb="11">
      <t>ジッソウ</t>
    </rPh>
    <rPh sb="12" eb="14">
      <t>ドウジニ</t>
    </rPh>
    <rPh sb="15" eb="16">
      <t>オコナウタメ</t>
    </rPh>
    <rPh sb="17" eb="18">
      <t>タメ</t>
    </rPh>
    <phoneticPr fontId="2"/>
  </si>
  <si>
    <t>起用したプラットフォームであるMonaca上で思い通りに動作しなかったことが多くの追加タスクを生んだ。プラットフォームの変更にあたっては、PBL3で実装する機能も視野に入れてプラットフォームを明確に絞ることが必要だと考えられる。また、アジャイル開発の特製上システムテスト時に生じる追加タスクをなくすことは難しいが、一つのタスクとしてスケジューリングを行えると好ましいと考える。</t>
    <rPh sb="0" eb="2">
      <t>キヨウシタ</t>
    </rPh>
    <rPh sb="21" eb="22">
      <t>ジョウ</t>
    </rPh>
    <rPh sb="23" eb="24">
      <t>オモイドオリニ</t>
    </rPh>
    <rPh sb="28" eb="30">
      <t>ドウサシナカッタ</t>
    </rPh>
    <rPh sb="38" eb="39">
      <t>オオクノ</t>
    </rPh>
    <rPh sb="41" eb="43">
      <t>ツイカタスク</t>
    </rPh>
    <rPh sb="47" eb="48">
      <t>ウンダ</t>
    </rPh>
    <rPh sb="60" eb="62">
      <t>ヘンコウニアタッテハ</t>
    </rPh>
    <rPh sb="74" eb="76">
      <t>ジッソウスル</t>
    </rPh>
    <rPh sb="78" eb="80">
      <t>キノウ</t>
    </rPh>
    <rPh sb="81" eb="83">
      <t>シヤニイレテ</t>
    </rPh>
    <rPh sb="96" eb="98">
      <t>メイカクニ</t>
    </rPh>
    <rPh sb="99" eb="100">
      <t>シボッテ</t>
    </rPh>
    <rPh sb="104" eb="106">
      <t>ヒツヨウダト</t>
    </rPh>
    <rPh sb="108" eb="109">
      <t>カンガエラレル</t>
    </rPh>
    <rPh sb="125" eb="127">
      <t>トクセイジョ</t>
    </rPh>
    <rPh sb="127" eb="128">
      <t>ジョウ</t>
    </rPh>
    <rPh sb="135" eb="136">
      <t>ジノ</t>
    </rPh>
    <rPh sb="140" eb="142">
      <t>ツイカタスクニ</t>
    </rPh>
    <rPh sb="152" eb="153">
      <t>ムズカシイガ</t>
    </rPh>
    <rPh sb="157" eb="158">
      <t>ヒトツノ</t>
    </rPh>
    <rPh sb="175" eb="176">
      <t>オコナエルト</t>
    </rPh>
    <rPh sb="179" eb="180">
      <t>コノマシイ</t>
    </rPh>
    <rPh sb="184" eb="185">
      <t>カンガエル</t>
    </rPh>
    <phoneticPr fontId="2"/>
  </si>
  <si>
    <t>積雪による臨時休講</t>
    <rPh sb="0" eb="2">
      <t>セキセツニ</t>
    </rPh>
    <rPh sb="5" eb="7">
      <t>リンジ</t>
    </rPh>
    <rPh sb="7" eb="9">
      <t>キュウコウ</t>
    </rPh>
    <phoneticPr fontId="2"/>
  </si>
  <si>
    <t>PV(人時)</t>
    <rPh sb="3" eb="4">
      <t>ヒト</t>
    </rPh>
    <rPh sb="4" eb="5">
      <t>ジ</t>
    </rPh>
    <phoneticPr fontId="2"/>
  </si>
  <si>
    <t>EV(人時)</t>
    <phoneticPr fontId="2"/>
  </si>
  <si>
    <t>合計</t>
    <rPh sb="0" eb="2">
      <t>ゴウケイ</t>
    </rPh>
    <phoneticPr fontId="2"/>
  </si>
  <si>
    <t>CV</t>
  </si>
  <si>
    <t>初期見積もり</t>
    <rPh sb="0" eb="2">
      <t>ショキ</t>
    </rPh>
    <rPh sb="2" eb="4">
      <t>ミツモリ</t>
    </rPh>
    <phoneticPr fontId="2"/>
  </si>
  <si>
    <t>追加見積もり</t>
    <rPh sb="0" eb="2">
      <t>ツイカ</t>
    </rPh>
    <rPh sb="2" eb="4">
      <t>ミツモリ</t>
    </rPh>
    <phoneticPr fontId="2"/>
  </si>
  <si>
    <t>初期＋追加</t>
    <rPh sb="0" eb="2">
      <t>ショキ</t>
    </rPh>
    <rPh sb="3" eb="5">
      <t>ツイカ</t>
    </rPh>
    <phoneticPr fontId="2"/>
  </si>
  <si>
    <t>PV(人時)</t>
    <phoneticPr fontId="2"/>
  </si>
  <si>
    <t>EV(人時)</t>
    <phoneticPr fontId="2"/>
  </si>
  <si>
    <t>PV(人時）</t>
    <rPh sb="3" eb="5">
      <t>ヒトジ</t>
    </rPh>
    <phoneticPr fontId="2"/>
  </si>
  <si>
    <t>EV(人時)</t>
    <phoneticPr fontId="2"/>
  </si>
  <si>
    <t>SV</t>
    <phoneticPr fontId="2"/>
  </si>
  <si>
    <t>講義あたりAC(人時）</t>
    <rPh sb="0" eb="2">
      <t>コウギ</t>
    </rPh>
    <rPh sb="8" eb="10">
      <t>ニンジ</t>
    </rPh>
    <phoneticPr fontId="2"/>
  </si>
  <si>
    <t>欠員コストを加味した講義あたりAC(人時）</t>
    <phoneticPr fontId="2"/>
  </si>
  <si>
    <t>欠員コストを加味したCV</t>
    <phoneticPr fontId="2"/>
  </si>
  <si>
    <t>CPI</t>
    <phoneticPr fontId="2"/>
  </si>
  <si>
    <t>欠員コストを加味したCPI</t>
    <phoneticPr fontId="2"/>
  </si>
  <si>
    <t>SPI</t>
    <phoneticPr fontId="2"/>
  </si>
  <si>
    <t>参考：http://www.atmarkit.co.jp/ait/articles/0803/31/news124_2.html</t>
    <rPh sb="0" eb="2">
      <t>サンコウ</t>
    </rPh>
    <phoneticPr fontId="2"/>
  </si>
  <si>
    <t>Development
Sprint
3</t>
    <phoneticPr fontId="2"/>
  </si>
  <si>
    <t>講義時間外</t>
    <rPh sb="0" eb="5">
      <t>コウギジカンガイ</t>
    </rPh>
    <phoneticPr fontId="2"/>
  </si>
  <si>
    <t>合計（講義時間外抜き）</t>
    <rPh sb="0" eb="2">
      <t>ゴウケイ</t>
    </rPh>
    <rPh sb="3" eb="8">
      <t>コウギジカンガイ</t>
    </rPh>
    <rPh sb="8" eb="9">
      <t>ヌキ</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</si>
</sst>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
  </numFmts>
  <fonts count="7" x14ac:knownFonts="1">
    <font>
      <sz val="12"/>
      <color theme="1"/>
      <name val="Yu Gothic"/>
      <family val="2"/>
      <charset val="128"/>
      <scheme val="minor"/>
    </font>
    <font>
      <sz val="12"/>
      <color theme="1"/>
      <name val="Yu Gothic"/>
      <family val="2"/>
      <charset val="128"/>
      <scheme val="minor"/>
    </font>
    <font>
      <sz val="6"/>
      <name val="Yu Gothic"/>
      <family val="2"/>
      <charset val="128"/>
      <scheme val="minor"/>
    </font>
    <font>
      <u/>
      <sz val="12"/>
      <color theme="10"/>
      <name val="Yu Gothic"/>
      <family val="2"/>
      <charset val="128"/>
      <scheme val="minor"/>
    </font>
    <font>
      <u/>
      <sz val="12"/>
      <color theme="11"/>
      <name val="Yu Gothic"/>
      <family val="2"/>
      <charset val="128"/>
      <scheme val="minor"/>
    </font>
    <font>
      <sz val="12"/>
      <color rgb="FF000000"/>
      <name val="Yu Gothic"/>
      <family val="2"/>
      <charset val="128"/>
      <scheme val="minor"/>
    </font>
    <font>
      <sz val="12"/>
      <color theme="1"/>
      <name val="Yu Gothic"/>
      <family val="2"/>
      <charset val="128"/>
    </font>
  </fonts>
  <fills count="3">
    <fill>
      <patternFill patternType="none"/>
    </fill>
    <fill>
      <patternFill patternType="gray125"/>
    </fill>
    <fill>
      <patternFill patternType="solid">
        <fgColor rgb="FFFDF0E7"/>
        <bgColor indexed="64"/>
      </patternFill>
    </fill>
  </fills>
  <borders count="4">
    <border>
      <left/>
      <right/>
      <top/>
      <bottom/>
      <diagonal/>
    </border>
    <border diagonalDown="1">
      <left/>
      <right/>
      <top/>
      <bottom/>
      <diagonal style="thin">
        <color auto="1"/>
      </diagonal>
    </border>
    <border>
      <left style="thin">
        <color auto="1"/>
      </left>
      <right style="thin">
        <color auto="1"/>
      </right>
      <top style="thin">
        <color auto="1"/>
      </top>
      <bottom style="thin">
        <color auto="1"/>
      </bottom>
      <diagonal/>
    </border>
    <border diagonalDown="1">
      <left style="thin">
        <color auto="1"/>
      </left>
      <right style="thin">
        <color auto="1"/>
      </right>
      <top style="thin">
        <color auto="1"/>
      </top>
      <bottom style="thin">
        <color auto="1"/>
      </bottom>
      <diagonal style="thin">
        <color auto="1"/>
      </diagonal>
    </border>
  </borders>
  <cellStyleXfs count="22">
    <xf numFmtId="0" fontId="0" fillId="0" borderId="0"/>
    <xf numFmtId="9" fontId="1" fillId="0" borderId="0" applyFon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1">
    <xf numFmtId="0" fontId="0" fillId="0" borderId="0" xfId="0"/>
    <xf numFmtId="0" fontId="5" fillId="0" borderId="0" xfId="0" applyFont="1"/>
    <xf numFmtId="9" fontId="0" fillId="0" borderId="0" xfId="1" applyFont="1"/>
    <xf numFmtId="14" fontId="0" fillId="0" borderId="0" xfId="0" applyNumberFormat="1"/>
    <xf numFmtId="0" fontId="0" fillId="0" borderId="0" xfId="1" applyNumberFormat="1" applyFont="1"/>
    <xf numFmtId="0" fontId="6" fillId="0" borderId="0" xfId="0" applyFont="1"/>
    <xf numFmtId="176" fontId="0" fillId="0" borderId="0" xfId="1" applyNumberFormat="1" applyFont="1"/>
    <xf numFmtId="176" fontId="6" fillId="0" borderId="0" xfId="0" applyNumberFormat="1" applyFont="1"/>
    <xf numFmtId="176" fontId="0" fillId="0" borderId="0" xfId="0" applyNumberFormat="1"/>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center"/>
    </xf>
    <xf numFmtId="0" fontId="0" fillId="0" borderId="1" xfId="0" applyBorder="1" applyAlignment="1">
      <alignment vertical="center"/>
    </xf>
    <xf numFmtId="0" fontId="0" fillId="0" borderId="1" xfId="0" applyBorder="1"/>
    <xf numFmtId="0" fontId="0" fillId="0" borderId="0" xfId="0" applyAlignment="1">
      <alignment wrapText="1"/>
    </xf>
    <xf numFmtId="0" fontId="0" fillId="0" borderId="0" xfId="0" applyAlignment="1">
      <alignment horizontal="left" vertical="center"/>
    </xf>
    <xf numFmtId="0" fontId="0" fillId="0" borderId="0" xfId="0" applyBorder="1" applyAlignment="1">
      <alignment vertical="center"/>
    </xf>
    <xf numFmtId="0" fontId="0" fillId="0" borderId="0" xfId="0" applyNumberFormat="1"/>
    <xf numFmtId="14" fontId="0" fillId="0" borderId="0" xfId="0" applyNumberFormat="1" applyAlignment="1">
      <alignment horizontal="center"/>
    </xf>
    <xf numFmtId="0" fontId="0" fillId="0" borderId="0" xfId="0" applyAlignment="1">
      <alignment horizontal="left" vertical="top"/>
    </xf>
    <xf numFmtId="0" fontId="0" fillId="0" borderId="2" xfId="0" applyBorder="1"/>
    <xf numFmtId="0" fontId="0" fillId="0" borderId="2" xfId="0" applyBorder="1" applyAlignment="1">
      <alignment vertical="center"/>
    </xf>
    <xf numFmtId="14" fontId="0" fillId="0" borderId="2" xfId="0" applyNumberFormat="1" applyBorder="1"/>
    <xf numFmtId="14" fontId="0" fillId="2" borderId="2" xfId="0" applyNumberFormat="1" applyFill="1" applyBorder="1"/>
    <xf numFmtId="0" fontId="0" fillId="0" borderId="3" xfId="0" applyBorder="1" applyAlignment="1">
      <alignment vertical="center"/>
    </xf>
    <xf numFmtId="0" fontId="0" fillId="0" borderId="2" xfId="0" applyNumberFormat="1" applyBorder="1"/>
    <xf numFmtId="14" fontId="0" fillId="2" borderId="3" xfId="0" applyNumberFormat="1" applyFill="1" applyBorder="1"/>
    <xf numFmtId="0" fontId="0" fillId="2" borderId="2" xfId="0" applyFill="1" applyBorder="1"/>
    <xf numFmtId="9" fontId="0" fillId="0" borderId="2" xfId="1" applyFont="1" applyBorder="1"/>
    <xf numFmtId="0" fontId="6" fillId="0" borderId="2" xfId="0" applyNumberFormat="1" applyFont="1" applyBorder="1"/>
    <xf numFmtId="0" fontId="0" fillId="2" borderId="2" xfId="0" applyNumberFormat="1" applyFill="1" applyBorder="1"/>
    <xf numFmtId="0" fontId="6" fillId="0" borderId="2" xfId="0" applyFont="1" applyBorder="1"/>
    <xf numFmtId="9" fontId="0" fillId="0" borderId="3" xfId="1" applyFont="1" applyBorder="1"/>
    <xf numFmtId="0" fontId="0" fillId="2" borderId="3" xfId="0" applyFill="1" applyBorder="1"/>
    <xf numFmtId="0" fontId="0" fillId="0" borderId="3" xfId="0" applyBorder="1"/>
    <xf numFmtId="0" fontId="0" fillId="0" borderId="2" xfId="0" applyBorder="1" applyAlignment="1">
      <alignment vertical="center" wrapText="1"/>
    </xf>
    <xf numFmtId="9" fontId="0" fillId="2" borderId="3" xfId="1" applyFont="1" applyFill="1" applyBorder="1"/>
    <xf numFmtId="0" fontId="0" fillId="0" borderId="2" xfId="1" applyNumberFormat="1" applyFont="1" applyBorder="1"/>
    <xf numFmtId="176" fontId="0" fillId="0" borderId="2" xfId="1" applyNumberFormat="1" applyFont="1" applyBorder="1"/>
    <xf numFmtId="176" fontId="0" fillId="2" borderId="3" xfId="1" applyNumberFormat="1" applyFont="1" applyFill="1" applyBorder="1"/>
    <xf numFmtId="0" fontId="0" fillId="0" borderId="2" xfId="0" applyBorder="1" applyAlignment="1">
      <alignment wrapText="1"/>
    </xf>
    <xf numFmtId="0" fontId="0" fillId="2" borderId="2" xfId="0" applyFill="1" applyBorder="1" applyAlignment="1">
      <alignment wrapText="1"/>
    </xf>
    <xf numFmtId="176" fontId="6" fillId="0" borderId="2" xfId="0" applyNumberFormat="1" applyFont="1" applyBorder="1"/>
    <xf numFmtId="176" fontId="0" fillId="0" borderId="2" xfId="0" applyNumberFormat="1" applyBorder="1"/>
    <xf numFmtId="0" fontId="0" fillId="0" borderId="2" xfId="0" applyNumberFormat="1" applyBorder="1" applyAlignment="1">
      <alignment horizontal="right"/>
    </xf>
    <xf numFmtId="0" fontId="0" fillId="0" borderId="2" xfId="0" applyNumberFormat="1" applyBorder="1" applyAlignment="1">
      <alignment vertical="center"/>
    </xf>
    <xf numFmtId="0" fontId="5" fillId="0" borderId="2" xfId="0" applyFont="1" applyBorder="1"/>
    <xf numFmtId="0" fontId="0" fillId="0" borderId="2" xfId="0" applyBorder="1" applyAlignment="1">
      <alignment horizontal="left" vertical="center"/>
    </xf>
    <xf numFmtId="0" fontId="5" fillId="0" borderId="1" xfId="0" applyFont="1" applyBorder="1" applyAlignment="1">
      <alignment horizontal="center"/>
    </xf>
    <xf numFmtId="0" fontId="0" fillId="0" borderId="0" xfId="0"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0" fillId="0" borderId="3" xfId="0" applyBorder="1" applyAlignment="1">
      <alignment horizontal="center"/>
    </xf>
    <xf numFmtId="0" fontId="0" fillId="0" borderId="2" xfId="0" applyBorder="1" applyAlignment="1">
      <alignment horizontal="center" vertical="center" wrapText="1"/>
    </xf>
    <xf numFmtId="0" fontId="0" fillId="0" borderId="2" xfId="0" applyBorder="1" applyAlignment="1">
      <alignment horizontal="center"/>
    </xf>
    <xf numFmtId="0" fontId="5" fillId="0" borderId="3" xfId="0" applyFont="1" applyBorder="1" applyAlignment="1">
      <alignment horizontal="center"/>
    </xf>
    <xf numFmtId="14" fontId="0" fillId="0" borderId="0" xfId="0" applyNumberFormat="1" applyAlignment="1">
      <alignment horizontal="center" vertical="center" wrapText="1"/>
    </xf>
    <xf numFmtId="0" fontId="0" fillId="0" borderId="0" xfId="0" applyAlignment="1">
      <alignment horizontal="left" vertical="center" wrapText="1"/>
    </xf>
    <xf numFmtId="14" fontId="0" fillId="0" borderId="0" xfId="0" applyNumberFormat="1" applyAlignment="1">
      <alignment horizontal="center" vertical="center"/>
    </xf>
    <xf numFmtId="0" fontId="0" fillId="0" borderId="0" xfId="0" applyAlignment="1">
      <alignment horizontal="center" wrapText="1"/>
    </xf>
    <xf numFmtId="0" fontId="0" fillId="0" borderId="0" xfId="0" applyAlignment="1">
      <alignment horizontal="left" vertical="top" wrapText="1"/>
    </xf>
  </cellXfs>
  <cellStyles count="22">
    <cellStyle name="パーセント" xfId="1" builtinId="5"/>
    <cellStyle name="ハイパーリンク" xfId="2" builtinId="8" hidden="1"/>
    <cellStyle name="ハイパーリンク" xfId="4" builtinId="8" hidden="1"/>
    <cellStyle name="ハイパーリンク" xfId="6" builtinId="8" hidden="1"/>
    <cellStyle name="ハイパーリンク" xfId="8" builtinId="8" hidden="1"/>
    <cellStyle name="ハイパーリンク" xfId="10" builtinId="8" hidden="1"/>
    <cellStyle name="ハイパーリンク" xfId="12" builtinId="8" hidden="1"/>
    <cellStyle name="ハイパーリンク" xfId="14" builtinId="8" hidden="1"/>
    <cellStyle name="ハイパーリンク" xfId="16" builtinId="8" hidden="1"/>
    <cellStyle name="ハイパーリンク" xfId="18" builtinId="8" hidden="1"/>
    <cellStyle name="ハイパーリンク" xfId="20" builtinId="8" hidden="1"/>
    <cellStyle name="標準" xfId="0" builtinId="0"/>
    <cellStyle name="表示済みのハイパーリンク" xfId="3" builtinId="9" hidden="1"/>
    <cellStyle name="表示済みのハイパーリンク" xfId="5" builtinId="9" hidden="1"/>
    <cellStyle name="表示済みのハイパーリンク" xfId="7" builtinId="9" hidden="1"/>
    <cellStyle name="表示済みのハイパーリンク" xfId="9" builtinId="9" hidden="1"/>
    <cellStyle name="表示済みのハイパーリンク" xfId="11" builtinId="9" hidden="1"/>
    <cellStyle name="表示済みのハイパーリンク" xfId="13" builtinId="9" hidden="1"/>
    <cellStyle name="表示済みのハイパーリンク" xfId="15" builtinId="9" hidden="1"/>
    <cellStyle name="表示済みのハイパーリンク" xfId="17" builtinId="9" hidden="1"/>
    <cellStyle name="表示済みのハイパーリンク" xfId="19" builtinId="9" hidden="1"/>
    <cellStyle name="表示済みのハイパーリンク" xfId="21" builtinId="9" hidden="1"/>
  </cellStyles>
  <dxfs count="0"/>
  <tableStyles count="0" defaultTableStyle="TableStyleMedium9" defaultPivotStyle="PivotStyleMedium7"/>
  <colors>
    <mruColors>
      <color rgb="FFFDF0E7"/>
      <color rgb="FFF3F1D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8"/>
  <sheetViews>
    <sheetView topLeftCell="F1" workbookViewId="0">
      <pane ySplit="2" topLeftCell="A3" activePane="bottomLeft" state="frozen"/>
      <selection pane="bottomLeft" activeCell="F4" sqref="F4:I4"/>
    </sheetView>
  </sheetViews>
  <sheetFormatPr baseColWidth="12" defaultRowHeight="20" x14ac:dyDescent="0.3"/>
  <cols>
    <col min="2" max="2" width="43.140625" bestFit="1" customWidth="1"/>
    <col min="3" max="3" width="10.42578125" customWidth="1"/>
    <col min="4" max="4" width="11.5703125" customWidth="1"/>
    <col min="5" max="5" width="25.28515625" bestFit="1" customWidth="1"/>
    <col min="8" max="8" width="13.85546875" customWidth="1"/>
    <col min="9" max="9" width="15.28515625" customWidth="1"/>
    <col min="10" max="10" width="14.85546875" customWidth="1"/>
    <col min="11" max="12" width="21.85546875" bestFit="1" customWidth="1"/>
    <col min="13" max="13" width="61.28515625" bestFit="1" customWidth="1"/>
  </cols>
  <sheetData>
    <row r="1" spans="2:13" x14ac:dyDescent="0.3">
      <c r="B1" s="1" t="s">
        <v>29</v>
      </c>
      <c r="C1" s="1"/>
      <c r="D1" s="1"/>
    </row>
    <row r="2" spans="2:13" x14ac:dyDescent="0.3">
      <c r="B2" s="1">
        <f>B13-B10-B7-B5</f>
        <v>57.5</v>
      </c>
      <c r="C2" s="1"/>
      <c r="D2" s="48"/>
      <c r="E2" s="48"/>
      <c r="F2" t="s">
        <v>11</v>
      </c>
      <c r="G2" t="s">
        <v>0</v>
      </c>
      <c r="H2" t="s">
        <v>1</v>
      </c>
      <c r="I2" t="s">
        <v>2</v>
      </c>
      <c r="J2" s="11" t="s">
        <v>9</v>
      </c>
      <c r="K2" s="11" t="s">
        <v>34</v>
      </c>
      <c r="L2" s="11" t="s">
        <v>15</v>
      </c>
      <c r="M2" s="11" t="s">
        <v>24</v>
      </c>
    </row>
    <row r="3" spans="2:13" ht="20" customHeight="1" x14ac:dyDescent="0.3">
      <c r="B3" t="s">
        <v>20</v>
      </c>
      <c r="D3" s="49" t="s">
        <v>69</v>
      </c>
      <c r="E3" t="s">
        <v>12</v>
      </c>
      <c r="F3" s="3">
        <v>42375</v>
      </c>
      <c r="G3" s="3">
        <v>42381</v>
      </c>
      <c r="H3" s="3">
        <v>42387</v>
      </c>
      <c r="I3" s="3">
        <v>42388</v>
      </c>
      <c r="J3" s="12"/>
      <c r="K3" s="12"/>
      <c r="L3" s="12"/>
      <c r="M3" s="12"/>
    </row>
    <row r="4" spans="2:13" x14ac:dyDescent="0.3">
      <c r="D4" s="49"/>
      <c r="E4" t="s">
        <v>32</v>
      </c>
      <c r="F4" s="17">
        <v>17.5</v>
      </c>
      <c r="G4" s="17">
        <v>12.5</v>
      </c>
      <c r="H4" s="17">
        <v>20</v>
      </c>
      <c r="I4" s="17">
        <v>7.5</v>
      </c>
      <c r="J4" s="16">
        <f>SUM(F4:I4)</f>
        <v>57.5</v>
      </c>
      <c r="K4" s="13"/>
      <c r="L4" s="12"/>
      <c r="M4" s="12"/>
    </row>
    <row r="5" spans="2:13" x14ac:dyDescent="0.3">
      <c r="B5">
        <v>10</v>
      </c>
      <c r="D5" s="49"/>
      <c r="E5" t="s">
        <v>3</v>
      </c>
      <c r="F5">
        <f>J5*(3/10)</f>
        <v>9.6</v>
      </c>
      <c r="G5">
        <f>J5*(1/5)</f>
        <v>6.4</v>
      </c>
      <c r="H5">
        <f>J5*(3/10)</f>
        <v>9.6</v>
      </c>
      <c r="I5">
        <f>J5*(1/5)</f>
        <v>6.4</v>
      </c>
      <c r="J5">
        <v>32</v>
      </c>
      <c r="K5" s="2">
        <f>J5/B2</f>
        <v>0.55652173913043479</v>
      </c>
      <c r="L5" s="2">
        <f>J5/(B2-J16)</f>
        <v>0.69565217391304346</v>
      </c>
      <c r="M5" t="s">
        <v>26</v>
      </c>
    </row>
    <row r="6" spans="2:13" x14ac:dyDescent="0.3">
      <c r="B6" t="s">
        <v>21</v>
      </c>
      <c r="D6" s="49"/>
      <c r="E6" t="s">
        <v>4</v>
      </c>
      <c r="F6">
        <f>11.5</f>
        <v>11.5</v>
      </c>
      <c r="G6">
        <v>7.5</v>
      </c>
      <c r="H6">
        <v>4</v>
      </c>
      <c r="I6">
        <v>9</v>
      </c>
      <c r="J6">
        <f>SUM(F6:I6)</f>
        <v>32</v>
      </c>
      <c r="K6" s="2">
        <f>J6/B2</f>
        <v>0.55652173913043479</v>
      </c>
      <c r="L6" s="2">
        <f>J6/(B2-J16)</f>
        <v>0.69565217391304346</v>
      </c>
    </row>
    <row r="7" spans="2:13" x14ac:dyDescent="0.3">
      <c r="B7">
        <v>5</v>
      </c>
      <c r="D7" s="49"/>
      <c r="E7" t="s">
        <v>8</v>
      </c>
      <c r="F7">
        <f>F17/4</f>
        <v>0</v>
      </c>
      <c r="G7" s="7">
        <f>F7+G17/3</f>
        <v>5.333333333333333</v>
      </c>
      <c r="H7" s="8">
        <f>G7+H17/2</f>
        <v>5.333333333333333</v>
      </c>
      <c r="I7" s="8">
        <f>H7+I17</f>
        <v>11.333333333333332</v>
      </c>
      <c r="J7">
        <f>SUM(F7:I7)</f>
        <v>22</v>
      </c>
      <c r="K7" s="2">
        <f>(J5+J7)/B2</f>
        <v>0.93913043478260871</v>
      </c>
      <c r="L7" s="2">
        <f>(J5+J7)/(B2-J16)</f>
        <v>1.173913043478261</v>
      </c>
      <c r="M7" t="s">
        <v>35</v>
      </c>
    </row>
    <row r="8" spans="2:13" x14ac:dyDescent="0.3">
      <c r="B8" t="s">
        <v>22</v>
      </c>
      <c r="D8" s="49"/>
      <c r="E8" t="s">
        <v>16</v>
      </c>
      <c r="F8">
        <v>0</v>
      </c>
      <c r="G8" s="5">
        <v>8</v>
      </c>
      <c r="H8">
        <v>4</v>
      </c>
      <c r="I8">
        <v>10</v>
      </c>
      <c r="J8">
        <f>SUM(F8:I8)</f>
        <v>22</v>
      </c>
      <c r="K8" s="2">
        <f>(J6+J8)/B2</f>
        <v>0.93913043478260871</v>
      </c>
      <c r="L8" s="2">
        <f>(J6+J8)/(B2-J16)</f>
        <v>1.173913043478261</v>
      </c>
      <c r="M8" t="s">
        <v>36</v>
      </c>
    </row>
    <row r="9" spans="2:13" x14ac:dyDescent="0.3">
      <c r="D9" s="49"/>
      <c r="E9" t="s">
        <v>33</v>
      </c>
      <c r="F9">
        <f>F6+F8</f>
        <v>11.5</v>
      </c>
      <c r="G9">
        <f t="shared" ref="G9:J9" si="0">G6+G8</f>
        <v>15.5</v>
      </c>
      <c r="H9">
        <f t="shared" si="0"/>
        <v>8</v>
      </c>
      <c r="I9">
        <f t="shared" si="0"/>
        <v>19</v>
      </c>
      <c r="J9">
        <f t="shared" si="0"/>
        <v>54</v>
      </c>
      <c r="K9" s="2"/>
      <c r="L9" s="2"/>
    </row>
    <row r="10" spans="2:13" x14ac:dyDescent="0.3">
      <c r="B10">
        <v>2.5</v>
      </c>
      <c r="D10" s="49"/>
      <c r="E10" t="s">
        <v>5</v>
      </c>
      <c r="F10">
        <f>J5-F6</f>
        <v>20.5</v>
      </c>
      <c r="G10">
        <f>F10-G6</f>
        <v>13</v>
      </c>
      <c r="H10">
        <f>G10-H6</f>
        <v>9</v>
      </c>
      <c r="I10">
        <f>H10-I6</f>
        <v>0</v>
      </c>
      <c r="J10">
        <f>I10</f>
        <v>0</v>
      </c>
      <c r="K10" t="s">
        <v>10</v>
      </c>
      <c r="L10" t="s">
        <v>10</v>
      </c>
      <c r="M10" s="10"/>
    </row>
    <row r="11" spans="2:13" x14ac:dyDescent="0.3">
      <c r="D11" s="49"/>
      <c r="E11" t="s">
        <v>17</v>
      </c>
      <c r="F11">
        <f>F10+F17-F8</f>
        <v>20.5</v>
      </c>
      <c r="G11">
        <f>F11+G17-G6-G8</f>
        <v>21</v>
      </c>
      <c r="H11">
        <f>G11+H17-H6-H8</f>
        <v>13</v>
      </c>
      <c r="I11">
        <f>H11+I17-I6-I8</f>
        <v>0</v>
      </c>
      <c r="J11">
        <f>I11</f>
        <v>0</v>
      </c>
      <c r="K11" t="s">
        <v>10</v>
      </c>
      <c r="L11" t="s">
        <v>10</v>
      </c>
      <c r="M11" s="11"/>
    </row>
    <row r="12" spans="2:13" x14ac:dyDescent="0.3">
      <c r="B12" t="s">
        <v>23</v>
      </c>
      <c r="D12" s="49"/>
      <c r="E12" t="s">
        <v>7</v>
      </c>
      <c r="F12">
        <f>F5-F6</f>
        <v>-1.9000000000000004</v>
      </c>
      <c r="G12">
        <f t="shared" ref="G12:J12" si="1">G5-G6</f>
        <v>-1.0999999999999996</v>
      </c>
      <c r="H12">
        <f t="shared" si="1"/>
        <v>5.6</v>
      </c>
      <c r="I12">
        <f t="shared" si="1"/>
        <v>-2.5999999999999996</v>
      </c>
      <c r="J12">
        <f t="shared" si="1"/>
        <v>0</v>
      </c>
      <c r="K12" t="s">
        <v>10</v>
      </c>
      <c r="L12" t="s">
        <v>10</v>
      </c>
    </row>
    <row r="13" spans="2:13" x14ac:dyDescent="0.3">
      <c r="B13">
        <v>75</v>
      </c>
      <c r="D13" s="49"/>
      <c r="E13" t="s">
        <v>6</v>
      </c>
      <c r="F13" s="2">
        <f>1-F6/F5</f>
        <v>-0.19791666666666674</v>
      </c>
      <c r="G13" s="2">
        <f t="shared" ref="G13:J13" si="2">1-G6/G5</f>
        <v>-0.171875</v>
      </c>
      <c r="H13" s="2">
        <f t="shared" si="2"/>
        <v>0.58333333333333326</v>
      </c>
      <c r="I13" s="2">
        <f t="shared" si="2"/>
        <v>-0.40625</v>
      </c>
      <c r="J13" s="2">
        <f t="shared" si="2"/>
        <v>0</v>
      </c>
      <c r="K13" t="s">
        <v>10</v>
      </c>
      <c r="L13" t="s">
        <v>10</v>
      </c>
    </row>
    <row r="14" spans="2:13" x14ac:dyDescent="0.3">
      <c r="D14" s="49"/>
      <c r="E14" t="s">
        <v>18</v>
      </c>
      <c r="F14" s="4">
        <f>(F5+F7)-(F6+F8)</f>
        <v>-1.9000000000000004</v>
      </c>
      <c r="G14" s="6">
        <f>(G5+G7)-(G6+G8)</f>
        <v>-3.7666666666666657</v>
      </c>
      <c r="H14" s="6">
        <f t="shared" ref="H14:J14" si="3">(H5+H7)-(H6+H8)</f>
        <v>6.9333333333333336</v>
      </c>
      <c r="I14" s="6">
        <f t="shared" si="3"/>
        <v>-1.2666666666666657</v>
      </c>
      <c r="J14" s="4">
        <f t="shared" si="3"/>
        <v>0</v>
      </c>
      <c r="K14" t="s">
        <v>10</v>
      </c>
      <c r="L14" t="s">
        <v>10</v>
      </c>
    </row>
    <row r="15" spans="2:13" x14ac:dyDescent="0.3">
      <c r="D15" s="49"/>
      <c r="E15" t="s">
        <v>19</v>
      </c>
      <c r="F15" s="2">
        <f>1-(F6+F8)/(F5+F7)</f>
        <v>-0.19791666666666674</v>
      </c>
      <c r="G15" s="2">
        <f t="shared" ref="G15:J15" si="4">1-(G6+G8)/(G5+G7)</f>
        <v>-0.32102272727272707</v>
      </c>
      <c r="H15" s="2">
        <f t="shared" si="4"/>
        <v>0.4642857142857143</v>
      </c>
      <c r="I15" s="2">
        <f t="shared" si="4"/>
        <v>-7.1428571428571397E-2</v>
      </c>
      <c r="J15" s="2">
        <f t="shared" si="4"/>
        <v>0</v>
      </c>
      <c r="K15" t="s">
        <v>10</v>
      </c>
      <c r="L15" t="s">
        <v>10</v>
      </c>
    </row>
    <row r="16" spans="2:13" x14ac:dyDescent="0.3">
      <c r="D16" s="49"/>
      <c r="E16" t="s">
        <v>13</v>
      </c>
      <c r="F16" s="4">
        <v>0</v>
      </c>
      <c r="G16">
        <v>4.5</v>
      </c>
      <c r="H16">
        <f>4</f>
        <v>4</v>
      </c>
      <c r="I16">
        <f>3</f>
        <v>3</v>
      </c>
      <c r="J16">
        <f>SUM(F16:I16)</f>
        <v>11.5</v>
      </c>
      <c r="K16" t="s">
        <v>10</v>
      </c>
      <c r="L16" t="s">
        <v>10</v>
      </c>
    </row>
    <row r="17" spans="4:12" x14ac:dyDescent="0.3">
      <c r="D17" s="49"/>
      <c r="E17" t="s">
        <v>14</v>
      </c>
      <c r="F17">
        <v>0</v>
      </c>
      <c r="G17">
        <v>16</v>
      </c>
      <c r="H17">
        <v>0</v>
      </c>
      <c r="I17">
        <v>6</v>
      </c>
      <c r="J17">
        <f>SUM(F17:I17)</f>
        <v>22</v>
      </c>
      <c r="K17" t="s">
        <v>10</v>
      </c>
      <c r="L17" t="s">
        <v>10</v>
      </c>
    </row>
    <row r="18" spans="4:12" ht="60" x14ac:dyDescent="0.3">
      <c r="D18" s="49"/>
      <c r="E18" s="15" t="s">
        <v>24</v>
      </c>
      <c r="J18" s="14" t="s">
        <v>27</v>
      </c>
    </row>
  </sheetData>
  <mergeCells count="2">
    <mergeCell ref="D2:E2"/>
    <mergeCell ref="D3:D18"/>
  </mergeCells>
  <phoneticPr fontId="2"/>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workbookViewId="0">
      <pane xSplit="2" ySplit="1" topLeftCell="C2" activePane="bottomRight" state="frozen"/>
      <selection pane="topRight" activeCell="C1" sqref="C1"/>
      <selection pane="bottomLeft" activeCell="A2" sqref="A2"/>
      <selection pane="bottomRight" activeCell="G21" sqref="G21"/>
    </sheetView>
  </sheetViews>
  <sheetFormatPr baseColWidth="12" defaultRowHeight="20" x14ac:dyDescent="0.3"/>
  <cols>
    <col min="1" max="2" width="11.5703125" customWidth="1"/>
    <col min="3" max="3" width="35.140625" bestFit="1" customWidth="1"/>
    <col min="6" max="6" width="13.85546875" customWidth="1"/>
    <col min="7" max="7" width="15.28515625" customWidth="1"/>
    <col min="8" max="8" width="14.85546875" customWidth="1"/>
    <col min="11" max="11" width="18.85546875" bestFit="1" customWidth="1"/>
    <col min="13" max="13" width="18.85546875" bestFit="1" customWidth="1"/>
  </cols>
  <sheetData>
    <row r="1" spans="1:14" ht="20" customHeight="1" x14ac:dyDescent="0.3">
      <c r="A1" s="53" t="s">
        <v>69</v>
      </c>
      <c r="B1" s="52"/>
      <c r="C1" s="52"/>
      <c r="D1" s="22">
        <v>42375</v>
      </c>
      <c r="E1" s="22">
        <v>42381</v>
      </c>
      <c r="F1" s="22">
        <v>42387</v>
      </c>
      <c r="G1" s="22">
        <v>42388</v>
      </c>
      <c r="H1" s="20" t="s">
        <v>96</v>
      </c>
      <c r="I1" s="15"/>
      <c r="J1" s="15"/>
      <c r="K1" s="15"/>
    </row>
    <row r="2" spans="1:14" x14ac:dyDescent="0.3">
      <c r="A2" s="53"/>
      <c r="B2" s="53" t="s">
        <v>98</v>
      </c>
      <c r="C2" s="20" t="s">
        <v>94</v>
      </c>
      <c r="D2" s="20">
        <f>H2*(3/10)</f>
        <v>9.6</v>
      </c>
      <c r="E2" s="20">
        <f>H2*(1/5)</f>
        <v>6.4</v>
      </c>
      <c r="F2" s="20">
        <f>H2*(3/10)</f>
        <v>9.6</v>
      </c>
      <c r="G2" s="20">
        <f>H2*(1/5)</f>
        <v>6.4</v>
      </c>
      <c r="H2" s="20">
        <v>32</v>
      </c>
      <c r="I2" s="51"/>
      <c r="J2" s="51"/>
      <c r="K2" s="51"/>
      <c r="L2" s="50"/>
      <c r="M2" s="50"/>
      <c r="N2" s="50"/>
    </row>
    <row r="3" spans="1:14" x14ac:dyDescent="0.3">
      <c r="A3" s="53"/>
      <c r="B3" s="53"/>
      <c r="C3" s="20" t="s">
        <v>95</v>
      </c>
      <c r="D3" s="20">
        <f>11.5</f>
        <v>11.5</v>
      </c>
      <c r="E3" s="20">
        <v>7.5</v>
      </c>
      <c r="F3" s="20">
        <v>4</v>
      </c>
      <c r="G3" s="20">
        <v>9</v>
      </c>
      <c r="H3" s="20">
        <f>SUM(D3:G3)</f>
        <v>32</v>
      </c>
      <c r="I3" s="51"/>
      <c r="J3" s="51"/>
      <c r="K3" s="51"/>
      <c r="L3" s="50"/>
      <c r="M3" s="50"/>
      <c r="N3" s="50"/>
    </row>
    <row r="4" spans="1:14" x14ac:dyDescent="0.3">
      <c r="A4" s="53"/>
      <c r="B4" s="53" t="s">
        <v>99</v>
      </c>
      <c r="C4" s="20" t="s">
        <v>101</v>
      </c>
      <c r="D4" s="20">
        <v>0</v>
      </c>
      <c r="E4" s="42">
        <v>5.3</v>
      </c>
      <c r="F4" s="43">
        <v>5.3</v>
      </c>
      <c r="G4" s="43">
        <v>11.3</v>
      </c>
      <c r="H4" s="44">
        <v>22</v>
      </c>
      <c r="I4" s="51"/>
      <c r="J4" s="51"/>
      <c r="K4" s="51"/>
      <c r="L4" s="50"/>
      <c r="M4" s="50"/>
      <c r="N4" s="50"/>
    </row>
    <row r="5" spans="1:14" x14ac:dyDescent="0.3">
      <c r="A5" s="53"/>
      <c r="B5" s="53"/>
      <c r="C5" s="20" t="s">
        <v>102</v>
      </c>
      <c r="D5" s="20">
        <v>0</v>
      </c>
      <c r="E5" s="31">
        <v>8</v>
      </c>
      <c r="F5" s="20">
        <v>4</v>
      </c>
      <c r="G5" s="20">
        <v>10</v>
      </c>
      <c r="H5" s="20">
        <f>SUM(D5:G5)</f>
        <v>22</v>
      </c>
      <c r="I5" s="51"/>
      <c r="J5" s="51"/>
      <c r="K5" s="51"/>
      <c r="L5" s="50"/>
      <c r="M5" s="50"/>
      <c r="N5" s="50"/>
    </row>
    <row r="6" spans="1:14" x14ac:dyDescent="0.3">
      <c r="A6" s="53"/>
      <c r="B6" s="53" t="s">
        <v>100</v>
      </c>
      <c r="C6" s="20" t="s">
        <v>103</v>
      </c>
      <c r="D6" s="20">
        <f>D2+D4</f>
        <v>9.6</v>
      </c>
      <c r="E6" s="20">
        <f t="shared" ref="E6:H6" si="0">E2+E4</f>
        <v>11.7</v>
      </c>
      <c r="F6" s="20">
        <f t="shared" si="0"/>
        <v>14.899999999999999</v>
      </c>
      <c r="G6" s="20">
        <f t="shared" si="0"/>
        <v>17.700000000000003</v>
      </c>
      <c r="H6" s="20">
        <f t="shared" si="0"/>
        <v>54</v>
      </c>
      <c r="I6" s="51"/>
      <c r="J6" s="51"/>
      <c r="K6" s="51"/>
      <c r="L6" s="50"/>
      <c r="M6" s="50"/>
      <c r="N6" s="50"/>
    </row>
    <row r="7" spans="1:14" x14ac:dyDescent="0.3">
      <c r="A7" s="53"/>
      <c r="B7" s="53"/>
      <c r="C7" s="20" t="s">
        <v>104</v>
      </c>
      <c r="D7" s="20">
        <f>D3+D5</f>
        <v>11.5</v>
      </c>
      <c r="E7" s="20">
        <f>E3+E5</f>
        <v>15.5</v>
      </c>
      <c r="F7" s="20">
        <f>F3+F5</f>
        <v>8</v>
      </c>
      <c r="G7" s="20">
        <f>G3+G5</f>
        <v>19</v>
      </c>
      <c r="H7" s="20">
        <f>H3+H5</f>
        <v>54</v>
      </c>
      <c r="I7" s="51"/>
      <c r="J7" s="51"/>
      <c r="K7" s="51"/>
      <c r="L7" s="50"/>
      <c r="M7" s="50"/>
      <c r="N7" s="50"/>
    </row>
    <row r="8" spans="1:14" x14ac:dyDescent="0.3">
      <c r="A8" s="53"/>
      <c r="B8" s="54"/>
      <c r="C8" s="20" t="s">
        <v>106</v>
      </c>
      <c r="D8" s="25">
        <v>17.5</v>
      </c>
      <c r="E8" s="25">
        <v>12.5</v>
      </c>
      <c r="F8" s="25">
        <v>20</v>
      </c>
      <c r="G8" s="25">
        <v>7.5</v>
      </c>
      <c r="H8" s="45">
        <f>SUM(D8:G8)</f>
        <v>57.5</v>
      </c>
    </row>
    <row r="9" spans="1:14" x14ac:dyDescent="0.3">
      <c r="A9" s="53"/>
      <c r="B9" s="54"/>
      <c r="C9" s="20" t="s">
        <v>107</v>
      </c>
      <c r="D9" s="25">
        <v>17.5</v>
      </c>
      <c r="E9" s="25">
        <f>E8-4.5</f>
        <v>8</v>
      </c>
      <c r="F9" s="25">
        <f>F8-4</f>
        <v>16</v>
      </c>
      <c r="G9" s="25">
        <f>G8-3</f>
        <v>4.5</v>
      </c>
      <c r="H9" s="45">
        <f>SUM(D9:G9)</f>
        <v>46</v>
      </c>
    </row>
    <row r="10" spans="1:14" x14ac:dyDescent="0.3">
      <c r="A10" s="53"/>
      <c r="B10" s="54"/>
      <c r="C10" s="46" t="s">
        <v>97</v>
      </c>
      <c r="D10" s="20">
        <f>D7-D8</f>
        <v>-6</v>
      </c>
      <c r="E10" s="20">
        <f>E7-E8</f>
        <v>3</v>
      </c>
      <c r="F10" s="20">
        <f>F7-F8</f>
        <v>-12</v>
      </c>
      <c r="G10" s="20">
        <f>G7-G8</f>
        <v>11.5</v>
      </c>
      <c r="H10" s="20">
        <f>H7-H8</f>
        <v>-3.5</v>
      </c>
    </row>
    <row r="11" spans="1:14" x14ac:dyDescent="0.3">
      <c r="A11" s="53"/>
      <c r="B11" s="54"/>
      <c r="C11" s="20" t="s">
        <v>108</v>
      </c>
      <c r="D11" s="20">
        <f>D7-D9</f>
        <v>-6</v>
      </c>
      <c r="E11" s="20">
        <f t="shared" ref="E11:H11" si="1">E7-E9</f>
        <v>7.5</v>
      </c>
      <c r="F11" s="20">
        <f t="shared" si="1"/>
        <v>-8</v>
      </c>
      <c r="G11" s="20">
        <f t="shared" si="1"/>
        <v>14.5</v>
      </c>
      <c r="H11" s="20">
        <f t="shared" si="1"/>
        <v>8</v>
      </c>
    </row>
    <row r="12" spans="1:14" x14ac:dyDescent="0.3">
      <c r="A12" s="53"/>
      <c r="B12" s="54"/>
      <c r="C12" s="20" t="s">
        <v>105</v>
      </c>
      <c r="D12" s="20">
        <f>D7-D2</f>
        <v>1.9000000000000004</v>
      </c>
      <c r="E12" s="20">
        <f t="shared" ref="E12:H12" si="2">E7-E2</f>
        <v>9.1</v>
      </c>
      <c r="F12" s="20">
        <f t="shared" si="2"/>
        <v>-1.5999999999999996</v>
      </c>
      <c r="G12" s="20">
        <f t="shared" si="2"/>
        <v>12.6</v>
      </c>
      <c r="H12" s="20">
        <f t="shared" si="2"/>
        <v>22</v>
      </c>
    </row>
    <row r="13" spans="1:14" x14ac:dyDescent="0.3">
      <c r="A13" s="53"/>
      <c r="B13" s="54"/>
      <c r="C13" s="20" t="s">
        <v>109</v>
      </c>
      <c r="D13" s="20">
        <f>D7/D8</f>
        <v>0.65714285714285714</v>
      </c>
      <c r="E13" s="20">
        <f t="shared" ref="E13:H13" si="3">E7/E8</f>
        <v>1.24</v>
      </c>
      <c r="F13" s="20">
        <f t="shared" si="3"/>
        <v>0.4</v>
      </c>
      <c r="G13" s="20">
        <f t="shared" si="3"/>
        <v>2.5333333333333332</v>
      </c>
      <c r="H13" s="20">
        <f t="shared" si="3"/>
        <v>0.93913043478260871</v>
      </c>
    </row>
    <row r="14" spans="1:14" x14ac:dyDescent="0.3">
      <c r="A14" s="53"/>
      <c r="B14" s="54"/>
      <c r="C14" s="20" t="s">
        <v>110</v>
      </c>
      <c r="D14" s="20">
        <f>D7/D9</f>
        <v>0.65714285714285714</v>
      </c>
      <c r="E14" s="20">
        <f t="shared" ref="E14:H14" si="4">E7/E9</f>
        <v>1.9375</v>
      </c>
      <c r="F14" s="20">
        <f t="shared" si="4"/>
        <v>0.5</v>
      </c>
      <c r="G14" s="20">
        <f t="shared" si="4"/>
        <v>4.2222222222222223</v>
      </c>
      <c r="H14" s="20">
        <f>H7/H9</f>
        <v>1.173913043478261</v>
      </c>
    </row>
    <row r="15" spans="1:14" x14ac:dyDescent="0.3">
      <c r="A15" s="53"/>
      <c r="B15" s="54"/>
      <c r="C15" s="20" t="s">
        <v>111</v>
      </c>
      <c r="D15" s="20">
        <f>D7/D2</f>
        <v>1.1979166666666667</v>
      </c>
      <c r="E15" s="20">
        <f t="shared" ref="E15:H15" si="5">E7/E2</f>
        <v>2.421875</v>
      </c>
      <c r="F15" s="20">
        <f t="shared" si="5"/>
        <v>0.83333333333333337</v>
      </c>
      <c r="G15" s="20">
        <f t="shared" si="5"/>
        <v>2.96875</v>
      </c>
      <c r="H15" s="20">
        <f>H7/H2</f>
        <v>1.6875</v>
      </c>
    </row>
    <row r="17" spans="3:3" x14ac:dyDescent="0.3">
      <c r="C17" t="s">
        <v>112</v>
      </c>
    </row>
  </sheetData>
  <mergeCells count="18">
    <mergeCell ref="A1:A15"/>
    <mergeCell ref="B8:B15"/>
    <mergeCell ref="I2:I7"/>
    <mergeCell ref="B1:C1"/>
    <mergeCell ref="B2:B3"/>
    <mergeCell ref="B4:B5"/>
    <mergeCell ref="B6:B7"/>
    <mergeCell ref="J2:J7"/>
    <mergeCell ref="L2:L3"/>
    <mergeCell ref="K2:K7"/>
    <mergeCell ref="L4:L5"/>
    <mergeCell ref="L6:L7"/>
    <mergeCell ref="M2:M3"/>
    <mergeCell ref="M4:M5"/>
    <mergeCell ref="M6:M7"/>
    <mergeCell ref="N2:N3"/>
    <mergeCell ref="N6:N7"/>
    <mergeCell ref="N4:N5"/>
  </mergeCells>
  <phoneticPr fontId="2"/>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8"/>
  <sheetViews>
    <sheetView workbookViewId="0">
      <pane ySplit="2" topLeftCell="A3" activePane="bottomLeft" state="frozen"/>
      <selection activeCell="E1" sqref="E1"/>
      <selection pane="bottomLeft" activeCell="I21" sqref="I21"/>
    </sheetView>
  </sheetViews>
  <sheetFormatPr baseColWidth="12" defaultRowHeight="20" x14ac:dyDescent="0.3"/>
  <cols>
    <col min="2" max="2" width="43.140625" bestFit="1" customWidth="1"/>
    <col min="3" max="3" width="10.42578125" customWidth="1"/>
    <col min="4" max="4" width="11.5703125" customWidth="1"/>
    <col min="5" max="5" width="25.28515625" bestFit="1" customWidth="1"/>
    <col min="8" max="8" width="13.85546875" customWidth="1"/>
    <col min="9" max="10" width="15.28515625" customWidth="1"/>
    <col min="11" max="11" width="14.85546875" customWidth="1"/>
    <col min="12" max="13" width="21.85546875" bestFit="1" customWidth="1"/>
    <col min="14" max="14" width="38.140625" bestFit="1" customWidth="1"/>
  </cols>
  <sheetData>
    <row r="1" spans="2:14" x14ac:dyDescent="0.3">
      <c r="B1" s="1" t="s">
        <v>29</v>
      </c>
      <c r="C1" s="1"/>
      <c r="D1" s="1"/>
    </row>
    <row r="2" spans="2:14" x14ac:dyDescent="0.3">
      <c r="B2" s="1">
        <f>B13-B10-B7-B5</f>
        <v>57.5</v>
      </c>
      <c r="C2" s="1"/>
      <c r="D2" s="55"/>
      <c r="E2" s="55"/>
      <c r="F2" s="20" t="s">
        <v>11</v>
      </c>
      <c r="G2" s="20" t="s">
        <v>0</v>
      </c>
      <c r="H2" s="20" t="s">
        <v>1</v>
      </c>
      <c r="I2" s="20" t="s">
        <v>2</v>
      </c>
      <c r="J2" s="20"/>
      <c r="K2" s="21" t="s">
        <v>9</v>
      </c>
      <c r="L2" s="21" t="s">
        <v>28</v>
      </c>
      <c r="M2" s="21" t="s">
        <v>15</v>
      </c>
      <c r="N2" s="21" t="s">
        <v>24</v>
      </c>
    </row>
    <row r="3" spans="2:14" ht="20" customHeight="1" x14ac:dyDescent="0.3">
      <c r="B3" t="s">
        <v>20</v>
      </c>
      <c r="D3" s="53" t="s">
        <v>70</v>
      </c>
      <c r="E3" s="20" t="s">
        <v>12</v>
      </c>
      <c r="F3" s="22">
        <v>42394</v>
      </c>
      <c r="G3" s="22">
        <v>42395</v>
      </c>
      <c r="H3" s="22">
        <v>42401</v>
      </c>
      <c r="I3" s="22">
        <v>42402</v>
      </c>
      <c r="J3" s="23" t="s">
        <v>25</v>
      </c>
      <c r="K3" s="24"/>
      <c r="L3" s="24"/>
      <c r="M3" s="24"/>
      <c r="N3" s="21"/>
    </row>
    <row r="4" spans="2:14" x14ac:dyDescent="0.3">
      <c r="D4" s="53"/>
      <c r="E4" s="20" t="s">
        <v>32</v>
      </c>
      <c r="F4" s="25">
        <v>17.5</v>
      </c>
      <c r="G4" s="25">
        <v>12.5</v>
      </c>
      <c r="H4" s="25">
        <v>20</v>
      </c>
      <c r="I4" s="25">
        <v>7.5</v>
      </c>
      <c r="J4" s="26"/>
      <c r="K4" s="21">
        <f>SUM(F4:I4)</f>
        <v>57.5</v>
      </c>
      <c r="L4" s="24"/>
      <c r="M4" s="24"/>
      <c r="N4" s="21"/>
    </row>
    <row r="5" spans="2:14" x14ac:dyDescent="0.3">
      <c r="B5">
        <v>10</v>
      </c>
      <c r="D5" s="53"/>
      <c r="E5" s="20" t="s">
        <v>3</v>
      </c>
      <c r="F5" s="20">
        <f>K5*(3/10)</f>
        <v>11.7</v>
      </c>
      <c r="G5" s="20">
        <f>K5*(1/5)</f>
        <v>7.8000000000000007</v>
      </c>
      <c r="H5" s="20">
        <f>K5*(3/10)</f>
        <v>11.7</v>
      </c>
      <c r="I5" s="20">
        <f>K5*(1/5)</f>
        <v>7.8000000000000007</v>
      </c>
      <c r="J5" s="27">
        <v>0</v>
      </c>
      <c r="K5" s="20">
        <v>39</v>
      </c>
      <c r="L5" s="28">
        <f>K5/B2</f>
        <v>0.67826086956521736</v>
      </c>
      <c r="M5" s="28">
        <f>K5/(B2-K16)</f>
        <v>0.98734177215189878</v>
      </c>
      <c r="N5" s="20"/>
    </row>
    <row r="6" spans="2:14" x14ac:dyDescent="0.3">
      <c r="B6" t="s">
        <v>21</v>
      </c>
      <c r="D6" s="53"/>
      <c r="E6" s="20" t="s">
        <v>4</v>
      </c>
      <c r="F6" s="20">
        <v>0</v>
      </c>
      <c r="G6" s="20">
        <v>12</v>
      </c>
      <c r="H6" s="20">
        <v>4</v>
      </c>
      <c r="I6" s="20">
        <v>4</v>
      </c>
      <c r="J6" s="27">
        <v>15</v>
      </c>
      <c r="K6" s="20">
        <f>SUM(F6:J6)</f>
        <v>35</v>
      </c>
      <c r="L6" s="28">
        <f>K6/B2</f>
        <v>0.60869565217391308</v>
      </c>
      <c r="M6" s="28">
        <f>K6/(B2-K16)</f>
        <v>0.88607594936708856</v>
      </c>
      <c r="N6" s="20"/>
    </row>
    <row r="7" spans="2:14" x14ac:dyDescent="0.3">
      <c r="B7">
        <v>5</v>
      </c>
      <c r="D7" s="53"/>
      <c r="E7" s="20" t="s">
        <v>8</v>
      </c>
      <c r="F7" s="20">
        <f>F17/4</f>
        <v>0</v>
      </c>
      <c r="G7" s="29">
        <f>F7+G17/3</f>
        <v>0</v>
      </c>
      <c r="H7" s="25">
        <f>G7+H17/2</f>
        <v>10</v>
      </c>
      <c r="I7" s="25">
        <f>H7+I17</f>
        <v>10</v>
      </c>
      <c r="J7" s="30">
        <v>0</v>
      </c>
      <c r="K7" s="20">
        <f>SUM(F7:I7)</f>
        <v>20</v>
      </c>
      <c r="L7" s="28">
        <f>(K5+K7)/B2</f>
        <v>1.0260869565217392</v>
      </c>
      <c r="M7" s="28">
        <f>(K5+K7)/(B2-K16)</f>
        <v>1.4936708860759493</v>
      </c>
      <c r="N7" s="20"/>
    </row>
    <row r="8" spans="2:14" x14ac:dyDescent="0.3">
      <c r="B8" t="s">
        <v>22</v>
      </c>
      <c r="D8" s="53"/>
      <c r="E8" s="20" t="s">
        <v>16</v>
      </c>
      <c r="F8" s="20">
        <v>0</v>
      </c>
      <c r="G8" s="31">
        <v>0</v>
      </c>
      <c r="H8" s="20">
        <v>5</v>
      </c>
      <c r="I8" s="20">
        <v>15</v>
      </c>
      <c r="J8" s="27">
        <v>0</v>
      </c>
      <c r="K8" s="20">
        <f>SUM(F8:J8)</f>
        <v>20</v>
      </c>
      <c r="L8" s="28">
        <f>(K6+K8)/B2</f>
        <v>0.95652173913043481</v>
      </c>
      <c r="M8" s="28">
        <f>(K6+K8)/(B2-K16)</f>
        <v>1.3924050632911393</v>
      </c>
      <c r="N8" s="20"/>
    </row>
    <row r="9" spans="2:14" x14ac:dyDescent="0.3">
      <c r="D9" s="53"/>
      <c r="E9" s="20" t="s">
        <v>33</v>
      </c>
      <c r="F9" s="20">
        <f>F6+F8</f>
        <v>0</v>
      </c>
      <c r="G9" s="20">
        <f t="shared" ref="G9:K9" si="0">G6+G8</f>
        <v>12</v>
      </c>
      <c r="H9" s="20">
        <f t="shared" si="0"/>
        <v>9</v>
      </c>
      <c r="I9" s="20">
        <f t="shared" si="0"/>
        <v>19</v>
      </c>
      <c r="J9" s="27">
        <f t="shared" si="0"/>
        <v>15</v>
      </c>
      <c r="K9" s="20">
        <f t="shared" si="0"/>
        <v>55</v>
      </c>
      <c r="L9" s="32"/>
      <c r="M9" s="32"/>
      <c r="N9" s="20"/>
    </row>
    <row r="10" spans="2:14" x14ac:dyDescent="0.3">
      <c r="B10">
        <v>2.5</v>
      </c>
      <c r="D10" s="53"/>
      <c r="E10" s="20" t="s">
        <v>5</v>
      </c>
      <c r="F10" s="20">
        <f>K5-F6</f>
        <v>39</v>
      </c>
      <c r="G10" s="20">
        <f>F10-G6</f>
        <v>27</v>
      </c>
      <c r="H10" s="20">
        <f>G10-H6</f>
        <v>23</v>
      </c>
      <c r="I10" s="20">
        <f>H10-I6</f>
        <v>19</v>
      </c>
      <c r="J10" s="33"/>
      <c r="K10" s="20">
        <f>I10-J6</f>
        <v>4</v>
      </c>
      <c r="L10" s="34"/>
      <c r="M10" s="34"/>
      <c r="N10" s="35"/>
    </row>
    <row r="11" spans="2:14" x14ac:dyDescent="0.3">
      <c r="D11" s="53"/>
      <c r="E11" s="20" t="s">
        <v>17</v>
      </c>
      <c r="F11" s="20">
        <f>F10+F17-F8</f>
        <v>39</v>
      </c>
      <c r="G11" s="20">
        <f>F11+G17-G6-G8</f>
        <v>27</v>
      </c>
      <c r="H11" s="20">
        <f>G11+H17-H6-H8</f>
        <v>38</v>
      </c>
      <c r="I11" s="20">
        <f>H11+I17-I6-I8</f>
        <v>19</v>
      </c>
      <c r="J11" s="33"/>
      <c r="K11" s="20">
        <f>I11-J6-J8</f>
        <v>4</v>
      </c>
      <c r="L11" s="34"/>
      <c r="M11" s="34"/>
      <c r="N11" s="21"/>
    </row>
    <row r="12" spans="2:14" x14ac:dyDescent="0.3">
      <c r="B12" t="s">
        <v>23</v>
      </c>
      <c r="D12" s="53"/>
      <c r="E12" s="20" t="s">
        <v>30</v>
      </c>
      <c r="F12" s="20">
        <f>F5-F6</f>
        <v>11.7</v>
      </c>
      <c r="G12" s="20">
        <f t="shared" ref="G12:I12" si="1">G5-G6</f>
        <v>-4.1999999999999993</v>
      </c>
      <c r="H12" s="20">
        <f t="shared" si="1"/>
        <v>7.6999999999999993</v>
      </c>
      <c r="I12" s="20">
        <f t="shared" si="1"/>
        <v>3.8000000000000007</v>
      </c>
      <c r="J12" s="33"/>
      <c r="K12" s="20">
        <f>K5-K6</f>
        <v>4</v>
      </c>
      <c r="L12" s="34"/>
      <c r="M12" s="34"/>
      <c r="N12" s="20"/>
    </row>
    <row r="13" spans="2:14" x14ac:dyDescent="0.3">
      <c r="B13">
        <v>75</v>
      </c>
      <c r="D13" s="53"/>
      <c r="E13" s="20" t="s">
        <v>31</v>
      </c>
      <c r="F13" s="28">
        <f>1-F6/F5</f>
        <v>1</v>
      </c>
      <c r="G13" s="28">
        <f t="shared" ref="G13:I13" si="2">1-G6/G5</f>
        <v>-0.53846153846153832</v>
      </c>
      <c r="H13" s="28">
        <f t="shared" si="2"/>
        <v>0.65811965811965811</v>
      </c>
      <c r="I13" s="28">
        <f t="shared" si="2"/>
        <v>0.48717948717948723</v>
      </c>
      <c r="J13" s="36"/>
      <c r="K13" s="28">
        <f>1-K6/K5</f>
        <v>0.10256410256410253</v>
      </c>
      <c r="L13" s="34"/>
      <c r="M13" s="34"/>
      <c r="N13" s="20"/>
    </row>
    <row r="14" spans="2:14" x14ac:dyDescent="0.3">
      <c r="D14" s="53"/>
      <c r="E14" s="20" t="s">
        <v>18</v>
      </c>
      <c r="F14" s="37">
        <f>(F5+F7)-(F6+F8)</f>
        <v>11.7</v>
      </c>
      <c r="G14" s="38">
        <f>(G5+G7)-(G6+G8)</f>
        <v>-4.1999999999999993</v>
      </c>
      <c r="H14" s="38">
        <f t="shared" ref="H14:I14" si="3">(H5+H7)-(H6+H8)</f>
        <v>12.7</v>
      </c>
      <c r="I14" s="38">
        <f t="shared" si="3"/>
        <v>-1.1999999999999993</v>
      </c>
      <c r="J14" s="39"/>
      <c r="K14" s="37">
        <f>(K5+K7)-(K6+K8)</f>
        <v>4</v>
      </c>
      <c r="L14" s="34"/>
      <c r="M14" s="34"/>
      <c r="N14" s="20"/>
    </row>
    <row r="15" spans="2:14" x14ac:dyDescent="0.3">
      <c r="D15" s="53"/>
      <c r="E15" s="20" t="s">
        <v>19</v>
      </c>
      <c r="F15" s="28">
        <f>1-(F6+F8)/(F5+F7)</f>
        <v>1</v>
      </c>
      <c r="G15" s="28">
        <f t="shared" ref="G15:I15" si="4">1-(G6+G8)/(G5+G7)</f>
        <v>-0.53846153846153832</v>
      </c>
      <c r="H15" s="28">
        <f t="shared" si="4"/>
        <v>0.58525345622119818</v>
      </c>
      <c r="I15" s="28">
        <f t="shared" si="4"/>
        <v>-6.7415730337078594E-2</v>
      </c>
      <c r="J15" s="36"/>
      <c r="K15" s="28">
        <f>1-(K6+K8)/(K5+K7)</f>
        <v>6.7796610169491567E-2</v>
      </c>
      <c r="L15" s="34"/>
      <c r="M15" s="34"/>
      <c r="N15" s="20"/>
    </row>
    <row r="16" spans="2:14" x14ac:dyDescent="0.3">
      <c r="D16" s="53"/>
      <c r="E16" s="20" t="s">
        <v>13</v>
      </c>
      <c r="F16" s="37">
        <v>17.5</v>
      </c>
      <c r="G16" s="20">
        <v>0.5</v>
      </c>
      <c r="H16" s="20">
        <v>0</v>
      </c>
      <c r="I16" s="20">
        <v>0</v>
      </c>
      <c r="J16" s="33"/>
      <c r="K16" s="20">
        <f>SUM(F16:I16)</f>
        <v>18</v>
      </c>
      <c r="L16" s="34"/>
      <c r="M16" s="34"/>
      <c r="N16" s="20"/>
    </row>
    <row r="17" spans="4:14" x14ac:dyDescent="0.3">
      <c r="D17" s="53"/>
      <c r="E17" s="20" t="s">
        <v>14</v>
      </c>
      <c r="F17" s="20">
        <v>0</v>
      </c>
      <c r="G17" s="20">
        <v>0</v>
      </c>
      <c r="H17" s="20">
        <v>20</v>
      </c>
      <c r="I17" s="20">
        <v>0</v>
      </c>
      <c r="J17" s="33"/>
      <c r="K17" s="20">
        <f>SUM(F17:I17)</f>
        <v>20</v>
      </c>
      <c r="L17" s="34"/>
      <c r="M17" s="34"/>
      <c r="N17" s="20"/>
    </row>
    <row r="18" spans="4:14" s="14" customFormat="1" ht="40" x14ac:dyDescent="0.3">
      <c r="D18" s="53"/>
      <c r="E18" s="35" t="s">
        <v>24</v>
      </c>
      <c r="F18" s="40" t="s">
        <v>93</v>
      </c>
      <c r="G18" s="40"/>
      <c r="H18" s="40"/>
      <c r="I18" s="40"/>
      <c r="J18" s="41"/>
      <c r="K18" s="40"/>
      <c r="L18" s="40"/>
      <c r="M18" s="40"/>
      <c r="N18" s="40"/>
    </row>
  </sheetData>
  <mergeCells count="2">
    <mergeCell ref="D2:E2"/>
    <mergeCell ref="D3:D18"/>
  </mergeCells>
  <phoneticPr fontId="2"/>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
  <sheetViews>
    <sheetView tabSelected="1" workbookViewId="0">
      <pane xSplit="2" ySplit="1" topLeftCell="C2" activePane="bottomRight" state="frozen"/>
      <selection pane="topRight" activeCell="C1" sqref="C1"/>
      <selection pane="bottomLeft" activeCell="A2" sqref="A2"/>
      <selection pane="bottomRight" activeCell="G19" sqref="G19"/>
    </sheetView>
  </sheetViews>
  <sheetFormatPr baseColWidth="12" defaultRowHeight="20" x14ac:dyDescent="0.3"/>
  <cols>
    <col min="1" max="2" width="11.5703125" customWidth="1"/>
    <col min="3" max="3" width="35.140625" bestFit="1" customWidth="1"/>
    <col min="6" max="6" width="13.85546875" customWidth="1"/>
    <col min="7" max="8" width="15.28515625" customWidth="1"/>
    <col min="9" max="9" width="14.85546875" customWidth="1"/>
    <col min="10" max="10" width="20.140625" bestFit="1" customWidth="1"/>
    <col min="12" max="12" width="18.85546875" bestFit="1" customWidth="1"/>
    <col min="14" max="14" width="18.85546875" bestFit="1" customWidth="1"/>
  </cols>
  <sheetData>
    <row r="1" spans="1:15" ht="20" customHeight="1" x14ac:dyDescent="0.3">
      <c r="A1" s="53" t="s">
        <v>113</v>
      </c>
      <c r="B1" s="52"/>
      <c r="C1" s="52"/>
      <c r="D1" s="22">
        <v>42375</v>
      </c>
      <c r="E1" s="22">
        <v>42381</v>
      </c>
      <c r="F1" s="22">
        <v>42387</v>
      </c>
      <c r="G1" s="22">
        <v>42388</v>
      </c>
      <c r="H1" s="23" t="s">
        <v>114</v>
      </c>
      <c r="I1" s="20" t="s">
        <v>96</v>
      </c>
      <c r="J1" s="47" t="s">
        <v>115</v>
      </c>
      <c r="K1" s="15"/>
      <c r="L1" s="15"/>
    </row>
    <row r="2" spans="1:15" x14ac:dyDescent="0.3">
      <c r="A2" s="53"/>
      <c r="B2" s="53" t="s">
        <v>98</v>
      </c>
      <c r="C2" s="20" t="s">
        <v>94</v>
      </c>
      <c r="D2" s="20">
        <f>I2*(3/10)</f>
        <v>11.7</v>
      </c>
      <c r="E2" s="20">
        <f>I2*(1/5)</f>
        <v>7.8000000000000007</v>
      </c>
      <c r="F2" s="20">
        <f>I2*(3/10)</f>
        <v>11.7</v>
      </c>
      <c r="G2" s="20">
        <f>I2*(1/5)</f>
        <v>7.8000000000000007</v>
      </c>
      <c r="H2" s="27">
        <v>0</v>
      </c>
      <c r="I2" s="20">
        <v>39</v>
      </c>
      <c r="J2" s="21">
        <f>I2-H2</f>
        <v>39</v>
      </c>
      <c r="K2" s="51"/>
      <c r="L2" s="51"/>
      <c r="M2" s="50"/>
      <c r="N2" s="50"/>
      <c r="O2" s="50"/>
    </row>
    <row r="3" spans="1:15" x14ac:dyDescent="0.3">
      <c r="A3" s="53"/>
      <c r="B3" s="53"/>
      <c r="C3" s="20" t="s">
        <v>95</v>
      </c>
      <c r="D3" s="20">
        <v>0</v>
      </c>
      <c r="E3" s="20">
        <v>12</v>
      </c>
      <c r="F3" s="20">
        <v>4</v>
      </c>
      <c r="G3" s="20">
        <v>4</v>
      </c>
      <c r="H3" s="27">
        <v>15</v>
      </c>
      <c r="I3" s="20">
        <f>SUM(D3:H3)</f>
        <v>35</v>
      </c>
      <c r="J3" s="21">
        <f t="shared" ref="J3:J7" si="0">I3-H3</f>
        <v>20</v>
      </c>
      <c r="K3" s="51"/>
      <c r="L3" s="51"/>
      <c r="M3" s="50"/>
      <c r="N3" s="50"/>
      <c r="O3" s="50"/>
    </row>
    <row r="4" spans="1:15" x14ac:dyDescent="0.3">
      <c r="A4" s="53"/>
      <c r="B4" s="53" t="s">
        <v>99</v>
      </c>
      <c r="C4" s="20" t="s">
        <v>101</v>
      </c>
      <c r="D4" s="25">
        <v>0</v>
      </c>
      <c r="E4" s="29">
        <v>0</v>
      </c>
      <c r="F4" s="25">
        <v>10</v>
      </c>
      <c r="G4" s="25">
        <v>10</v>
      </c>
      <c r="H4" s="30">
        <v>0</v>
      </c>
      <c r="I4" s="20">
        <f t="shared" ref="I4:I7" si="1">SUM(D4:H4)</f>
        <v>20</v>
      </c>
      <c r="J4" s="21">
        <f t="shared" si="0"/>
        <v>20</v>
      </c>
      <c r="K4" s="51"/>
      <c r="L4" s="51"/>
      <c r="M4" s="50"/>
      <c r="N4" s="50"/>
      <c r="O4" s="50"/>
    </row>
    <row r="5" spans="1:15" x14ac:dyDescent="0.3">
      <c r="A5" s="53"/>
      <c r="B5" s="53"/>
      <c r="C5" s="20" t="s">
        <v>102</v>
      </c>
      <c r="D5" s="20">
        <v>0</v>
      </c>
      <c r="E5" s="31">
        <v>0</v>
      </c>
      <c r="F5" s="20">
        <v>5</v>
      </c>
      <c r="G5" s="20">
        <v>15</v>
      </c>
      <c r="H5" s="27">
        <v>0</v>
      </c>
      <c r="I5" s="20">
        <f t="shared" si="1"/>
        <v>20</v>
      </c>
      <c r="J5" s="21">
        <f t="shared" si="0"/>
        <v>20</v>
      </c>
      <c r="K5" s="51"/>
      <c r="L5" s="51"/>
      <c r="M5" s="50"/>
      <c r="N5" s="50"/>
      <c r="O5" s="50"/>
    </row>
    <row r="6" spans="1:15" x14ac:dyDescent="0.3">
      <c r="A6" s="53"/>
      <c r="B6" s="53" t="s">
        <v>100</v>
      </c>
      <c r="C6" s="20" t="s">
        <v>103</v>
      </c>
      <c r="D6" s="20">
        <f>D2+D4</f>
        <v>11.7</v>
      </c>
      <c r="E6" s="20">
        <f t="shared" ref="E6:G6" si="2">E2+E4</f>
        <v>7.8000000000000007</v>
      </c>
      <c r="F6" s="20">
        <f t="shared" si="2"/>
        <v>21.7</v>
      </c>
      <c r="G6" s="20">
        <f t="shared" si="2"/>
        <v>17.8</v>
      </c>
      <c r="H6" s="27">
        <v>0</v>
      </c>
      <c r="I6" s="20">
        <f t="shared" si="1"/>
        <v>59</v>
      </c>
      <c r="J6" s="21">
        <f t="shared" si="0"/>
        <v>59</v>
      </c>
      <c r="K6" s="51"/>
      <c r="L6" s="51"/>
      <c r="M6" s="50"/>
      <c r="N6" s="50"/>
      <c r="O6" s="50"/>
    </row>
    <row r="7" spans="1:15" x14ac:dyDescent="0.3">
      <c r="A7" s="53"/>
      <c r="B7" s="53"/>
      <c r="C7" s="20" t="s">
        <v>104</v>
      </c>
      <c r="D7" s="20">
        <f>D3+D5</f>
        <v>0</v>
      </c>
      <c r="E7" s="20">
        <f>E3+E5</f>
        <v>12</v>
      </c>
      <c r="F7" s="20">
        <f>F3+F5</f>
        <v>9</v>
      </c>
      <c r="G7" s="20">
        <f>G3+G5</f>
        <v>19</v>
      </c>
      <c r="H7" s="27">
        <f>H3+H5</f>
        <v>15</v>
      </c>
      <c r="I7" s="20">
        <f t="shared" si="1"/>
        <v>55</v>
      </c>
      <c r="J7" s="21">
        <f t="shared" si="0"/>
        <v>40</v>
      </c>
      <c r="K7" s="51"/>
      <c r="L7" s="51"/>
      <c r="M7" s="50"/>
      <c r="N7" s="50"/>
      <c r="O7" s="50"/>
    </row>
    <row r="8" spans="1:15" x14ac:dyDescent="0.3">
      <c r="A8" s="53"/>
      <c r="B8" s="54"/>
      <c r="C8" s="20" t="s">
        <v>106</v>
      </c>
      <c r="D8" s="25">
        <v>17.5</v>
      </c>
      <c r="E8" s="25">
        <v>12.5</v>
      </c>
      <c r="F8" s="25">
        <v>20</v>
      </c>
      <c r="G8" s="25">
        <v>7.5</v>
      </c>
      <c r="H8" s="30"/>
      <c r="I8" s="45">
        <f>SUM(D8:G8)</f>
        <v>57.5</v>
      </c>
      <c r="J8" s="20">
        <f>I8</f>
        <v>57.5</v>
      </c>
    </row>
    <row r="9" spans="1:15" x14ac:dyDescent="0.3">
      <c r="A9" s="53"/>
      <c r="B9" s="54"/>
      <c r="C9" s="20" t="s">
        <v>107</v>
      </c>
      <c r="D9" s="25">
        <f>17.5-17.5</f>
        <v>0</v>
      </c>
      <c r="E9" s="25">
        <f>E8-0.5</f>
        <v>12</v>
      </c>
      <c r="F9" s="25">
        <f>F8-0</f>
        <v>20</v>
      </c>
      <c r="G9" s="25">
        <f>G8-0</f>
        <v>7.5</v>
      </c>
      <c r="H9" s="30"/>
      <c r="I9" s="45">
        <f>SUM(D9:G9)</f>
        <v>39.5</v>
      </c>
      <c r="J9" s="20">
        <f>I9</f>
        <v>39.5</v>
      </c>
    </row>
    <row r="10" spans="1:15" x14ac:dyDescent="0.3">
      <c r="A10" s="53"/>
      <c r="B10" s="54"/>
      <c r="C10" s="46" t="s">
        <v>97</v>
      </c>
      <c r="D10" s="20">
        <f>D7-D8</f>
        <v>-17.5</v>
      </c>
      <c r="E10" s="20">
        <f>E7-E8</f>
        <v>-0.5</v>
      </c>
      <c r="F10" s="20">
        <f>F7-F8</f>
        <v>-11</v>
      </c>
      <c r="G10" s="20">
        <f>G7-G8</f>
        <v>11.5</v>
      </c>
      <c r="H10" s="27"/>
      <c r="I10" s="20">
        <f>I7-I8</f>
        <v>-2.5</v>
      </c>
      <c r="J10" s="20">
        <f>J7-J8</f>
        <v>-17.5</v>
      </c>
    </row>
    <row r="11" spans="1:15" x14ac:dyDescent="0.3">
      <c r="A11" s="53"/>
      <c r="B11" s="54"/>
      <c r="C11" s="20" t="s">
        <v>108</v>
      </c>
      <c r="D11" s="20">
        <f>D7-D9</f>
        <v>0</v>
      </c>
      <c r="E11" s="20">
        <f t="shared" ref="E11:G11" si="3">E7-E9</f>
        <v>0</v>
      </c>
      <c r="F11" s="20">
        <f t="shared" si="3"/>
        <v>-11</v>
      </c>
      <c r="G11" s="20">
        <f t="shared" si="3"/>
        <v>11.5</v>
      </c>
      <c r="H11" s="27"/>
      <c r="I11" s="20">
        <f>I7-I9</f>
        <v>15.5</v>
      </c>
      <c r="J11" s="20">
        <f>J7-J9</f>
        <v>0.5</v>
      </c>
    </row>
    <row r="12" spans="1:15" x14ac:dyDescent="0.3">
      <c r="A12" s="53"/>
      <c r="B12" s="54"/>
      <c r="C12" s="20" t="s">
        <v>105</v>
      </c>
      <c r="D12" s="20">
        <f>D7-D2</f>
        <v>-11.7</v>
      </c>
      <c r="E12" s="20">
        <f t="shared" ref="E12:G12" si="4">E7-E2</f>
        <v>4.1999999999999993</v>
      </c>
      <c r="F12" s="20">
        <f t="shared" si="4"/>
        <v>-2.6999999999999993</v>
      </c>
      <c r="G12" s="20">
        <f t="shared" si="4"/>
        <v>11.2</v>
      </c>
      <c r="H12" s="27"/>
      <c r="I12" s="20">
        <f>I7-I2</f>
        <v>16</v>
      </c>
      <c r="J12" s="20">
        <f>J7-J2</f>
        <v>1</v>
      </c>
    </row>
    <row r="13" spans="1:15" x14ac:dyDescent="0.3">
      <c r="A13" s="53"/>
      <c r="B13" s="54"/>
      <c r="C13" s="20" t="s">
        <v>109</v>
      </c>
      <c r="D13" s="20">
        <f>D7/D8</f>
        <v>0</v>
      </c>
      <c r="E13" s="20">
        <f t="shared" ref="E13:G13" si="5">E7/E8</f>
        <v>0.96</v>
      </c>
      <c r="F13" s="20">
        <f t="shared" si="5"/>
        <v>0.45</v>
      </c>
      <c r="G13" s="20">
        <f t="shared" si="5"/>
        <v>2.5333333333333332</v>
      </c>
      <c r="H13" s="27"/>
      <c r="I13" s="20">
        <f>I7/I8</f>
        <v>0.95652173913043481</v>
      </c>
      <c r="J13" s="20">
        <f>J7/J8</f>
        <v>0.69565217391304346</v>
      </c>
    </row>
    <row r="14" spans="1:15" x14ac:dyDescent="0.3">
      <c r="A14" s="53"/>
      <c r="B14" s="54"/>
      <c r="C14" s="20" t="s">
        <v>110</v>
      </c>
      <c r="D14" s="20" t="e">
        <f>D7/D9</f>
        <v>#DIV/0!</v>
      </c>
      <c r="E14" s="20">
        <f t="shared" ref="E14:J14" si="6">E7/E9</f>
        <v>1</v>
      </c>
      <c r="F14" s="20">
        <f t="shared" si="6"/>
        <v>0.45</v>
      </c>
      <c r="G14" s="20">
        <f t="shared" si="6"/>
        <v>2.5333333333333332</v>
      </c>
      <c r="H14" s="27"/>
      <c r="I14" s="20">
        <f t="shared" si="6"/>
        <v>1.3924050632911393</v>
      </c>
      <c r="J14" s="20">
        <f t="shared" si="6"/>
        <v>1.0126582278481013</v>
      </c>
    </row>
    <row r="15" spans="1:15" x14ac:dyDescent="0.3">
      <c r="A15" s="53"/>
      <c r="B15" s="54"/>
      <c r="C15" s="20" t="s">
        <v>111</v>
      </c>
      <c r="D15" s="20">
        <f>D7/D2</f>
        <v>0</v>
      </c>
      <c r="E15" s="20">
        <f t="shared" ref="E15:J15" si="7">E7/E2</f>
        <v>1.5384615384615383</v>
      </c>
      <c r="F15" s="20">
        <f t="shared" si="7"/>
        <v>0.76923076923076927</v>
      </c>
      <c r="G15" s="20">
        <f t="shared" si="7"/>
        <v>2.4358974358974357</v>
      </c>
      <c r="H15" s="27"/>
      <c r="I15" s="20">
        <f>I7/I2</f>
        <v>1.4102564102564104</v>
      </c>
      <c r="J15" s="20">
        <f>J7/J2</f>
        <v>1.0256410256410255</v>
      </c>
    </row>
    <row r="17" spans="3:3" x14ac:dyDescent="0.3">
      <c r="C17" t="s">
        <v>112</v>
      </c>
    </row>
  </sheetData>
  <mergeCells count="17">
    <mergeCell ref="B6:B7"/>
    <mergeCell ref="M6:M7"/>
    <mergeCell ref="N6:N7"/>
    <mergeCell ref="O6:O7"/>
    <mergeCell ref="A1:A15"/>
    <mergeCell ref="B8:B15"/>
    <mergeCell ref="M2:M3"/>
    <mergeCell ref="N2:N3"/>
    <mergeCell ref="O2:O3"/>
    <mergeCell ref="B4:B5"/>
    <mergeCell ref="M4:M5"/>
    <mergeCell ref="N4:N5"/>
    <mergeCell ref="O4:O5"/>
    <mergeCell ref="B1:C1"/>
    <mergeCell ref="B2:B3"/>
    <mergeCell ref="K2:K7"/>
    <mergeCell ref="L2:L7"/>
  </mergeCells>
  <phoneticPr fontId="2"/>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election activeCell="I10" sqref="I10:I14"/>
    </sheetView>
  </sheetViews>
  <sheetFormatPr baseColWidth="12" defaultRowHeight="20" x14ac:dyDescent="0.3"/>
  <cols>
    <col min="4" max="4" width="47.5703125" bestFit="1" customWidth="1"/>
    <col min="5" max="5" width="17.28515625" bestFit="1" customWidth="1"/>
    <col min="6" max="6" width="20.140625" bestFit="1" customWidth="1"/>
    <col min="7" max="7" width="53.85546875" bestFit="1" customWidth="1"/>
    <col min="8" max="8" width="42.28515625" bestFit="1" customWidth="1"/>
    <col min="9" max="9" width="48.28515625" style="14" customWidth="1"/>
  </cols>
  <sheetData>
    <row r="1" spans="1:9" x14ac:dyDescent="0.3">
      <c r="A1" t="s">
        <v>43</v>
      </c>
      <c r="B1" t="s">
        <v>42</v>
      </c>
      <c r="C1" t="s">
        <v>44</v>
      </c>
      <c r="D1" t="s">
        <v>45</v>
      </c>
      <c r="E1" t="s">
        <v>57</v>
      </c>
      <c r="F1" t="s">
        <v>80</v>
      </c>
      <c r="G1" t="s">
        <v>46</v>
      </c>
      <c r="H1" t="s">
        <v>24</v>
      </c>
      <c r="I1" s="14" t="s">
        <v>56</v>
      </c>
    </row>
    <row r="2" spans="1:9" s="14" customFormat="1" x14ac:dyDescent="0.3">
      <c r="A2" s="14">
        <v>1</v>
      </c>
      <c r="B2" s="49" t="s">
        <v>68</v>
      </c>
      <c r="C2" s="58">
        <v>42381</v>
      </c>
      <c r="D2" s="14" t="s">
        <v>48</v>
      </c>
      <c r="E2" s="14">
        <v>2</v>
      </c>
      <c r="F2" s="14" t="s">
        <v>81</v>
      </c>
      <c r="G2" s="14" t="s">
        <v>91</v>
      </c>
      <c r="H2" s="14" t="s">
        <v>71</v>
      </c>
      <c r="I2" s="57" t="s">
        <v>92</v>
      </c>
    </row>
    <row r="3" spans="1:9" x14ac:dyDescent="0.3">
      <c r="A3">
        <v>2</v>
      </c>
      <c r="B3" s="49"/>
      <c r="C3" s="58"/>
      <c r="D3" t="s">
        <v>49</v>
      </c>
      <c r="E3">
        <v>3</v>
      </c>
      <c r="F3" t="s">
        <v>82</v>
      </c>
      <c r="G3" t="s">
        <v>72</v>
      </c>
      <c r="I3" s="57"/>
    </row>
    <row r="4" spans="1:9" x14ac:dyDescent="0.3">
      <c r="A4">
        <v>3</v>
      </c>
      <c r="B4" s="49"/>
      <c r="C4" s="58"/>
      <c r="D4" t="s">
        <v>50</v>
      </c>
      <c r="E4">
        <v>4</v>
      </c>
      <c r="F4" t="s">
        <v>82</v>
      </c>
      <c r="G4" t="s">
        <v>73</v>
      </c>
      <c r="H4" t="s">
        <v>63</v>
      </c>
      <c r="I4" s="57"/>
    </row>
    <row r="5" spans="1:9" x14ac:dyDescent="0.3">
      <c r="A5">
        <v>4</v>
      </c>
      <c r="B5" s="49"/>
      <c r="C5" s="58"/>
      <c r="D5" t="s">
        <v>51</v>
      </c>
      <c r="E5">
        <v>4</v>
      </c>
      <c r="F5" t="s">
        <v>82</v>
      </c>
      <c r="G5" t="s">
        <v>74</v>
      </c>
      <c r="I5" s="57"/>
    </row>
    <row r="6" spans="1:9" x14ac:dyDescent="0.3">
      <c r="A6">
        <v>5</v>
      </c>
      <c r="B6" s="49"/>
      <c r="C6" s="58"/>
      <c r="D6" t="s">
        <v>52</v>
      </c>
      <c r="E6">
        <v>3</v>
      </c>
      <c r="F6" t="s">
        <v>82</v>
      </c>
      <c r="G6" t="s">
        <v>75</v>
      </c>
      <c r="I6" s="57"/>
    </row>
    <row r="7" spans="1:9" x14ac:dyDescent="0.3">
      <c r="A7">
        <v>6</v>
      </c>
      <c r="B7" s="49"/>
      <c r="C7" s="58">
        <v>42388</v>
      </c>
      <c r="D7" t="s">
        <v>53</v>
      </c>
      <c r="E7">
        <v>2</v>
      </c>
      <c r="F7" t="s">
        <v>82</v>
      </c>
      <c r="G7" t="s">
        <v>76</v>
      </c>
      <c r="H7" t="s">
        <v>78</v>
      </c>
      <c r="I7" s="57"/>
    </row>
    <row r="8" spans="1:9" x14ac:dyDescent="0.3">
      <c r="A8">
        <v>7</v>
      </c>
      <c r="B8" s="49"/>
      <c r="C8" s="58"/>
      <c r="D8" t="s">
        <v>54</v>
      </c>
      <c r="E8">
        <v>1</v>
      </c>
      <c r="F8" t="s">
        <v>83</v>
      </c>
      <c r="G8" t="s">
        <v>77</v>
      </c>
      <c r="I8" s="57"/>
    </row>
    <row r="9" spans="1:9" x14ac:dyDescent="0.3">
      <c r="A9">
        <v>8</v>
      </c>
      <c r="B9" s="49"/>
      <c r="C9" s="58"/>
      <c r="D9" t="s">
        <v>55</v>
      </c>
      <c r="E9">
        <v>1</v>
      </c>
      <c r="F9" t="s">
        <v>81</v>
      </c>
      <c r="G9" t="s">
        <v>79</v>
      </c>
      <c r="I9" s="57"/>
    </row>
    <row r="10" spans="1:9" x14ac:dyDescent="0.3">
      <c r="A10">
        <v>9</v>
      </c>
      <c r="B10" s="51" t="s">
        <v>66</v>
      </c>
      <c r="C10" s="56">
        <v>42401</v>
      </c>
      <c r="D10" t="s">
        <v>38</v>
      </c>
      <c r="E10">
        <v>2.5</v>
      </c>
      <c r="F10" t="s">
        <v>84</v>
      </c>
      <c r="G10" t="s">
        <v>87</v>
      </c>
      <c r="I10" s="59"/>
    </row>
    <row r="11" spans="1:9" x14ac:dyDescent="0.3">
      <c r="A11">
        <v>10</v>
      </c>
      <c r="B11" s="51"/>
      <c r="C11" s="49"/>
      <c r="D11" t="s">
        <v>37</v>
      </c>
      <c r="E11">
        <v>2.5</v>
      </c>
      <c r="F11" t="s">
        <v>84</v>
      </c>
      <c r="G11" t="s">
        <v>87</v>
      </c>
      <c r="I11" s="59"/>
    </row>
    <row r="12" spans="1:9" x14ac:dyDescent="0.3">
      <c r="A12">
        <v>11</v>
      </c>
      <c r="B12" s="51"/>
      <c r="C12" s="49"/>
      <c r="D12" t="s">
        <v>39</v>
      </c>
      <c r="E12">
        <v>2.5</v>
      </c>
      <c r="F12" t="s">
        <v>85</v>
      </c>
      <c r="G12" t="s">
        <v>86</v>
      </c>
      <c r="I12" s="59"/>
    </row>
    <row r="13" spans="1:9" x14ac:dyDescent="0.3">
      <c r="A13">
        <v>12</v>
      </c>
      <c r="B13" s="51"/>
      <c r="C13" s="49"/>
      <c r="D13" t="s">
        <v>40</v>
      </c>
      <c r="E13">
        <v>2.5</v>
      </c>
      <c r="F13" t="s">
        <v>85</v>
      </c>
      <c r="G13" t="s">
        <v>86</v>
      </c>
      <c r="I13" s="59"/>
    </row>
    <row r="14" spans="1:9" x14ac:dyDescent="0.3">
      <c r="A14">
        <v>13</v>
      </c>
      <c r="B14" s="51"/>
      <c r="C14" s="49"/>
      <c r="D14" t="s">
        <v>41</v>
      </c>
      <c r="E14">
        <v>10</v>
      </c>
      <c r="F14" t="s">
        <v>85</v>
      </c>
      <c r="G14" t="s">
        <v>86</v>
      </c>
      <c r="I14" s="59"/>
    </row>
  </sheetData>
  <mergeCells count="7">
    <mergeCell ref="B2:B9"/>
    <mergeCell ref="B10:B14"/>
    <mergeCell ref="C10:C14"/>
    <mergeCell ref="I2:I9"/>
    <mergeCell ref="C7:C9"/>
    <mergeCell ref="C2:C6"/>
    <mergeCell ref="I10:I14"/>
  </mergeCells>
  <phoneticPr fontId="2"/>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zoomScale="79" workbookViewId="0">
      <selection activeCell="G11" sqref="G11"/>
    </sheetView>
  </sheetViews>
  <sheetFormatPr baseColWidth="12" defaultRowHeight="20" x14ac:dyDescent="0.3"/>
  <cols>
    <col min="4" max="4" width="35.5703125" bestFit="1" customWidth="1"/>
    <col min="6" max="6" width="15" bestFit="1" customWidth="1"/>
    <col min="7" max="7" width="40.7109375" bestFit="1" customWidth="1"/>
    <col min="8" max="8" width="45.85546875" bestFit="1" customWidth="1"/>
    <col min="9" max="9" width="60" customWidth="1"/>
  </cols>
  <sheetData>
    <row r="1" spans="1:9" x14ac:dyDescent="0.3">
      <c r="A1" t="s">
        <v>43</v>
      </c>
      <c r="B1" t="s">
        <v>42</v>
      </c>
      <c r="C1" t="s">
        <v>58</v>
      </c>
      <c r="D1" t="s">
        <v>59</v>
      </c>
      <c r="E1" t="s">
        <v>47</v>
      </c>
      <c r="F1" t="s">
        <v>88</v>
      </c>
      <c r="G1" t="s">
        <v>46</v>
      </c>
      <c r="H1" t="s">
        <v>24</v>
      </c>
      <c r="I1" t="s">
        <v>56</v>
      </c>
    </row>
    <row r="2" spans="1:9" x14ac:dyDescent="0.3">
      <c r="A2">
        <v>1</v>
      </c>
      <c r="B2" s="51" t="s">
        <v>67</v>
      </c>
      <c r="C2" s="58">
        <v>42375</v>
      </c>
      <c r="D2" t="s">
        <v>60</v>
      </c>
      <c r="E2">
        <v>0.5</v>
      </c>
      <c r="F2" t="s">
        <v>89</v>
      </c>
      <c r="G2" t="s">
        <v>61</v>
      </c>
      <c r="I2" s="60" t="s">
        <v>90</v>
      </c>
    </row>
    <row r="3" spans="1:9" x14ac:dyDescent="0.3">
      <c r="A3">
        <v>2</v>
      </c>
      <c r="B3" s="51"/>
      <c r="C3" s="58"/>
      <c r="D3" t="s">
        <v>62</v>
      </c>
      <c r="E3">
        <v>4</v>
      </c>
      <c r="F3" t="s">
        <v>89</v>
      </c>
      <c r="G3" t="s">
        <v>61</v>
      </c>
      <c r="I3" s="60"/>
    </row>
    <row r="4" spans="1:9" x14ac:dyDescent="0.3">
      <c r="A4">
        <v>3</v>
      </c>
      <c r="B4" s="51"/>
      <c r="C4" s="18">
        <v>42388</v>
      </c>
      <c r="D4" t="s">
        <v>50</v>
      </c>
      <c r="E4">
        <v>4</v>
      </c>
      <c r="F4" t="s">
        <v>89</v>
      </c>
      <c r="G4" t="s">
        <v>64</v>
      </c>
      <c r="H4" t="s">
        <v>65</v>
      </c>
      <c r="I4" s="60"/>
    </row>
    <row r="8" spans="1:9" x14ac:dyDescent="0.3">
      <c r="C8" s="9"/>
    </row>
    <row r="9" spans="1:9" x14ac:dyDescent="0.3">
      <c r="I9" s="19"/>
    </row>
  </sheetData>
  <mergeCells count="3">
    <mergeCell ref="C2:C3"/>
    <mergeCell ref="B2:B4"/>
    <mergeCell ref="I2:I4"/>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6</vt:i4>
      </vt:variant>
    </vt:vector>
  </HeadingPairs>
  <TitlesOfParts>
    <vt:vector size="6" baseType="lpstr">
      <vt:lpstr>DS2仕事量</vt:lpstr>
      <vt:lpstr>DS2EVM</vt:lpstr>
      <vt:lpstr>DS3仕事量 </vt:lpstr>
      <vt:lpstr>DS3EVM </vt:lpstr>
      <vt:lpstr>追加タスク管理 </vt:lpstr>
      <vt:lpstr>中止タスク管理</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Microsoft Office ユーザー</cp:lastModifiedBy>
  <dcterms:created xsi:type="dcterms:W3CDTF">2016-01-06T08:16:57Z</dcterms:created>
  <dcterms:modified xsi:type="dcterms:W3CDTF">2016-02-05T05:02:10Z</dcterms:modified>
</cp:coreProperties>
</file>