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/Library/Mobile Documents/com~apple~CloudDocs/Lori&amp;BradShared/Brad Work/AppliedAnodized/DXF2LASER/"/>
    </mc:Choice>
  </mc:AlternateContent>
  <xr:revisionPtr revIDLastSave="0" documentId="13_ncr:1_{BD46E3CD-B14D-1444-B9C3-E539E368972E}" xr6:coauthVersionLast="47" xr6:coauthVersionMax="47" xr10:uidLastSave="{00000000-0000-0000-0000-000000000000}"/>
  <bookViews>
    <workbookView xWindow="3600" yWindow="8700" windowWidth="34200" windowHeight="19560" activeTab="1" xr2:uid="{0CD3372B-585C-BE40-B9DB-5E39E16819CC}"/>
  </bookViews>
  <sheets>
    <sheet name="outside of grooves" sheetId="3" r:id="rId1"/>
    <sheet name="outer and inner grooves" sheetId="5" r:id="rId2"/>
    <sheet name="Groove meas and calcs" sheetId="4" r:id="rId3"/>
    <sheet name="center of grooves" sheetId="2" r:id="rId4"/>
    <sheet name="ref ptt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5" l="1"/>
  <c r="O32" i="5"/>
  <c r="Q26" i="5"/>
  <c r="Q30" i="5"/>
  <c r="Q28" i="5"/>
  <c r="L26" i="5"/>
  <c r="L27" i="5" s="1"/>
  <c r="M27" i="5"/>
  <c r="M26" i="5"/>
  <c r="L30" i="5"/>
  <c r="M30" i="5"/>
  <c r="G6" i="5"/>
  <c r="I6" i="5" s="1"/>
  <c r="H6" i="5"/>
  <c r="G7" i="5"/>
  <c r="J7" i="5" s="1"/>
  <c r="H7" i="5"/>
  <c r="G8" i="5"/>
  <c r="I8" i="5" s="1"/>
  <c r="H8" i="5"/>
  <c r="G9" i="5"/>
  <c r="H9" i="5"/>
  <c r="I9" i="5"/>
  <c r="G10" i="5"/>
  <c r="H10" i="5"/>
  <c r="I10" i="5"/>
  <c r="G11" i="5"/>
  <c r="I11" i="5" s="1"/>
  <c r="H11" i="5"/>
  <c r="G12" i="5"/>
  <c r="H12" i="5"/>
  <c r="I12" i="5"/>
  <c r="G13" i="5"/>
  <c r="J13" i="5" s="1"/>
  <c r="H13" i="5"/>
  <c r="I13" i="5"/>
  <c r="G14" i="5"/>
  <c r="H14" i="5"/>
  <c r="I14" i="5"/>
  <c r="G15" i="5"/>
  <c r="J15" i="5" s="1"/>
  <c r="H15" i="5"/>
  <c r="I15" i="5"/>
  <c r="G16" i="5"/>
  <c r="I16" i="5" s="1"/>
  <c r="H16" i="5"/>
  <c r="G17" i="5"/>
  <c r="H17" i="5"/>
  <c r="I17" i="5"/>
  <c r="H5" i="5"/>
  <c r="G5" i="5"/>
  <c r="I5" i="5" s="1"/>
  <c r="J17" i="5"/>
  <c r="J16" i="5"/>
  <c r="J14" i="5"/>
  <c r="J12" i="5"/>
  <c r="J10" i="5"/>
  <c r="J9" i="5"/>
  <c r="J8" i="5"/>
  <c r="J6" i="5"/>
  <c r="F6" i="5"/>
  <c r="F7" i="5"/>
  <c r="F8" i="5"/>
  <c r="F9" i="5"/>
  <c r="F10" i="5"/>
  <c r="F11" i="5"/>
  <c r="F12" i="5"/>
  <c r="F13" i="5"/>
  <c r="F14" i="5"/>
  <c r="F15" i="5"/>
  <c r="F16" i="5"/>
  <c r="F17" i="5"/>
  <c r="F5" i="5"/>
  <c r="D6" i="5"/>
  <c r="E6" i="5" s="1"/>
  <c r="D7" i="5"/>
  <c r="D8" i="5"/>
  <c r="D9" i="5"/>
  <c r="D10" i="5"/>
  <c r="D11" i="5"/>
  <c r="D12" i="5"/>
  <c r="D13" i="5"/>
  <c r="D14" i="5"/>
  <c r="E14" i="5" s="1"/>
  <c r="D15" i="5"/>
  <c r="D16" i="5"/>
  <c r="D17" i="5"/>
  <c r="D5" i="5"/>
  <c r="C6" i="5"/>
  <c r="C7" i="5"/>
  <c r="C8" i="5"/>
  <c r="C9" i="5"/>
  <c r="C10" i="5"/>
  <c r="C11" i="5"/>
  <c r="C12" i="5"/>
  <c r="C13" i="5"/>
  <c r="C14" i="5"/>
  <c r="C15" i="5"/>
  <c r="C16" i="5"/>
  <c r="C17" i="5"/>
  <c r="C5" i="5"/>
  <c r="E5" i="5" s="1"/>
  <c r="E7" i="5"/>
  <c r="E8" i="5"/>
  <c r="E15" i="5"/>
  <c r="E16" i="5"/>
  <c r="H3" i="5"/>
  <c r="D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G45" i="1"/>
  <c r="D43" i="1"/>
  <c r="I43" i="1" s="1"/>
  <c r="O4" i="1"/>
  <c r="N5" i="1"/>
  <c r="N4" i="1"/>
  <c r="I50" i="1"/>
  <c r="I49" i="1"/>
  <c r="I44" i="1"/>
  <c r="I48" i="1"/>
  <c r="G50" i="1"/>
  <c r="G49" i="1"/>
  <c r="G48" i="1"/>
  <c r="G44" i="1"/>
  <c r="S5" i="1"/>
  <c r="V5" i="1" s="1"/>
  <c r="S4" i="1"/>
  <c r="Q5" i="1"/>
  <c r="P5" i="1"/>
  <c r="K5" i="1"/>
  <c r="T5" i="1" s="1"/>
  <c r="W5" i="1" s="1"/>
  <c r="J5" i="1"/>
  <c r="K4" i="1"/>
  <c r="T4" i="1" s="1"/>
  <c r="W4" i="1" s="1"/>
  <c r="J4" i="1"/>
  <c r="B4" i="3"/>
  <c r="B3" i="3"/>
  <c r="N3" i="3" s="1"/>
  <c r="N4" i="3"/>
  <c r="K4" i="3"/>
  <c r="P22" i="3"/>
  <c r="Q22" i="3" s="1"/>
  <c r="E22" i="3"/>
  <c r="F22" i="3" s="1"/>
  <c r="L33" i="3"/>
  <c r="A33" i="3"/>
  <c r="B33" i="3" s="1"/>
  <c r="M32" i="3"/>
  <c r="O32" i="3" s="1"/>
  <c r="B32" i="3"/>
  <c r="C32" i="3" s="1"/>
  <c r="L31" i="3"/>
  <c r="L30" i="3" s="1"/>
  <c r="A31" i="3"/>
  <c r="B31" i="3" s="1"/>
  <c r="C31" i="3" s="1"/>
  <c r="L28" i="2"/>
  <c r="L29" i="2" s="1"/>
  <c r="L30" i="2" s="1"/>
  <c r="L31" i="2" s="1"/>
  <c r="L32" i="2" s="1"/>
  <c r="L33" i="2" s="1"/>
  <c r="L34" i="2" s="1"/>
  <c r="L35" i="2" s="1"/>
  <c r="L26" i="2"/>
  <c r="L25" i="2" s="1"/>
  <c r="L24" i="2" s="1"/>
  <c r="L23" i="2" s="1"/>
  <c r="L22" i="2" s="1"/>
  <c r="L21" i="2" s="1"/>
  <c r="L20" i="2" s="1"/>
  <c r="L19" i="2" s="1"/>
  <c r="M27" i="2"/>
  <c r="O27" i="2" s="1"/>
  <c r="Q27" i="2" s="1"/>
  <c r="A28" i="2"/>
  <c r="A29" i="2" s="1"/>
  <c r="A26" i="2"/>
  <c r="A25" i="2" s="1"/>
  <c r="C27" i="2"/>
  <c r="E27" i="2" s="1"/>
  <c r="D27" i="2"/>
  <c r="B27" i="2"/>
  <c r="C23" i="1"/>
  <c r="C21" i="1"/>
  <c r="D21" i="1" s="1"/>
  <c r="F21" i="1" s="1"/>
  <c r="E20" i="1"/>
  <c r="E23" i="1" s="1"/>
  <c r="C20" i="1"/>
  <c r="D20" i="1" s="1"/>
  <c r="F20" i="1" s="1"/>
  <c r="C24" i="1"/>
  <c r="D24" i="1" s="1"/>
  <c r="F24" i="1" s="1"/>
  <c r="D13" i="1"/>
  <c r="F13" i="1" s="1"/>
  <c r="D12" i="1"/>
  <c r="F12" i="1" s="1"/>
  <c r="D10" i="1"/>
  <c r="F10" i="1" s="1"/>
  <c r="D9" i="1"/>
  <c r="F9" i="1" s="1"/>
  <c r="D6" i="1"/>
  <c r="F6" i="1" s="1"/>
  <c r="D5" i="1"/>
  <c r="F5" i="1" s="1"/>
  <c r="J11" i="5" l="1"/>
  <c r="I7" i="5"/>
  <c r="J5" i="5"/>
  <c r="E13" i="5"/>
  <c r="E12" i="5"/>
  <c r="E11" i="5"/>
  <c r="E10" i="5"/>
  <c r="E17" i="5"/>
  <c r="E9" i="5"/>
  <c r="I45" i="1"/>
  <c r="G43" i="1"/>
  <c r="K3" i="3"/>
  <c r="Q32" i="3"/>
  <c r="E32" i="3"/>
  <c r="I32" i="3" s="1"/>
  <c r="L51" i="3" s="1"/>
  <c r="E31" i="3"/>
  <c r="M30" i="3"/>
  <c r="O30" i="3" s="1"/>
  <c r="Q30" i="3" s="1"/>
  <c r="L29" i="3"/>
  <c r="M31" i="3"/>
  <c r="N31" i="3" s="1"/>
  <c r="P31" i="3" s="1"/>
  <c r="D32" i="3"/>
  <c r="F32" i="3" s="1"/>
  <c r="D31" i="3"/>
  <c r="F31" i="3" s="1"/>
  <c r="A34" i="3"/>
  <c r="A35" i="3" s="1"/>
  <c r="A36" i="3" s="1"/>
  <c r="M33" i="3"/>
  <c r="L34" i="3"/>
  <c r="D33" i="3"/>
  <c r="F33" i="3" s="1"/>
  <c r="C33" i="3"/>
  <c r="E33" i="3" s="1"/>
  <c r="A30" i="3"/>
  <c r="N32" i="3"/>
  <c r="P32" i="3" s="1"/>
  <c r="N27" i="2"/>
  <c r="P27" i="2" s="1"/>
  <c r="T27" i="2" s="1"/>
  <c r="M28" i="2"/>
  <c r="O28" i="2" s="1"/>
  <c r="Q28" i="2" s="1"/>
  <c r="M25" i="2"/>
  <c r="O25" i="2" s="1"/>
  <c r="Q25" i="2" s="1"/>
  <c r="M26" i="2"/>
  <c r="O26" i="2" s="1"/>
  <c r="Q26" i="2" s="1"/>
  <c r="M24" i="2"/>
  <c r="O24" i="2" s="1"/>
  <c r="Q24" i="2" s="1"/>
  <c r="B25" i="2"/>
  <c r="C25" i="2" s="1"/>
  <c r="A24" i="2"/>
  <c r="A30" i="2"/>
  <c r="B29" i="2"/>
  <c r="C29" i="2" s="1"/>
  <c r="B28" i="2"/>
  <c r="D28" i="2" s="1"/>
  <c r="B26" i="2"/>
  <c r="C26" i="2" s="1"/>
  <c r="F27" i="2"/>
  <c r="G27" i="2" s="1"/>
  <c r="D23" i="1"/>
  <c r="F23" i="1" s="1"/>
  <c r="G33" i="3" l="1"/>
  <c r="G31" i="3"/>
  <c r="I27" i="2"/>
  <c r="G32" i="3"/>
  <c r="N30" i="3"/>
  <c r="P30" i="3" s="1"/>
  <c r="R30" i="3"/>
  <c r="B35" i="3"/>
  <c r="D35" i="3" s="1"/>
  <c r="F35" i="3" s="1"/>
  <c r="B34" i="3"/>
  <c r="C34" i="3" s="1"/>
  <c r="E34" i="3" s="1"/>
  <c r="M29" i="3"/>
  <c r="L28" i="3"/>
  <c r="O31" i="3"/>
  <c r="Q31" i="3" s="1"/>
  <c r="R31" i="3" s="1"/>
  <c r="O33" i="3"/>
  <c r="Q33" i="3" s="1"/>
  <c r="N33" i="3"/>
  <c r="P33" i="3" s="1"/>
  <c r="A29" i="3"/>
  <c r="B30" i="3"/>
  <c r="L35" i="3"/>
  <c r="M34" i="3"/>
  <c r="B36" i="3"/>
  <c r="A37" i="3"/>
  <c r="T32" i="3"/>
  <c r="L46" i="3" s="1"/>
  <c r="R32" i="3"/>
  <c r="R27" i="2"/>
  <c r="D25" i="2"/>
  <c r="N28" i="2"/>
  <c r="P28" i="2" s="1"/>
  <c r="R28" i="2" s="1"/>
  <c r="N25" i="2"/>
  <c r="P25" i="2" s="1"/>
  <c r="R25" i="2" s="1"/>
  <c r="E29" i="2"/>
  <c r="F25" i="2"/>
  <c r="F28" i="2"/>
  <c r="N26" i="2"/>
  <c r="P26" i="2" s="1"/>
  <c r="R26" i="2" s="1"/>
  <c r="C28" i="2"/>
  <c r="N24" i="2"/>
  <c r="P24" i="2" s="1"/>
  <c r="R24" i="2" s="1"/>
  <c r="M23" i="2"/>
  <c r="M29" i="2"/>
  <c r="D26" i="2"/>
  <c r="D29" i="2"/>
  <c r="E25" i="2"/>
  <c r="G25" i="2" s="1"/>
  <c r="E26" i="2"/>
  <c r="A31" i="2"/>
  <c r="B30" i="2"/>
  <c r="B24" i="2"/>
  <c r="A23" i="2"/>
  <c r="C35" i="3" l="1"/>
  <c r="E35" i="3" s="1"/>
  <c r="R33" i="3"/>
  <c r="D34" i="3"/>
  <c r="F34" i="3" s="1"/>
  <c r="G34" i="3" s="1"/>
  <c r="G35" i="3"/>
  <c r="M28" i="3"/>
  <c r="L27" i="3"/>
  <c r="O29" i="3"/>
  <c r="Q29" i="3" s="1"/>
  <c r="N29" i="3"/>
  <c r="P29" i="3" s="1"/>
  <c r="O34" i="3"/>
  <c r="Q34" i="3" s="1"/>
  <c r="N34" i="3"/>
  <c r="P34" i="3" s="1"/>
  <c r="L36" i="3"/>
  <c r="M35" i="3"/>
  <c r="D30" i="3"/>
  <c r="F30" i="3" s="1"/>
  <c r="C30" i="3"/>
  <c r="E30" i="3" s="1"/>
  <c r="B37" i="3"/>
  <c r="A38" i="3"/>
  <c r="D36" i="3"/>
  <c r="F36" i="3" s="1"/>
  <c r="C36" i="3"/>
  <c r="E36" i="3" s="1"/>
  <c r="B29" i="3"/>
  <c r="A28" i="3"/>
  <c r="F29" i="2"/>
  <c r="G29" i="2" s="1"/>
  <c r="E28" i="2"/>
  <c r="G28" i="2" s="1"/>
  <c r="F26" i="2"/>
  <c r="G26" i="2" s="1"/>
  <c r="M22" i="2"/>
  <c r="O23" i="2"/>
  <c r="Q23" i="2" s="1"/>
  <c r="N23" i="2"/>
  <c r="P23" i="2" s="1"/>
  <c r="M30" i="2"/>
  <c r="O29" i="2"/>
  <c r="Q29" i="2" s="1"/>
  <c r="N29" i="2"/>
  <c r="P29" i="2" s="1"/>
  <c r="C24" i="2"/>
  <c r="D24" i="2"/>
  <c r="D30" i="2"/>
  <c r="C30" i="2"/>
  <c r="A32" i="2"/>
  <c r="B31" i="2"/>
  <c r="B23" i="2"/>
  <c r="A22" i="2"/>
  <c r="T23" i="2" l="1"/>
  <c r="I36" i="3"/>
  <c r="L50" i="3" s="1"/>
  <c r="G30" i="3"/>
  <c r="R34" i="3"/>
  <c r="R29" i="3"/>
  <c r="M27" i="3"/>
  <c r="L26" i="3"/>
  <c r="O28" i="3"/>
  <c r="Q28" i="3" s="1"/>
  <c r="N28" i="3"/>
  <c r="P28" i="3" s="1"/>
  <c r="G36" i="3"/>
  <c r="A27" i="3"/>
  <c r="B28" i="3"/>
  <c r="D29" i="3"/>
  <c r="F29" i="3" s="1"/>
  <c r="C29" i="3"/>
  <c r="E29" i="3" s="1"/>
  <c r="G29" i="3" s="1"/>
  <c r="N35" i="3"/>
  <c r="P35" i="3" s="1"/>
  <c r="O35" i="3"/>
  <c r="Q35" i="3" s="1"/>
  <c r="B38" i="3"/>
  <c r="A39" i="3"/>
  <c r="M36" i="3"/>
  <c r="L37" i="3"/>
  <c r="D37" i="3"/>
  <c r="F37" i="3" s="1"/>
  <c r="C37" i="3"/>
  <c r="E37" i="3" s="1"/>
  <c r="R23" i="2"/>
  <c r="R29" i="2"/>
  <c r="M21" i="2"/>
  <c r="O22" i="2"/>
  <c r="Q22" i="2" s="1"/>
  <c r="N22" i="2"/>
  <c r="P22" i="2" s="1"/>
  <c r="R22" i="2" s="1"/>
  <c r="M31" i="2"/>
  <c r="O30" i="2"/>
  <c r="Q30" i="2" s="1"/>
  <c r="N30" i="2"/>
  <c r="P30" i="2" s="1"/>
  <c r="A21" i="2"/>
  <c r="B22" i="2"/>
  <c r="D23" i="2"/>
  <c r="C23" i="2"/>
  <c r="D31" i="2"/>
  <c r="C31" i="2"/>
  <c r="A33" i="2"/>
  <c r="B32" i="2"/>
  <c r="E30" i="2"/>
  <c r="F30" i="2"/>
  <c r="F24" i="2"/>
  <c r="E24" i="2"/>
  <c r="G24" i="2" s="1"/>
  <c r="G30" i="2" l="1"/>
  <c r="G37" i="3"/>
  <c r="T28" i="3"/>
  <c r="L45" i="3" s="1"/>
  <c r="R28" i="3"/>
  <c r="L25" i="3"/>
  <c r="M26" i="3"/>
  <c r="N27" i="3"/>
  <c r="P27" i="3" s="1"/>
  <c r="O27" i="3"/>
  <c r="Q27" i="3" s="1"/>
  <c r="B27" i="3"/>
  <c r="A26" i="3"/>
  <c r="R35" i="3"/>
  <c r="D28" i="3"/>
  <c r="F28" i="3" s="1"/>
  <c r="C28" i="3"/>
  <c r="E28" i="3" s="1"/>
  <c r="I28" i="3" s="1"/>
  <c r="L52" i="3" s="1"/>
  <c r="D38" i="3"/>
  <c r="F38" i="3" s="1"/>
  <c r="C38" i="3"/>
  <c r="E38" i="3" s="1"/>
  <c r="G38" i="3" s="1"/>
  <c r="M37" i="3"/>
  <c r="L38" i="3"/>
  <c r="O36" i="3"/>
  <c r="Q36" i="3" s="1"/>
  <c r="N36" i="3"/>
  <c r="P36" i="3" s="1"/>
  <c r="B39" i="3"/>
  <c r="A40" i="3"/>
  <c r="B40" i="3" s="1"/>
  <c r="R30" i="2"/>
  <c r="O21" i="2"/>
  <c r="Q21" i="2" s="1"/>
  <c r="N21" i="2"/>
  <c r="P21" i="2" s="1"/>
  <c r="R21" i="2" s="1"/>
  <c r="M20" i="2"/>
  <c r="M19" i="2"/>
  <c r="M32" i="2"/>
  <c r="O31" i="2"/>
  <c r="Q31" i="2" s="1"/>
  <c r="N31" i="2"/>
  <c r="P31" i="2" s="1"/>
  <c r="T31" i="2" s="1"/>
  <c r="D32" i="2"/>
  <c r="C32" i="2"/>
  <c r="A34" i="2"/>
  <c r="B33" i="2"/>
  <c r="E31" i="2"/>
  <c r="F31" i="2"/>
  <c r="E23" i="2"/>
  <c r="F23" i="2"/>
  <c r="C22" i="2"/>
  <c r="D22" i="2"/>
  <c r="B21" i="2"/>
  <c r="A20" i="2"/>
  <c r="G23" i="2" l="1"/>
  <c r="I23" i="2"/>
  <c r="G31" i="2"/>
  <c r="I31" i="2"/>
  <c r="R27" i="3"/>
  <c r="O26" i="3"/>
  <c r="Q26" i="3" s="1"/>
  <c r="N26" i="3"/>
  <c r="P26" i="3" s="1"/>
  <c r="M25" i="3"/>
  <c r="L24" i="3"/>
  <c r="M24" i="3" s="1"/>
  <c r="C39" i="3"/>
  <c r="E39" i="3" s="1"/>
  <c r="D39" i="3"/>
  <c r="F39" i="3" s="1"/>
  <c r="R36" i="3"/>
  <c r="T36" i="3"/>
  <c r="L47" i="3" s="1"/>
  <c r="D40" i="3"/>
  <c r="F40" i="3" s="1"/>
  <c r="D10" i="3" s="1"/>
  <c r="G10" i="3" s="1"/>
  <c r="C40" i="3"/>
  <c r="E40" i="3" s="1"/>
  <c r="G28" i="3"/>
  <c r="M38" i="3"/>
  <c r="L39" i="3"/>
  <c r="N37" i="3"/>
  <c r="P37" i="3" s="1"/>
  <c r="O37" i="3"/>
  <c r="Q37" i="3" s="1"/>
  <c r="B26" i="3"/>
  <c r="A25" i="3"/>
  <c r="D27" i="3"/>
  <c r="F27" i="3" s="1"/>
  <c r="C27" i="3"/>
  <c r="E27" i="3" s="1"/>
  <c r="R31" i="2"/>
  <c r="O19" i="2"/>
  <c r="Q19" i="2" s="1"/>
  <c r="D3" i="2" s="1"/>
  <c r="G3" i="2" s="1"/>
  <c r="N19" i="2"/>
  <c r="P19" i="2" s="1"/>
  <c r="O20" i="2"/>
  <c r="Q20" i="2" s="1"/>
  <c r="N20" i="2"/>
  <c r="P20" i="2" s="1"/>
  <c r="R20" i="2" s="1"/>
  <c r="M33" i="2"/>
  <c r="O32" i="2"/>
  <c r="Q32" i="2" s="1"/>
  <c r="N32" i="2"/>
  <c r="P32" i="2" s="1"/>
  <c r="B20" i="2"/>
  <c r="A19" i="2"/>
  <c r="B19" i="2" s="1"/>
  <c r="D21" i="2"/>
  <c r="C21" i="2"/>
  <c r="F22" i="2"/>
  <c r="E22" i="2"/>
  <c r="G22" i="2" s="1"/>
  <c r="C33" i="2"/>
  <c r="D33" i="2"/>
  <c r="A35" i="2"/>
  <c r="B35" i="2" s="1"/>
  <c r="B34" i="2"/>
  <c r="E32" i="2"/>
  <c r="F32" i="2"/>
  <c r="G32" i="2" l="1"/>
  <c r="T19" i="2"/>
  <c r="C3" i="2"/>
  <c r="I17" i="2"/>
  <c r="R26" i="3"/>
  <c r="O24" i="3"/>
  <c r="Q24" i="3" s="1"/>
  <c r="D8" i="3" s="1"/>
  <c r="G8" i="3" s="1"/>
  <c r="N24" i="3"/>
  <c r="P24" i="3" s="1"/>
  <c r="I22" i="3" s="1"/>
  <c r="L54" i="3" s="1"/>
  <c r="O25" i="3"/>
  <c r="Q25" i="3" s="1"/>
  <c r="N25" i="3"/>
  <c r="P25" i="3" s="1"/>
  <c r="G27" i="3"/>
  <c r="B25" i="3"/>
  <c r="A24" i="3"/>
  <c r="B24" i="3" s="1"/>
  <c r="L40" i="3"/>
  <c r="M40" i="3" s="1"/>
  <c r="M39" i="3"/>
  <c r="I40" i="3"/>
  <c r="L49" i="3" s="1"/>
  <c r="C10" i="3"/>
  <c r="G40" i="3"/>
  <c r="D26" i="3"/>
  <c r="F26" i="3" s="1"/>
  <c r="C26" i="3"/>
  <c r="E26" i="3" s="1"/>
  <c r="R37" i="3"/>
  <c r="O38" i="3"/>
  <c r="Q38" i="3" s="1"/>
  <c r="N38" i="3"/>
  <c r="P38" i="3" s="1"/>
  <c r="G39" i="3"/>
  <c r="R19" i="2"/>
  <c r="R32" i="2"/>
  <c r="M34" i="2"/>
  <c r="M35" i="2"/>
  <c r="O33" i="2"/>
  <c r="Q33" i="2" s="1"/>
  <c r="N33" i="2"/>
  <c r="P33" i="2" s="1"/>
  <c r="R33" i="2" s="1"/>
  <c r="C34" i="2"/>
  <c r="D34" i="2"/>
  <c r="E21" i="2"/>
  <c r="G21" i="2" s="1"/>
  <c r="D35" i="2"/>
  <c r="C35" i="2"/>
  <c r="F21" i="2"/>
  <c r="F33" i="2"/>
  <c r="D19" i="2"/>
  <c r="C19" i="2"/>
  <c r="E33" i="2"/>
  <c r="G33" i="2" s="1"/>
  <c r="D20" i="2"/>
  <c r="C20" i="2"/>
  <c r="F3" i="2" l="1"/>
  <c r="E3" i="2"/>
  <c r="R25" i="3"/>
  <c r="G26" i="3"/>
  <c r="R38" i="3"/>
  <c r="C8" i="3"/>
  <c r="T24" i="3"/>
  <c r="L44" i="3" s="1"/>
  <c r="R24" i="3"/>
  <c r="F10" i="3"/>
  <c r="E10" i="3"/>
  <c r="O39" i="3"/>
  <c r="Q39" i="3" s="1"/>
  <c r="N39" i="3"/>
  <c r="P39" i="3" s="1"/>
  <c r="O40" i="3"/>
  <c r="Q40" i="3" s="1"/>
  <c r="D9" i="3" s="1"/>
  <c r="G9" i="3" s="1"/>
  <c r="N40" i="3"/>
  <c r="P40" i="3" s="1"/>
  <c r="D24" i="3"/>
  <c r="F24" i="3" s="1"/>
  <c r="D11" i="3" s="1"/>
  <c r="G11" i="3" s="1"/>
  <c r="C24" i="3"/>
  <c r="E24" i="3" s="1"/>
  <c r="I24" i="3" s="1"/>
  <c r="L53" i="3" s="1"/>
  <c r="D25" i="3"/>
  <c r="F25" i="3" s="1"/>
  <c r="C25" i="3"/>
  <c r="E25" i="3" s="1"/>
  <c r="G25" i="3" s="1"/>
  <c r="O35" i="2"/>
  <c r="Q35" i="2" s="1"/>
  <c r="D4" i="2" s="1"/>
  <c r="G4" i="2" s="1"/>
  <c r="N35" i="2"/>
  <c r="P35" i="2" s="1"/>
  <c r="O34" i="2"/>
  <c r="Q34" i="2" s="1"/>
  <c r="N34" i="2"/>
  <c r="P34" i="2" s="1"/>
  <c r="R34" i="2" s="1"/>
  <c r="F20" i="2"/>
  <c r="E19" i="2"/>
  <c r="E20" i="2"/>
  <c r="E35" i="2"/>
  <c r="F35" i="2"/>
  <c r="D5" i="2" s="1"/>
  <c r="G5" i="2" s="1"/>
  <c r="F19" i="2"/>
  <c r="D6" i="2" s="1"/>
  <c r="G6" i="2" s="1"/>
  <c r="F34" i="2"/>
  <c r="E34" i="2"/>
  <c r="G34" i="2" s="1"/>
  <c r="G19" i="2" l="1"/>
  <c r="C6" i="2"/>
  <c r="I19" i="2"/>
  <c r="T35" i="2"/>
  <c r="C4" i="2"/>
  <c r="G35" i="2"/>
  <c r="I35" i="2"/>
  <c r="C5" i="2"/>
  <c r="G20" i="2"/>
  <c r="R39" i="3"/>
  <c r="F8" i="3"/>
  <c r="E8" i="3"/>
  <c r="C11" i="3"/>
  <c r="G24" i="3"/>
  <c r="T40" i="3"/>
  <c r="L48" i="3" s="1"/>
  <c r="R40" i="3"/>
  <c r="C9" i="3"/>
  <c r="R35" i="2"/>
  <c r="E5" i="2" l="1"/>
  <c r="F5" i="2"/>
  <c r="E6" i="2"/>
  <c r="F6" i="2"/>
  <c r="E4" i="2"/>
  <c r="F4" i="2"/>
  <c r="F9" i="3"/>
  <c r="E9" i="3"/>
  <c r="F11" i="3"/>
  <c r="E11" i="3"/>
</calcChain>
</file>

<file path=xl/sharedStrings.xml><?xml version="1.0" encoding="utf-8"?>
<sst xmlns="http://schemas.openxmlformats.org/spreadsheetml/2006/main" count="198" uniqueCount="124">
  <si>
    <t>expected</t>
  </si>
  <si>
    <t>actual</t>
  </si>
  <si>
    <t>Delta</t>
  </si>
  <si>
    <t>CX, CY</t>
  </si>
  <si>
    <t>Better Center</t>
  </si>
  <si>
    <t>x</t>
  </si>
  <si>
    <t>Pad geometry</t>
  </si>
  <si>
    <t>distance</t>
  </si>
  <si>
    <t>Angle</t>
  </si>
  <si>
    <t>radians</t>
  </si>
  <si>
    <t>sin</t>
  </si>
  <si>
    <t>cos</t>
  </si>
  <si>
    <t>y</t>
  </si>
  <si>
    <t>outer radius</t>
  </si>
  <si>
    <t>inner radius</t>
  </si>
  <si>
    <t>Span in degrees</t>
  </si>
  <si>
    <t>G0 X223.936 Y7.62.   ;pt1</t>
  </si>
  <si>
    <t>G1 X224.034 Y3.81   ; arch to pt 2</t>
  </si>
  <si>
    <t>G1 X224.066 Y0   ; arch to pt 2</t>
  </si>
  <si>
    <t>G1 X224.034 Y-3.81   ; arch to pt 2</t>
  </si>
  <si>
    <t>G1 X223.936 Y-7.62   ; arch to pt 2</t>
  </si>
  <si>
    <t>G1 X213.796 Y-3.811   ; arch to pt 4</t>
  </si>
  <si>
    <t>G1 X213.83 Y0   ; arch to pt 4</t>
  </si>
  <si>
    <t>G1 X213.796 Y3.811   ; arch to pt 4</t>
  </si>
  <si>
    <t>G1 X213.694 Y7.62.   ; arch to pt 4</t>
  </si>
  <si>
    <t>G0 X223.936 Y7.620                           ; initial move to pt 1, not needed by the program</t>
  </si>
  <si>
    <t>G2 X223.936 Y-7.620 R224.0661  ; CW arc pt1-&gt;pt2</t>
  </si>
  <si>
    <t>G1 X213.694 Y-7.620                          ; Linear pt2-&gt;pt3</t>
  </si>
  <si>
    <t>G3 X213.694 Y7.620 R213.8299    ; CCW arc pt3-&gt;pt4</t>
  </si>
  <si>
    <t>G1 X223.936 Y7.620                            ; Linear pt4-&gt;pt1</t>
  </si>
  <si>
    <t>Point</t>
  </si>
  <si>
    <t>X rounded</t>
  </si>
  <si>
    <t>Y rounded</t>
  </si>
  <si>
    <t>G-Code</t>
  </si>
  <si>
    <t>Linar approximation:</t>
  </si>
  <si>
    <t>G1 X223.936 Y7.62.   ;side pt 4 to pt1</t>
  </si>
  <si>
    <t>G1 X213.694 Y-7.62   ; side pt 2 to pt 3</t>
  </si>
  <si>
    <t>some data from finding reference points</t>
  </si>
  <si>
    <t>Pad geometry for outside the grooves not the center</t>
  </si>
  <si>
    <t>Pad geometry for center of the grooves</t>
  </si>
  <si>
    <t>cirumference shift (x axis) - plus for outer and minus for inner</t>
  </si>
  <si>
    <t>radial veritcal shift (y axis) for sides - plus for upper and minus for lower</t>
  </si>
  <si>
    <t>circumference outer</t>
  </si>
  <si>
    <t>Circumf. Inner</t>
  </si>
  <si>
    <t>Radial upper</t>
  </si>
  <si>
    <t>Radial lower</t>
  </si>
  <si>
    <t>use this code</t>
  </si>
  <si>
    <t>rpt1</t>
  </si>
  <si>
    <t>cx</t>
  </si>
  <si>
    <t>cy</t>
  </si>
  <si>
    <t>x ref</t>
  </si>
  <si>
    <t>y ref</t>
  </si>
  <si>
    <t>rpt2</t>
  </si>
  <si>
    <t>$H ; home</t>
  </si>
  <si>
    <t>G0 X320 Y200 Z-60.1 ; move to fixture origin</t>
  </si>
  <si>
    <t>G10 L2 P1 X0 Y0 Z0 ;  update origin</t>
  </si>
  <si>
    <t>problem pad 1 bottom by 1.3mm</t>
  </si>
  <si>
    <t>Problem pad 1 outside arch cleaned onto the pad by 0.75mm</t>
  </si>
  <si>
    <t>X</t>
  </si>
  <si>
    <t>Y</t>
  </si>
  <si>
    <t>pad 16 also outer and bottom</t>
  </si>
  <si>
    <t>pad 8 outer 1.58mm and left .9</t>
  </si>
  <si>
    <t>Tried new values</t>
  </si>
  <si>
    <t>G10 L20 P1 X0 Y0 Z0 ;  update origin</t>
  </si>
  <si>
    <t>Ideal</t>
  </si>
  <si>
    <t>G0 X188.7140 Y-71.0950</t>
  </si>
  <si>
    <t>G1 X186.4780 Y-74.5120 F500 ; pad 2-1, offset 0.1</t>
  </si>
  <si>
    <t>G1 X184.2340 Y-77.8080 F500 ; arch to point 2</t>
  </si>
  <si>
    <t>G1 X181.9320 Y-81.0630 F500 ; arch to point 2</t>
  </si>
  <si>
    <t>G1 X179.5150 Y-84.3550 F500 ; arch to point 2</t>
  </si>
  <si>
    <t>G1 X170.8380 Y-78.3350 F500 ; side move pt 2 to pt 3</t>
  </si>
  <si>
    <t>G1 X173.2610 Y-75.0430 F500 ; arch to pt 4</t>
  </si>
  <si>
    <t>G1 X175.5620 Y-71.7920 F500 ; arch to pt 4</t>
  </si>
  <si>
    <t>G1 X177.8020 Y-68.4980 F500 ; arch to pt 4</t>
  </si>
  <si>
    <t>G1 X180.0370 Y-65.0750 F500 ; arch to pt 4</t>
  </si>
  <si>
    <t>G1 X188.7140 Y-71.0950 F500 ; move to pt1</t>
  </si>
  <si>
    <t>Adjusted</t>
  </si>
  <si>
    <t>G0 X187.204 Y-70.895</t>
  </si>
  <si>
    <t>G1 X184.968 Y-74.312 F500 ; pad 2-1, offset 0.1</t>
  </si>
  <si>
    <t>G1 X182.724 Y-77.608 F500 ; arch to point 2</t>
  </si>
  <si>
    <t>G1 X180.422 Y-80.863 F500 ; arch to point 2</t>
  </si>
  <si>
    <t>G1 X178.005 Y-84.155 F500 ; arch to point 2</t>
  </si>
  <si>
    <t>G1 X169.328 Y-78.135 F500 ; side move pt 2 to pt 3</t>
  </si>
  <si>
    <t>G1 X171.751 Y-74.843 F500 ; arch to pt 4</t>
  </si>
  <si>
    <t>G1 X174.052 Y-71.592 F500 ; arch to pt 4</t>
  </si>
  <si>
    <t>G1 X176.292 Y-68.298 F500 ; arch to pt 4</t>
  </si>
  <si>
    <t>G1 X178.527 Y-64.875 F500 ; arch to pt 4</t>
  </si>
  <si>
    <t>G1 X187.204 Y-70.895 F500 ; move to pt1</t>
  </si>
  <si>
    <t>Section 1 and 3</t>
  </si>
  <si>
    <t>S3-1</t>
  </si>
  <si>
    <t>S1-1</t>
  </si>
  <si>
    <t>S1-16</t>
  </si>
  <si>
    <t>outer (left) bottom</t>
  </si>
  <si>
    <t>outer left top</t>
  </si>
  <si>
    <t>outer (right) bottom</t>
  </si>
  <si>
    <t>Radius</t>
  </si>
  <si>
    <t>Section 2</t>
  </si>
  <si>
    <t>S2-16</t>
  </si>
  <si>
    <t>S2-8</t>
  </si>
  <si>
    <t>;   pt1 the left bottom outside corner of S2 pad 16</t>
  </si>
  <si>
    <t>;   pt2 the left bottom corner of the S2 pad 8</t>
  </si>
  <si>
    <t>;   pt3 the right bottom outside corner of S2 pad 1</t>
  </si>
  <si>
    <t>;   pt1 the left bottom outside corner of S3 pad 1</t>
  </si>
  <si>
    <t>;   pt2 the left top corner of the S1 pad 1</t>
  </si>
  <si>
    <t>;   pt3 the right bottom outside corner of S21 pad 16</t>
  </si>
  <si>
    <t>r if (0,50)</t>
  </si>
  <si>
    <t>y offset</t>
  </si>
  <si>
    <t>Outer and inner grooves</t>
  </si>
  <si>
    <t>on the circumference</t>
  </si>
  <si>
    <t>R</t>
  </si>
  <si>
    <t>Outer</t>
  </si>
  <si>
    <t>R check</t>
  </si>
  <si>
    <t>coordins</t>
  </si>
  <si>
    <t xml:space="preserve">upper </t>
  </si>
  <si>
    <t>s3-1</t>
  </si>
  <si>
    <t>s1-16</t>
  </si>
  <si>
    <t>lower</t>
  </si>
  <si>
    <t>s3-9</t>
  </si>
  <si>
    <t>s1-8</t>
  </si>
  <si>
    <t>upper</t>
  </si>
  <si>
    <t>top</t>
  </si>
  <si>
    <t>Bottom</t>
  </si>
  <si>
    <t>-30,0,45,90,135,180,210</t>
  </si>
  <si>
    <t>150, 180, 225, 270, 315, 0, 30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</si>
</sst>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Aptos Narrow"/>
      <family val="2"/>
      <scheme val="minor"/>
    </font>
    <font>
      <sz val="10.5"/>
      <color theme="1"/>
      <name val="Aptos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Times New Roman"/>
      <family val="1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2" borderId="0" xfId="0" applyFill="1"/>
    <xf numFmtId="165" fontId="0" fillId="2" borderId="0" xfId="0" applyNumberFormat="1" applyFill="1"/>
    <xf numFmtId="165" fontId="0" fillId="0" borderId="3" xfId="0" applyNumberFormat="1" applyBorder="1"/>
    <xf numFmtId="165" fontId="0" fillId="0" borderId="4" xfId="0" applyNumberForma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14" fontId="0" fillId="0" borderId="0" xfId="0" applyNumberFormat="1"/>
    <xf numFmtId="164" fontId="3" fillId="0" borderId="0" xfId="0" applyNumberFormat="1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292100</xdr:colOff>
      <xdr:row>23</xdr:row>
      <xdr:rowOff>0</xdr:rowOff>
    </xdr:from>
    <xdr:to>
      <xdr:col>18</xdr:col>
      <xdr:colOff>685800</xdr:colOff>
      <xdr:row>39</xdr:row>
      <xdr:rowOff>190500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204CABED-8A2C-9141-8078-B96036603C11}"/>
            </a:ext>
          </a:extLst>
        </xdr:cNvPr>
        <xdr:cNvSpPr/>
      </xdr:nvSpPr>
      <xdr:spPr>
        <a:xfrm>
          <a:off x="15151100" y="3657600"/>
          <a:ext cx="393700" cy="34417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279400</xdr:colOff>
      <xdr:row>21</xdr:row>
      <xdr:rowOff>50800</xdr:rowOff>
    </xdr:from>
    <xdr:to>
      <xdr:col>7</xdr:col>
      <xdr:colOff>673100</xdr:colOff>
      <xdr:row>39</xdr:row>
      <xdr:rowOff>165100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8C5B6472-053E-6B4C-B670-66E3FCEA8991}"/>
            </a:ext>
          </a:extLst>
        </xdr:cNvPr>
        <xdr:cNvSpPr/>
      </xdr:nvSpPr>
      <xdr:spPr>
        <a:xfrm rot="10800000">
          <a:off x="6057900" y="3302000"/>
          <a:ext cx="393700" cy="37719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8</xdr:col>
      <xdr:colOff>59950</xdr:colOff>
      <xdr:row>58</xdr:row>
      <xdr:rowOff>151596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89858-701C-A603-75FF-595263787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67200"/>
          <a:ext cx="7772400" cy="7669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292100</xdr:colOff>
      <xdr:row>18</xdr:row>
      <xdr:rowOff>0</xdr:rowOff>
    </xdr:from>
    <xdr:to>
      <xdr:col>18</xdr:col>
      <xdr:colOff>685800</xdr:colOff>
      <xdr:row>34</xdr:row>
      <xdr:rowOff>190500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5852CBC3-D7CA-EFE1-013E-FF2B88474B2F}"/>
            </a:ext>
          </a:extLst>
        </xdr:cNvPr>
        <xdr:cNvSpPr/>
      </xdr:nvSpPr>
      <xdr:spPr>
        <a:xfrm>
          <a:off x="15151100" y="3657600"/>
          <a:ext cx="393700" cy="34417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279400</xdr:colOff>
      <xdr:row>16</xdr:row>
      <xdr:rowOff>50800</xdr:rowOff>
    </xdr:from>
    <xdr:to>
      <xdr:col>7</xdr:col>
      <xdr:colOff>673100</xdr:colOff>
      <xdr:row>34</xdr:row>
      <xdr:rowOff>165100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27651984-BB43-2D4D-B505-FE0B6478FB4F}"/>
            </a:ext>
          </a:extLst>
        </xdr:cNvPr>
        <xdr:cNvSpPr/>
      </xdr:nvSpPr>
      <xdr:spPr>
        <a:xfrm rot="10800000">
          <a:off x="6057900" y="3302000"/>
          <a:ext cx="393700" cy="37719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E711-1910-7645-8EA2-46C8055C361C}">
  <dimension ref="A1:T54"/>
  <sheetViews>
    <sheetView topLeftCell="A15" workbookViewId="0">
      <selection activeCell="G14" sqref="G14"/>
    </sheetView>
  </sheetViews>
  <sheetFormatPr baseColWidth="10" defaultRowHeight="16" x14ac:dyDescent="0.2"/>
  <sheetData>
    <row r="1" spans="1:14" x14ac:dyDescent="0.2">
      <c r="A1" t="s">
        <v>38</v>
      </c>
    </row>
    <row r="3" spans="1:14" x14ac:dyDescent="0.2">
      <c r="B3" s="3">
        <f>0.35/2</f>
        <v>0.17499999999999999</v>
      </c>
      <c r="C3" t="s">
        <v>40</v>
      </c>
      <c r="I3" t="s">
        <v>42</v>
      </c>
      <c r="K3">
        <f>17.643/2*25.4+B3</f>
        <v>224.24110000000002</v>
      </c>
      <c r="M3" t="s">
        <v>43</v>
      </c>
      <c r="N3">
        <f>16.837/2*25.4-B3</f>
        <v>213.65489999999997</v>
      </c>
    </row>
    <row r="4" spans="1:14" x14ac:dyDescent="0.2">
      <c r="B4" s="3">
        <f>0.5/2</f>
        <v>0.25</v>
      </c>
      <c r="C4" t="s">
        <v>41</v>
      </c>
      <c r="I4" t="s">
        <v>44</v>
      </c>
      <c r="K4">
        <f>0.3*25.4+B4</f>
        <v>7.8699999999999992</v>
      </c>
      <c r="M4" t="s">
        <v>45</v>
      </c>
      <c r="N4">
        <f>-0.3*25.4-B4</f>
        <v>-7.8699999999999992</v>
      </c>
    </row>
    <row r="6" spans="1:14" x14ac:dyDescent="0.2">
      <c r="A6" t="s">
        <v>6</v>
      </c>
    </row>
    <row r="7" spans="1:14" x14ac:dyDescent="0.2">
      <c r="B7" s="6" t="s">
        <v>30</v>
      </c>
      <c r="C7" s="6" t="s">
        <v>5</v>
      </c>
      <c r="D7" s="6" t="s">
        <v>12</v>
      </c>
      <c r="E7" s="6" t="s">
        <v>7</v>
      </c>
      <c r="F7" s="6" t="s">
        <v>31</v>
      </c>
      <c r="G7" s="6" t="s">
        <v>32</v>
      </c>
      <c r="I7" s="6" t="s">
        <v>33</v>
      </c>
    </row>
    <row r="8" spans="1:14" x14ac:dyDescent="0.2">
      <c r="B8">
        <v>1</v>
      </c>
      <c r="C8" s="3">
        <f>P24</f>
        <v>223.98336997822</v>
      </c>
      <c r="D8" s="3">
        <f>Q24</f>
        <v>7.9693427087701458</v>
      </c>
      <c r="E8" s="3">
        <f>SQRT(C8^2+D8^2)</f>
        <v>224.12510000000003</v>
      </c>
      <c r="F8" s="4">
        <f>C8</f>
        <v>223.98336997822</v>
      </c>
      <c r="G8" s="4">
        <f>D8</f>
        <v>7.9693427087701458</v>
      </c>
      <c r="I8" s="15" t="s">
        <v>25</v>
      </c>
    </row>
    <row r="9" spans="1:14" x14ac:dyDescent="0.2">
      <c r="B9">
        <v>2</v>
      </c>
      <c r="C9" s="3">
        <f>P40</f>
        <v>223.98336997822</v>
      </c>
      <c r="D9" s="3">
        <f>Q40</f>
        <v>-7.9693427087701458</v>
      </c>
      <c r="E9" s="3">
        <f t="shared" ref="E9:E11" si="0">SQRT(C9^2+D9^2)</f>
        <v>224.12510000000003</v>
      </c>
      <c r="F9" s="4">
        <f t="shared" ref="F9:G11" si="1">C9</f>
        <v>223.98336997822</v>
      </c>
      <c r="G9" s="4">
        <f t="shared" si="1"/>
        <v>-7.9693427087701458</v>
      </c>
      <c r="I9" s="15" t="s">
        <v>26</v>
      </c>
    </row>
    <row r="10" spans="1:14" x14ac:dyDescent="0.2">
      <c r="B10">
        <v>3</v>
      </c>
      <c r="C10" s="3">
        <f>E40</f>
        <v>213.62230051784141</v>
      </c>
      <c r="D10" s="3">
        <f>F40</f>
        <v>-7.9693417717548849</v>
      </c>
      <c r="E10" s="3">
        <f t="shared" si="0"/>
        <v>213.77089999999995</v>
      </c>
      <c r="F10" s="4">
        <f t="shared" si="1"/>
        <v>213.62230051784141</v>
      </c>
      <c r="G10" s="4">
        <f t="shared" si="1"/>
        <v>-7.9693417717548849</v>
      </c>
      <c r="I10" s="15" t="s">
        <v>27</v>
      </c>
    </row>
    <row r="11" spans="1:14" x14ac:dyDescent="0.2">
      <c r="B11">
        <v>4</v>
      </c>
      <c r="C11" s="3">
        <f>E24</f>
        <v>213.62230051784141</v>
      </c>
      <c r="D11" s="3">
        <f>F24</f>
        <v>7.9693417717548849</v>
      </c>
      <c r="E11" s="3">
        <f t="shared" si="0"/>
        <v>213.77089999999995</v>
      </c>
      <c r="F11" s="4">
        <f t="shared" si="1"/>
        <v>213.62230051784141</v>
      </c>
      <c r="G11" s="4">
        <f t="shared" si="1"/>
        <v>7.9693417717548849</v>
      </c>
      <c r="I11" s="15" t="s">
        <v>28</v>
      </c>
    </row>
    <row r="12" spans="1:14" x14ac:dyDescent="0.2">
      <c r="D12" s="4"/>
      <c r="I12" s="15" t="s">
        <v>29</v>
      </c>
    </row>
    <row r="13" spans="1:14" x14ac:dyDescent="0.2">
      <c r="B13" s="14"/>
      <c r="D13" s="4"/>
    </row>
    <row r="17" spans="1:20" x14ac:dyDescent="0.2">
      <c r="A17" s="5" t="s">
        <v>34</v>
      </c>
    </row>
    <row r="21" spans="1:20" x14ac:dyDescent="0.2">
      <c r="A21" s="5" t="s">
        <v>15</v>
      </c>
      <c r="E21" s="7" t="s">
        <v>14</v>
      </c>
      <c r="F21" s="9"/>
      <c r="L21" s="5" t="s">
        <v>15</v>
      </c>
      <c r="P21" s="7" t="s">
        <v>13</v>
      </c>
      <c r="Q21" s="8"/>
    </row>
    <row r="22" spans="1:20" x14ac:dyDescent="0.2">
      <c r="A22" s="10">
        <v>0.26705896366183007</v>
      </c>
      <c r="E22" s="12">
        <f>16.837/2*25.4-0.059</f>
        <v>213.77089999999998</v>
      </c>
      <c r="F22" s="13">
        <f>E22</f>
        <v>213.77089999999998</v>
      </c>
      <c r="I22" t="str">
        <f>"G1 X"&amp;ROUND(P24,3)&amp;" Y"&amp;ROUND(Q24,3)&amp;"    ; move to pt1"</f>
        <v>G1 X223.983 Y7.969    ; move to pt1</v>
      </c>
      <c r="L22" s="10">
        <v>0.25471599111366278</v>
      </c>
      <c r="P22" s="12">
        <f>17.643/2*25.4+0.059</f>
        <v>224.1251</v>
      </c>
      <c r="Q22" s="13">
        <f>P22</f>
        <v>224.1251</v>
      </c>
    </row>
    <row r="23" spans="1:20" x14ac:dyDescent="0.2">
      <c r="A23" s="6" t="s">
        <v>8</v>
      </c>
      <c r="B23" s="6" t="s">
        <v>9</v>
      </c>
      <c r="C23" s="6" t="s">
        <v>11</v>
      </c>
      <c r="D23" s="6" t="s">
        <v>10</v>
      </c>
      <c r="E23" s="6" t="s">
        <v>5</v>
      </c>
      <c r="F23" s="6" t="s">
        <v>12</v>
      </c>
      <c r="G23" s="6" t="s">
        <v>7</v>
      </c>
      <c r="L23" s="6" t="s">
        <v>8</v>
      </c>
      <c r="M23" s="6" t="s">
        <v>9</v>
      </c>
      <c r="N23" s="6" t="s">
        <v>11</v>
      </c>
      <c r="O23" s="6" t="s">
        <v>10</v>
      </c>
      <c r="P23" s="6" t="s">
        <v>5</v>
      </c>
      <c r="Q23" s="6" t="s">
        <v>12</v>
      </c>
      <c r="R23" s="6" t="s">
        <v>7</v>
      </c>
    </row>
    <row r="24" spans="1:20" x14ac:dyDescent="0.2">
      <c r="A24" s="10">
        <f t="shared" ref="A24:A31" si="2">A25+$A$22</f>
        <v>2.1364717092946406</v>
      </c>
      <c r="B24" s="10">
        <f>RADIANS(A24)</f>
        <v>3.7288465702902618E-2</v>
      </c>
      <c r="C24" s="10">
        <f>COS(B24)</f>
        <v>0.99930486571297328</v>
      </c>
      <c r="D24" s="10">
        <f>SIN(B24)</f>
        <v>3.7279825138757827E-2</v>
      </c>
      <c r="E24" s="11">
        <f t="shared" ref="E24:E40" si="3">E$22*$C24</f>
        <v>213.62230051784141</v>
      </c>
      <c r="F24" s="11">
        <f t="shared" ref="F24:F40" si="4">F$22*$D24</f>
        <v>7.9693417717548849</v>
      </c>
      <c r="G24" s="3">
        <f>SQRT(E24^2+F24^2)</f>
        <v>213.77089999999995</v>
      </c>
      <c r="I24" t="str">
        <f>"G1 X"&amp;ROUND(E24,3)&amp;" Y"&amp;ROUND(F24,3)&amp;"    ; arch to pt 4"</f>
        <v>G1 X213.622 Y7.969    ; arch to pt 4</v>
      </c>
      <c r="L24" s="10">
        <f t="shared" ref="L24:L31" si="5">L25+$L$22</f>
        <v>2.0377279289093022</v>
      </c>
      <c r="M24" s="10">
        <f>RADIANS(L24)</f>
        <v>3.556506161931227E-2</v>
      </c>
      <c r="N24" s="10">
        <f>COS(M24)</f>
        <v>0.99936762985591521</v>
      </c>
      <c r="O24" s="10">
        <f>SIN(M24)</f>
        <v>3.5557564542169288E-2</v>
      </c>
      <c r="P24" s="11">
        <f t="shared" ref="P24:P40" si="6">P$22*$N24</f>
        <v>223.98336997822</v>
      </c>
      <c r="Q24" s="11">
        <f t="shared" ref="Q24:Q40" si="7">Q$22*$O24</f>
        <v>7.9693427087701458</v>
      </c>
      <c r="R24">
        <f>SQRT(P24^2+Q24^2)</f>
        <v>224.12510000000003</v>
      </c>
      <c r="T24" t="str">
        <f>"G0 X"&amp;ROUND(P24,3)&amp;" Y"&amp;ROUND(Q24,3)&amp;".   ; move to pt1"</f>
        <v>G0 X223.983 Y7.969.   ; move to pt1</v>
      </c>
    </row>
    <row r="25" spans="1:20" x14ac:dyDescent="0.2">
      <c r="A25">
        <f t="shared" si="2"/>
        <v>1.8694127456328107</v>
      </c>
      <c r="B25">
        <f t="shared" ref="B25:B40" si="8">RADIANS(A25)</f>
        <v>3.2627407490039791E-2</v>
      </c>
      <c r="C25">
        <f t="shared" ref="C25:C40" si="9">COS(B25)</f>
        <v>0.99946777335780757</v>
      </c>
      <c r="D25">
        <f t="shared" ref="D25:D40" si="10">SIN(B25)</f>
        <v>3.2621618892787377E-2</v>
      </c>
      <c r="E25" s="4">
        <f t="shared" si="3"/>
        <v>213.65712543169454</v>
      </c>
      <c r="F25" s="4">
        <f t="shared" si="4"/>
        <v>6.9735528301681606</v>
      </c>
      <c r="G25" s="3">
        <f t="shared" ref="G25:G40" si="11">SQRT(E25^2+F25^2)</f>
        <v>213.77089999999998</v>
      </c>
      <c r="L25">
        <f t="shared" si="5"/>
        <v>1.7830119377956393</v>
      </c>
      <c r="M25">
        <f t="shared" ref="M25:M40" si="12">RADIANS(L25)</f>
        <v>3.1119428916898232E-2</v>
      </c>
      <c r="N25">
        <f t="shared" ref="N25:N40" si="13">COS(M25)</f>
        <v>0.99951582964714336</v>
      </c>
      <c r="O25">
        <f t="shared" ref="O25:O40" si="14">SIN(M25)</f>
        <v>3.1114406386474287E-2</v>
      </c>
      <c r="P25" s="4">
        <f t="shared" si="6"/>
        <v>224.01658527124897</v>
      </c>
      <c r="Q25" s="4">
        <f t="shared" si="7"/>
        <v>6.973519442809188</v>
      </c>
      <c r="R25">
        <f t="shared" ref="R25:R40" si="15">SQRT(P25^2+Q25^2)</f>
        <v>224.12509999999997</v>
      </c>
    </row>
    <row r="26" spans="1:20" x14ac:dyDescent="0.2">
      <c r="A26">
        <f t="shared" si="2"/>
        <v>1.6023537819709806</v>
      </c>
      <c r="B26">
        <f t="shared" si="8"/>
        <v>2.7966349277176963E-2</v>
      </c>
      <c r="C26">
        <f t="shared" si="9"/>
        <v>0.99960896714116065</v>
      </c>
      <c r="D26">
        <f t="shared" si="10"/>
        <v>2.796270392830413E-2</v>
      </c>
      <c r="E26" s="4">
        <f t="shared" si="3"/>
        <v>213.68730855383632</v>
      </c>
      <c r="F26" s="4">
        <f t="shared" si="4"/>
        <v>5.9776123851871086</v>
      </c>
      <c r="G26" s="3">
        <f t="shared" si="11"/>
        <v>213.77089999999998</v>
      </c>
      <c r="L26">
        <f t="shared" si="5"/>
        <v>1.5282959466819765</v>
      </c>
      <c r="M26">
        <f t="shared" si="12"/>
        <v>2.6673796214484197E-2</v>
      </c>
      <c r="N26">
        <f t="shared" si="13"/>
        <v>0.99964427538975464</v>
      </c>
      <c r="O26">
        <f t="shared" si="14"/>
        <v>2.6670633297550411E-2</v>
      </c>
      <c r="P26" s="4">
        <f t="shared" si="6"/>
        <v>224.0453731861563</v>
      </c>
      <c r="Q26" s="4">
        <f t="shared" si="7"/>
        <v>5.9775583548768152</v>
      </c>
      <c r="R26">
        <f t="shared" si="15"/>
        <v>224.1251</v>
      </c>
    </row>
    <row r="27" spans="1:20" x14ac:dyDescent="0.2">
      <c r="A27">
        <f t="shared" si="2"/>
        <v>1.3352948183091504</v>
      </c>
      <c r="B27">
        <f t="shared" si="8"/>
        <v>2.3305291064314136E-2</v>
      </c>
      <c r="C27">
        <f t="shared" si="9"/>
        <v>0.99972844399553784</v>
      </c>
      <c r="D27">
        <f t="shared" si="10"/>
        <v>2.3303181462212601E-2</v>
      </c>
      <c r="E27" s="4">
        <f t="shared" si="3"/>
        <v>213.7128492285257</v>
      </c>
      <c r="F27" s="4">
        <f t="shared" si="4"/>
        <v>4.9815420740405036</v>
      </c>
      <c r="G27" s="3">
        <f t="shared" si="11"/>
        <v>213.77089999999998</v>
      </c>
      <c r="L27">
        <f t="shared" si="5"/>
        <v>1.2735799555683138</v>
      </c>
      <c r="M27">
        <f t="shared" si="12"/>
        <v>2.2228163512070166E-2</v>
      </c>
      <c r="N27">
        <f t="shared" si="13"/>
        <v>0.99975296454519635</v>
      </c>
      <c r="O27">
        <f t="shared" si="14"/>
        <v>2.2226333100429568E-2</v>
      </c>
      <c r="P27" s="4">
        <f t="shared" si="6"/>
        <v>224.06973315398858</v>
      </c>
      <c r="Q27" s="4">
        <f t="shared" si="7"/>
        <v>4.981479128767087</v>
      </c>
      <c r="R27">
        <f t="shared" si="15"/>
        <v>224.12509999999997</v>
      </c>
    </row>
    <row r="28" spans="1:20" x14ac:dyDescent="0.2">
      <c r="A28" s="10">
        <f t="shared" si="2"/>
        <v>1.0682358546473203</v>
      </c>
      <c r="B28" s="10">
        <f t="shared" si="8"/>
        <v>1.8644232851451309E-2</v>
      </c>
      <c r="C28" s="10">
        <f t="shared" si="9"/>
        <v>0.99982620132525368</v>
      </c>
      <c r="D28" s="10">
        <f t="shared" si="10"/>
        <v>1.8643152724615548E-2</v>
      </c>
      <c r="E28" s="11">
        <f t="shared" si="3"/>
        <v>213.73374690088065</v>
      </c>
      <c r="F28" s="11">
        <f t="shared" si="4"/>
        <v>3.9853635367785176</v>
      </c>
      <c r="G28" s="3">
        <f t="shared" si="11"/>
        <v>213.77089999999998</v>
      </c>
      <c r="I28" t="str">
        <f>"G1 X"&amp;ROUND(E28,3)&amp;" Y"&amp;ROUND(F28,3)&amp;"   ; arch to pt 4"</f>
        <v>G1 X213.734 Y3.985   ; arch to pt 4</v>
      </c>
      <c r="L28" s="10">
        <f t="shared" si="5"/>
        <v>1.0188639644546511</v>
      </c>
      <c r="M28" s="10">
        <f t="shared" si="12"/>
        <v>1.7782530809656135E-2</v>
      </c>
      <c r="N28" s="10">
        <f t="shared" si="13"/>
        <v>0.99984189496537779</v>
      </c>
      <c r="O28" s="10">
        <f t="shared" si="14"/>
        <v>1.778159363056124E-2</v>
      </c>
      <c r="P28" s="11">
        <f t="shared" si="6"/>
        <v>224.0896646933048</v>
      </c>
      <c r="Q28" s="11">
        <f t="shared" si="7"/>
        <v>3.9853014506089011</v>
      </c>
      <c r="R28">
        <f t="shared" si="15"/>
        <v>224.12509999999997</v>
      </c>
      <c r="T28" t="str">
        <f>"G1 X"&amp;ROUND(P28,3)&amp;" Y"&amp;ROUND(Q28,3)&amp;"   ; arch to point 2"</f>
        <v>G1 X224.09 Y3.985   ; arch to point 2</v>
      </c>
    </row>
    <row r="29" spans="1:20" x14ac:dyDescent="0.2">
      <c r="A29">
        <f t="shared" si="2"/>
        <v>0.80117689098549016</v>
      </c>
      <c r="B29">
        <f t="shared" si="8"/>
        <v>1.398317463858848E-2</v>
      </c>
      <c r="C29">
        <f t="shared" si="9"/>
        <v>0.99990223700648873</v>
      </c>
      <c r="D29">
        <f t="shared" si="10"/>
        <v>1.3982718956614688E-2</v>
      </c>
      <c r="E29" s="4">
        <f t="shared" si="3"/>
        <v>213.75000111689039</v>
      </c>
      <c r="F29" s="4">
        <f t="shared" si="4"/>
        <v>2.9890984158025828</v>
      </c>
      <c r="G29" s="3">
        <f t="shared" si="11"/>
        <v>213.77089999999998</v>
      </c>
      <c r="L29">
        <f t="shared" si="5"/>
        <v>0.76414797334098838</v>
      </c>
      <c r="M29">
        <f t="shared" si="12"/>
        <v>1.3336898107242102E-2</v>
      </c>
      <c r="N29">
        <f t="shared" si="13"/>
        <v>0.99991106489271198</v>
      </c>
      <c r="O29">
        <f t="shared" si="14"/>
        <v>1.3336502732076531E-2</v>
      </c>
      <c r="P29" s="4">
        <f t="shared" si="6"/>
        <v>224.10516741018557</v>
      </c>
      <c r="Q29" s="4">
        <f t="shared" si="7"/>
        <v>2.9890450084769258</v>
      </c>
      <c r="R29">
        <f t="shared" si="15"/>
        <v>224.1251</v>
      </c>
    </row>
    <row r="30" spans="1:20" x14ac:dyDescent="0.2">
      <c r="A30">
        <f t="shared" si="2"/>
        <v>0.53411792732366015</v>
      </c>
      <c r="B30">
        <f t="shared" si="8"/>
        <v>9.3221164257256545E-3</v>
      </c>
      <c r="C30">
        <f t="shared" si="9"/>
        <v>0.99995654938733558</v>
      </c>
      <c r="D30">
        <f t="shared" si="10"/>
        <v>9.3219814081112028E-3</v>
      </c>
      <c r="E30" s="4">
        <f t="shared" si="3"/>
        <v>213.76161152342516</v>
      </c>
      <c r="F30" s="4">
        <f t="shared" si="4"/>
        <v>1.9927683553951989</v>
      </c>
      <c r="G30" s="3">
        <f t="shared" si="11"/>
        <v>213.77089999999998</v>
      </c>
      <c r="L30">
        <f t="shared" si="5"/>
        <v>0.50943198222732555</v>
      </c>
      <c r="M30">
        <f t="shared" si="12"/>
        <v>8.8912654048280675E-3</v>
      </c>
      <c r="N30">
        <f t="shared" si="13"/>
        <v>0.999960472960151</v>
      </c>
      <c r="O30">
        <f t="shared" si="14"/>
        <v>8.8911482560520404E-3</v>
      </c>
      <c r="P30" s="4">
        <f t="shared" si="6"/>
        <v>224.11624099824115</v>
      </c>
      <c r="Q30" s="4">
        <f t="shared" si="7"/>
        <v>1.9927294920024892</v>
      </c>
      <c r="R30">
        <f t="shared" si="15"/>
        <v>224.12510000000003</v>
      </c>
    </row>
    <row r="31" spans="1:20" x14ac:dyDescent="0.2">
      <c r="A31">
        <f t="shared" si="2"/>
        <v>0.26705896366183007</v>
      </c>
      <c r="B31">
        <f t="shared" si="8"/>
        <v>4.6610582128628272E-3</v>
      </c>
      <c r="C31">
        <f t="shared" si="9"/>
        <v>0.99998913728783467</v>
      </c>
      <c r="D31">
        <f t="shared" si="10"/>
        <v>4.6610413356060207E-3</v>
      </c>
      <c r="E31" s="4">
        <f t="shared" si="3"/>
        <v>213.76857786824397</v>
      </c>
      <c r="F31" s="4">
        <f t="shared" si="4"/>
        <v>0.99639500124970104</v>
      </c>
      <c r="G31" s="3">
        <f t="shared" si="11"/>
        <v>213.77089999999998</v>
      </c>
      <c r="L31">
        <f t="shared" si="5"/>
        <v>0.25471599111366278</v>
      </c>
      <c r="M31">
        <f t="shared" si="12"/>
        <v>4.4456327024140338E-3</v>
      </c>
      <c r="N31">
        <f t="shared" si="13"/>
        <v>0.99999011819121264</v>
      </c>
      <c r="O31">
        <f t="shared" si="14"/>
        <v>4.4456180587736189E-3</v>
      </c>
      <c r="P31" s="4">
        <f t="shared" si="6"/>
        <v>224.12288523861736</v>
      </c>
      <c r="Q31" s="4">
        <f t="shared" si="7"/>
        <v>0.99637459198444323</v>
      </c>
      <c r="R31">
        <f t="shared" si="15"/>
        <v>224.12509999999997</v>
      </c>
    </row>
    <row r="32" spans="1:20" x14ac:dyDescent="0.2">
      <c r="A32" s="10">
        <v>0</v>
      </c>
      <c r="B32" s="10">
        <f t="shared" si="8"/>
        <v>0</v>
      </c>
      <c r="C32" s="10">
        <f t="shared" si="9"/>
        <v>1</v>
      </c>
      <c r="D32" s="10">
        <f t="shared" si="10"/>
        <v>0</v>
      </c>
      <c r="E32" s="11">
        <f t="shared" si="3"/>
        <v>213.77089999999998</v>
      </c>
      <c r="F32" s="11">
        <f t="shared" si="4"/>
        <v>0</v>
      </c>
      <c r="G32" s="3">
        <f t="shared" si="11"/>
        <v>213.77089999999998</v>
      </c>
      <c r="I32" t="str">
        <f>"G1 X"&amp;ROUND(E32,3)&amp;" Y"&amp;ROUND(F32,3)&amp;"   ; arch to pt 4"</f>
        <v>G1 X213.771 Y0   ; arch to pt 4</v>
      </c>
      <c r="L32" s="10">
        <v>0</v>
      </c>
      <c r="M32" s="10">
        <f t="shared" si="12"/>
        <v>0</v>
      </c>
      <c r="N32" s="10">
        <f t="shared" si="13"/>
        <v>1</v>
      </c>
      <c r="O32" s="10">
        <f t="shared" si="14"/>
        <v>0</v>
      </c>
      <c r="P32" s="11">
        <f t="shared" si="6"/>
        <v>224.1251</v>
      </c>
      <c r="Q32" s="11">
        <f t="shared" si="7"/>
        <v>0</v>
      </c>
      <c r="R32">
        <f t="shared" si="15"/>
        <v>224.1251</v>
      </c>
      <c r="T32" t="str">
        <f>"G1 X"&amp;ROUND(P32,3)&amp;" Y"&amp;ROUND(Q32,3)&amp;"   ; arch to point 2"</f>
        <v>G1 X224.125 Y0   ; arch to point 2</v>
      </c>
    </row>
    <row r="33" spans="1:20" x14ac:dyDescent="0.2">
      <c r="A33">
        <f t="shared" ref="A33:A40" si="16">A32-$A$22</f>
        <v>-0.26705896366183007</v>
      </c>
      <c r="B33">
        <f t="shared" si="8"/>
        <v>-4.6610582128628272E-3</v>
      </c>
      <c r="C33">
        <f t="shared" si="9"/>
        <v>0.99998913728783467</v>
      </c>
      <c r="D33">
        <f t="shared" si="10"/>
        <v>-4.6610413356060207E-3</v>
      </c>
      <c r="E33" s="4">
        <f t="shared" si="3"/>
        <v>213.76857786824397</v>
      </c>
      <c r="F33" s="4">
        <f t="shared" si="4"/>
        <v>-0.99639500124970104</v>
      </c>
      <c r="G33" s="3">
        <f t="shared" si="11"/>
        <v>213.77089999999998</v>
      </c>
      <c r="L33">
        <f t="shared" ref="L33:L40" si="17">L32-$L$22</f>
        <v>-0.25471599111366278</v>
      </c>
      <c r="M33">
        <f t="shared" si="12"/>
        <v>-4.4456327024140338E-3</v>
      </c>
      <c r="N33">
        <f t="shared" si="13"/>
        <v>0.99999011819121264</v>
      </c>
      <c r="O33">
        <f t="shared" si="14"/>
        <v>-4.4456180587736189E-3</v>
      </c>
      <c r="P33" s="4">
        <f t="shared" si="6"/>
        <v>224.12288523861736</v>
      </c>
      <c r="Q33" s="4">
        <f t="shared" si="7"/>
        <v>-0.99637459198444323</v>
      </c>
      <c r="R33">
        <f t="shared" si="15"/>
        <v>224.12509999999997</v>
      </c>
    </row>
    <row r="34" spans="1:20" x14ac:dyDescent="0.2">
      <c r="A34">
        <f t="shared" si="16"/>
        <v>-0.53411792732366015</v>
      </c>
      <c r="B34">
        <f t="shared" si="8"/>
        <v>-9.3221164257256545E-3</v>
      </c>
      <c r="C34">
        <f t="shared" si="9"/>
        <v>0.99995654938733558</v>
      </c>
      <c r="D34">
        <f t="shared" si="10"/>
        <v>-9.3219814081112028E-3</v>
      </c>
      <c r="E34" s="4">
        <f t="shared" si="3"/>
        <v>213.76161152342516</v>
      </c>
      <c r="F34" s="4">
        <f t="shared" si="4"/>
        <v>-1.9927683553951989</v>
      </c>
      <c r="G34" s="3">
        <f t="shared" si="11"/>
        <v>213.77089999999998</v>
      </c>
      <c r="L34">
        <f t="shared" si="17"/>
        <v>-0.50943198222732555</v>
      </c>
      <c r="M34">
        <f t="shared" si="12"/>
        <v>-8.8912654048280675E-3</v>
      </c>
      <c r="N34">
        <f t="shared" si="13"/>
        <v>0.999960472960151</v>
      </c>
      <c r="O34">
        <f t="shared" si="14"/>
        <v>-8.8911482560520404E-3</v>
      </c>
      <c r="P34" s="4">
        <f t="shared" si="6"/>
        <v>224.11624099824115</v>
      </c>
      <c r="Q34" s="4">
        <f t="shared" si="7"/>
        <v>-1.9927294920024892</v>
      </c>
      <c r="R34">
        <f t="shared" si="15"/>
        <v>224.12510000000003</v>
      </c>
    </row>
    <row r="35" spans="1:20" x14ac:dyDescent="0.2">
      <c r="A35">
        <f t="shared" si="16"/>
        <v>-0.80117689098549016</v>
      </c>
      <c r="B35">
        <f t="shared" si="8"/>
        <v>-1.398317463858848E-2</v>
      </c>
      <c r="C35">
        <f t="shared" si="9"/>
        <v>0.99990223700648873</v>
      </c>
      <c r="D35">
        <f t="shared" si="10"/>
        <v>-1.3982718956614688E-2</v>
      </c>
      <c r="E35" s="4">
        <f t="shared" si="3"/>
        <v>213.75000111689039</v>
      </c>
      <c r="F35" s="4">
        <f t="shared" si="4"/>
        <v>-2.9890984158025828</v>
      </c>
      <c r="G35" s="3">
        <f t="shared" si="11"/>
        <v>213.77089999999998</v>
      </c>
      <c r="L35">
        <f t="shared" si="17"/>
        <v>-0.76414797334098838</v>
      </c>
      <c r="M35">
        <f t="shared" si="12"/>
        <v>-1.3336898107242102E-2</v>
      </c>
      <c r="N35">
        <f t="shared" si="13"/>
        <v>0.99991106489271198</v>
      </c>
      <c r="O35">
        <f t="shared" si="14"/>
        <v>-1.3336502732076531E-2</v>
      </c>
      <c r="P35" s="4">
        <f t="shared" si="6"/>
        <v>224.10516741018557</v>
      </c>
      <c r="Q35" s="4">
        <f t="shared" si="7"/>
        <v>-2.9890450084769258</v>
      </c>
      <c r="R35">
        <f t="shared" si="15"/>
        <v>224.1251</v>
      </c>
    </row>
    <row r="36" spans="1:20" x14ac:dyDescent="0.2">
      <c r="A36" s="10">
        <f t="shared" si="16"/>
        <v>-1.0682358546473203</v>
      </c>
      <c r="B36" s="10">
        <f t="shared" si="8"/>
        <v>-1.8644232851451309E-2</v>
      </c>
      <c r="C36" s="10">
        <f t="shared" si="9"/>
        <v>0.99982620132525368</v>
      </c>
      <c r="D36" s="10">
        <f t="shared" si="10"/>
        <v>-1.8643152724615548E-2</v>
      </c>
      <c r="E36" s="11">
        <f t="shared" si="3"/>
        <v>213.73374690088065</v>
      </c>
      <c r="F36" s="11">
        <f t="shared" si="4"/>
        <v>-3.9853635367785176</v>
      </c>
      <c r="G36" s="3">
        <f t="shared" si="11"/>
        <v>213.77089999999998</v>
      </c>
      <c r="I36" t="str">
        <f>"G1 X"&amp;ROUND(E36,3)&amp;" Y"&amp;ROUND(F36,3)&amp;"   ; arch to pt 4"</f>
        <v>G1 X213.734 Y-3.985   ; arch to pt 4</v>
      </c>
      <c r="L36" s="10">
        <f t="shared" si="17"/>
        <v>-1.0188639644546511</v>
      </c>
      <c r="M36" s="10">
        <f t="shared" si="12"/>
        <v>-1.7782530809656135E-2</v>
      </c>
      <c r="N36" s="10">
        <f t="shared" si="13"/>
        <v>0.99984189496537779</v>
      </c>
      <c r="O36" s="10">
        <f t="shared" si="14"/>
        <v>-1.778159363056124E-2</v>
      </c>
      <c r="P36" s="11">
        <f t="shared" si="6"/>
        <v>224.0896646933048</v>
      </c>
      <c r="Q36" s="11">
        <f t="shared" si="7"/>
        <v>-3.9853014506089011</v>
      </c>
      <c r="R36">
        <f t="shared" si="15"/>
        <v>224.12509999999997</v>
      </c>
      <c r="T36" t="str">
        <f>"G1 X"&amp;ROUND(P36,3)&amp;" Y"&amp;ROUND(Q36,3)&amp;"   ; arch to point 2"</f>
        <v>G1 X224.09 Y-3.985   ; arch to point 2</v>
      </c>
    </row>
    <row r="37" spans="1:20" x14ac:dyDescent="0.2">
      <c r="A37">
        <f t="shared" si="16"/>
        <v>-1.3352948183091504</v>
      </c>
      <c r="B37">
        <f t="shared" si="8"/>
        <v>-2.3305291064314136E-2</v>
      </c>
      <c r="C37">
        <f t="shared" si="9"/>
        <v>0.99972844399553784</v>
      </c>
      <c r="D37">
        <f t="shared" si="10"/>
        <v>-2.3303181462212601E-2</v>
      </c>
      <c r="E37" s="4">
        <f t="shared" si="3"/>
        <v>213.7128492285257</v>
      </c>
      <c r="F37" s="4">
        <f t="shared" si="4"/>
        <v>-4.9815420740405036</v>
      </c>
      <c r="G37" s="3">
        <f t="shared" si="11"/>
        <v>213.77089999999998</v>
      </c>
      <c r="L37">
        <f t="shared" si="17"/>
        <v>-1.2735799555683138</v>
      </c>
      <c r="M37">
        <f t="shared" si="12"/>
        <v>-2.2228163512070166E-2</v>
      </c>
      <c r="N37">
        <f t="shared" si="13"/>
        <v>0.99975296454519635</v>
      </c>
      <c r="O37">
        <f t="shared" si="14"/>
        <v>-2.2226333100429568E-2</v>
      </c>
      <c r="P37" s="4">
        <f t="shared" si="6"/>
        <v>224.06973315398858</v>
      </c>
      <c r="Q37" s="4">
        <f t="shared" si="7"/>
        <v>-4.981479128767087</v>
      </c>
      <c r="R37">
        <f t="shared" si="15"/>
        <v>224.12509999999997</v>
      </c>
    </row>
    <row r="38" spans="1:20" x14ac:dyDescent="0.2">
      <c r="A38">
        <f t="shared" si="16"/>
        <v>-1.6023537819709806</v>
      </c>
      <c r="B38">
        <f t="shared" si="8"/>
        <v>-2.7966349277176963E-2</v>
      </c>
      <c r="C38">
        <f t="shared" si="9"/>
        <v>0.99960896714116065</v>
      </c>
      <c r="D38">
        <f t="shared" si="10"/>
        <v>-2.796270392830413E-2</v>
      </c>
      <c r="E38" s="4">
        <f t="shared" si="3"/>
        <v>213.68730855383632</v>
      </c>
      <c r="F38" s="4">
        <f t="shared" si="4"/>
        <v>-5.9776123851871086</v>
      </c>
      <c r="G38" s="3">
        <f t="shared" si="11"/>
        <v>213.77089999999998</v>
      </c>
      <c r="L38">
        <f t="shared" si="17"/>
        <v>-1.5282959466819765</v>
      </c>
      <c r="M38">
        <f t="shared" si="12"/>
        <v>-2.6673796214484197E-2</v>
      </c>
      <c r="N38">
        <f t="shared" si="13"/>
        <v>0.99964427538975464</v>
      </c>
      <c r="O38">
        <f t="shared" si="14"/>
        <v>-2.6670633297550411E-2</v>
      </c>
      <c r="P38" s="4">
        <f t="shared" si="6"/>
        <v>224.0453731861563</v>
      </c>
      <c r="Q38" s="4">
        <f t="shared" si="7"/>
        <v>-5.9775583548768152</v>
      </c>
      <c r="R38">
        <f t="shared" si="15"/>
        <v>224.1251</v>
      </c>
    </row>
    <row r="39" spans="1:20" x14ac:dyDescent="0.2">
      <c r="A39">
        <f t="shared" si="16"/>
        <v>-1.8694127456328107</v>
      </c>
      <c r="B39">
        <f t="shared" si="8"/>
        <v>-3.2627407490039791E-2</v>
      </c>
      <c r="C39">
        <f t="shared" si="9"/>
        <v>0.99946777335780757</v>
      </c>
      <c r="D39">
        <f t="shared" si="10"/>
        <v>-3.2621618892787377E-2</v>
      </c>
      <c r="E39" s="4">
        <f t="shared" si="3"/>
        <v>213.65712543169454</v>
      </c>
      <c r="F39" s="4">
        <f t="shared" si="4"/>
        <v>-6.9735528301681606</v>
      </c>
      <c r="G39" s="3">
        <f t="shared" si="11"/>
        <v>213.77089999999998</v>
      </c>
      <c r="L39">
        <f t="shared" si="17"/>
        <v>-1.7830119377956393</v>
      </c>
      <c r="M39">
        <f t="shared" si="12"/>
        <v>-3.1119428916898232E-2</v>
      </c>
      <c r="N39">
        <f t="shared" si="13"/>
        <v>0.99951582964714336</v>
      </c>
      <c r="O39">
        <f t="shared" si="14"/>
        <v>-3.1114406386474287E-2</v>
      </c>
      <c r="P39" s="4">
        <f t="shared" si="6"/>
        <v>224.01658527124897</v>
      </c>
      <c r="Q39" s="4">
        <f t="shared" si="7"/>
        <v>-6.973519442809188</v>
      </c>
      <c r="R39">
        <f t="shared" si="15"/>
        <v>224.12509999999997</v>
      </c>
    </row>
    <row r="40" spans="1:20" x14ac:dyDescent="0.2">
      <c r="A40" s="10">
        <f t="shared" si="16"/>
        <v>-2.1364717092946406</v>
      </c>
      <c r="B40" s="10">
        <f t="shared" si="8"/>
        <v>-3.7288465702902618E-2</v>
      </c>
      <c r="C40" s="10">
        <f t="shared" si="9"/>
        <v>0.99930486571297328</v>
      </c>
      <c r="D40" s="10">
        <f t="shared" si="10"/>
        <v>-3.7279825138757827E-2</v>
      </c>
      <c r="E40" s="11">
        <f t="shared" si="3"/>
        <v>213.62230051784141</v>
      </c>
      <c r="F40" s="11">
        <f t="shared" si="4"/>
        <v>-7.9693417717548849</v>
      </c>
      <c r="G40" s="3">
        <f t="shared" si="11"/>
        <v>213.77089999999995</v>
      </c>
      <c r="I40" t="str">
        <f>"G1 X"&amp;ROUND(E40,3)&amp;" Y"&amp;ROUND(F40,3)&amp;"   ; side move pt 2 to pt 3"</f>
        <v>G1 X213.622 Y-7.969   ; side move pt 2 to pt 3</v>
      </c>
      <c r="L40" s="10">
        <f t="shared" si="17"/>
        <v>-2.0377279289093022</v>
      </c>
      <c r="M40" s="10">
        <f t="shared" si="12"/>
        <v>-3.556506161931227E-2</v>
      </c>
      <c r="N40" s="10">
        <f t="shared" si="13"/>
        <v>0.99936762985591521</v>
      </c>
      <c r="O40" s="10">
        <f t="shared" si="14"/>
        <v>-3.5557564542169288E-2</v>
      </c>
      <c r="P40" s="11">
        <f t="shared" si="6"/>
        <v>223.98336997822</v>
      </c>
      <c r="Q40" s="11">
        <f t="shared" si="7"/>
        <v>-7.9693427087701458</v>
      </c>
      <c r="R40">
        <f t="shared" si="15"/>
        <v>224.12510000000003</v>
      </c>
      <c r="T40" t="str">
        <f>"G1 X"&amp;ROUND(P40,3)&amp;" Y"&amp;ROUND(Q40,3)&amp;"   ; arch to point 2"</f>
        <v>G1 X223.983 Y-7.969   ; arch to point 2</v>
      </c>
    </row>
    <row r="43" spans="1:20" x14ac:dyDescent="0.2">
      <c r="L43" s="5" t="s">
        <v>33</v>
      </c>
    </row>
    <row r="44" spans="1:20" x14ac:dyDescent="0.2">
      <c r="L44" t="str">
        <f>T24</f>
        <v>G0 X223.983 Y7.969.   ; move to pt1</v>
      </c>
    </row>
    <row r="45" spans="1:20" x14ac:dyDescent="0.2">
      <c r="J45" t="s">
        <v>46</v>
      </c>
      <c r="L45" s="16" t="str">
        <f>T28</f>
        <v>G1 X224.09 Y3.985   ; arch to point 2</v>
      </c>
    </row>
    <row r="46" spans="1:20" x14ac:dyDescent="0.2">
      <c r="L46" s="16" t="str">
        <f>T32</f>
        <v>G1 X224.125 Y0   ; arch to point 2</v>
      </c>
    </row>
    <row r="47" spans="1:20" x14ac:dyDescent="0.2">
      <c r="L47" s="16" t="str">
        <f>T36</f>
        <v>G1 X224.09 Y-3.985   ; arch to point 2</v>
      </c>
    </row>
    <row r="48" spans="1:20" x14ac:dyDescent="0.2">
      <c r="L48" s="16" t="str">
        <f>T40</f>
        <v>G1 X223.983 Y-7.969   ; arch to point 2</v>
      </c>
    </row>
    <row r="49" spans="12:12" x14ac:dyDescent="0.2">
      <c r="L49" s="16" t="str">
        <f>I40</f>
        <v>G1 X213.622 Y-7.969   ; side move pt 2 to pt 3</v>
      </c>
    </row>
    <row r="50" spans="12:12" x14ac:dyDescent="0.2">
      <c r="L50" s="16" t="str">
        <f>I36</f>
        <v>G1 X213.734 Y-3.985   ; arch to pt 4</v>
      </c>
    </row>
    <row r="51" spans="12:12" x14ac:dyDescent="0.2">
      <c r="L51" s="16" t="str">
        <f>I32</f>
        <v>G1 X213.771 Y0   ; arch to pt 4</v>
      </c>
    </row>
    <row r="52" spans="12:12" x14ac:dyDescent="0.2">
      <c r="L52" s="16" t="str">
        <f>I28</f>
        <v>G1 X213.734 Y3.985   ; arch to pt 4</v>
      </c>
    </row>
    <row r="53" spans="12:12" x14ac:dyDescent="0.2">
      <c r="L53" s="16" t="str">
        <f>I24</f>
        <v>G1 X213.622 Y7.969    ; arch to pt 4</v>
      </c>
    </row>
    <row r="54" spans="12:12" x14ac:dyDescent="0.2">
      <c r="L54" s="16" t="str">
        <f>I22</f>
        <v>G1 X223.983 Y7.969    ; move to pt1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507B-D1D0-7B4B-8D53-69D02FE02F4B}">
  <dimension ref="A1:Q34"/>
  <sheetViews>
    <sheetView tabSelected="1" topLeftCell="I23" zoomScale="186" workbookViewId="0">
      <selection activeCell="L34" sqref="L34"/>
    </sheetView>
  </sheetViews>
  <sheetFormatPr baseColWidth="10" defaultRowHeight="16" x14ac:dyDescent="0.2"/>
  <cols>
    <col min="1" max="2" width="11" bestFit="1" customWidth="1"/>
    <col min="3" max="4" width="13" bestFit="1" customWidth="1"/>
    <col min="5" max="5" width="18.33203125" bestFit="1" customWidth="1"/>
    <col min="6" max="7" width="11" bestFit="1" customWidth="1"/>
    <col min="8" max="8" width="12.83203125" bestFit="1" customWidth="1"/>
    <col min="10" max="10" width="11" bestFit="1" customWidth="1"/>
  </cols>
  <sheetData>
    <row r="1" spans="1:10" x14ac:dyDescent="0.2">
      <c r="A1" t="s">
        <v>107</v>
      </c>
    </row>
    <row r="2" spans="1:10" x14ac:dyDescent="0.2">
      <c r="A2" t="s">
        <v>108</v>
      </c>
      <c r="C2" t="s">
        <v>110</v>
      </c>
    </row>
    <row r="3" spans="1:10" x14ac:dyDescent="0.2">
      <c r="C3" t="s">
        <v>109</v>
      </c>
      <c r="D3">
        <f>17.643/2*25.4</f>
        <v>224.06610000000001</v>
      </c>
      <c r="G3" t="s">
        <v>109</v>
      </c>
      <c r="H3">
        <f>16.837/2*25.4</f>
        <v>213.82989999999998</v>
      </c>
    </row>
    <row r="4" spans="1:10" x14ac:dyDescent="0.2">
      <c r="C4" t="s">
        <v>58</v>
      </c>
      <c r="D4" t="s">
        <v>59</v>
      </c>
      <c r="E4" t="s">
        <v>112</v>
      </c>
      <c r="F4" t="s">
        <v>111</v>
      </c>
      <c r="G4" t="s">
        <v>58</v>
      </c>
      <c r="H4" t="s">
        <v>59</v>
      </c>
      <c r="I4" t="s">
        <v>112</v>
      </c>
      <c r="J4" t="s">
        <v>111</v>
      </c>
    </row>
    <row r="5" spans="1:10" x14ac:dyDescent="0.2">
      <c r="A5">
        <v>0</v>
      </c>
      <c r="B5">
        <f>A5-360</f>
        <v>-360</v>
      </c>
      <c r="C5">
        <f>$D$3*COS(RADIANS($A5))</f>
        <v>224.06610000000001</v>
      </c>
      <c r="D5">
        <f>$D$3*SIN(RADIANS($A5))</f>
        <v>0</v>
      </c>
      <c r="E5" t="str">
        <f>"("&amp;ROUND(C5,3)&amp;","&amp;ROUND(D5,3)&amp;"), "</f>
        <v xml:space="preserve">(224.066,0), </v>
      </c>
      <c r="F5">
        <f>SQRT(C5^2+D5^2)</f>
        <v>224.06610000000001</v>
      </c>
      <c r="G5">
        <f>$H$3*COS(RADIANS($A5))</f>
        <v>213.82989999999998</v>
      </c>
      <c r="H5">
        <f>$H$3*SIN(RADIANS($A5))</f>
        <v>0</v>
      </c>
      <c r="I5" t="str">
        <f>"("&amp;ROUND(G5,3)&amp;","&amp;ROUND(H5,3)&amp;"), "</f>
        <v xml:space="preserve">(213.83,0), </v>
      </c>
      <c r="J5">
        <f>SQRT(G5^2+H5^2)</f>
        <v>213.82989999999998</v>
      </c>
    </row>
    <row r="6" spans="1:10" x14ac:dyDescent="0.2">
      <c r="A6">
        <v>30</v>
      </c>
      <c r="B6">
        <f>A6-360</f>
        <v>-330</v>
      </c>
      <c r="C6">
        <f t="shared" ref="C6:D17" si="0">$D$3*COS(RADIANS($A6))</f>
        <v>194.04693472690442</v>
      </c>
      <c r="D6">
        <f t="shared" ref="D6:D17" si="1">$D$3*SIN(RADIANS($A6))</f>
        <v>112.03304999999999</v>
      </c>
      <c r="E6" t="str">
        <f t="shared" ref="E6:E17" si="2">"("&amp;ROUND(C6,3)&amp;","&amp;ROUND(D6,3)&amp;"), "</f>
        <v xml:space="preserve">(194.047,112.033), </v>
      </c>
      <c r="F6">
        <f t="shared" ref="F6:F17" si="3">SQRT(C6^2+D6^2)</f>
        <v>224.06610000000001</v>
      </c>
      <c r="G6">
        <f t="shared" ref="G6:G17" si="4">$H$3*COS(RADIANS($A6))</f>
        <v>185.18212548868613</v>
      </c>
      <c r="H6">
        <f t="shared" ref="H6:H17" si="5">$H$3*SIN(RADIANS($A6))</f>
        <v>106.91494999999998</v>
      </c>
      <c r="I6" t="str">
        <f t="shared" ref="I6:I17" si="6">"("&amp;ROUND(G6,3)&amp;","&amp;ROUND(H6,3)&amp;"), "</f>
        <v xml:space="preserve">(185.182,106.915), </v>
      </c>
      <c r="J6">
        <f t="shared" ref="J6:J17" si="7">SQRT(G6^2+H6^2)</f>
        <v>213.82989999999998</v>
      </c>
    </row>
    <row r="7" spans="1:10" x14ac:dyDescent="0.2">
      <c r="A7">
        <v>60</v>
      </c>
      <c r="B7">
        <f>A7-360</f>
        <v>-300</v>
      </c>
      <c r="C7">
        <f t="shared" si="0"/>
        <v>112.03305000000003</v>
      </c>
      <c r="D7">
        <f t="shared" si="1"/>
        <v>194.0469347269044</v>
      </c>
      <c r="E7" t="str">
        <f t="shared" si="2"/>
        <v xml:space="preserve">(112.033,194.047), </v>
      </c>
      <c r="F7">
        <f t="shared" si="3"/>
        <v>224.06610000000001</v>
      </c>
      <c r="G7">
        <f t="shared" si="4"/>
        <v>106.91495000000002</v>
      </c>
      <c r="H7">
        <f t="shared" si="5"/>
        <v>185.1821254886861</v>
      </c>
      <c r="I7" t="str">
        <f t="shared" si="6"/>
        <v xml:space="preserve">(106.915,185.182), </v>
      </c>
      <c r="J7">
        <f t="shared" si="7"/>
        <v>213.82989999999998</v>
      </c>
    </row>
    <row r="8" spans="1:10" x14ac:dyDescent="0.2">
      <c r="A8">
        <v>90</v>
      </c>
      <c r="B8">
        <f>A8-360</f>
        <v>-270</v>
      </c>
      <c r="C8">
        <f t="shared" si="0"/>
        <v>1.3720091608121539E-14</v>
      </c>
      <c r="D8">
        <f t="shared" si="1"/>
        <v>224.06610000000001</v>
      </c>
      <c r="E8" t="str">
        <f t="shared" si="2"/>
        <v xml:space="preserve">(0,224.066), </v>
      </c>
      <c r="F8">
        <f t="shared" si="3"/>
        <v>224.06610000000001</v>
      </c>
      <c r="G8">
        <f t="shared" si="4"/>
        <v>1.3093305129849929E-14</v>
      </c>
      <c r="H8">
        <f t="shared" si="5"/>
        <v>213.82989999999998</v>
      </c>
      <c r="I8" t="str">
        <f t="shared" si="6"/>
        <v xml:space="preserve">(0,213.83), </v>
      </c>
      <c r="J8">
        <f t="shared" si="7"/>
        <v>213.82989999999998</v>
      </c>
    </row>
    <row r="9" spans="1:10" x14ac:dyDescent="0.2">
      <c r="A9">
        <v>120</v>
      </c>
      <c r="B9">
        <f>A9-360</f>
        <v>-240</v>
      </c>
      <c r="C9">
        <f t="shared" si="0"/>
        <v>-112.03304999999996</v>
      </c>
      <c r="D9">
        <f t="shared" si="1"/>
        <v>194.04693472690442</v>
      </c>
      <c r="E9" t="str">
        <f t="shared" si="2"/>
        <v xml:space="preserve">(-112.033,194.047), </v>
      </c>
      <c r="F9">
        <f t="shared" si="3"/>
        <v>224.06609999999998</v>
      </c>
      <c r="G9">
        <f t="shared" si="4"/>
        <v>-106.91494999999995</v>
      </c>
      <c r="H9">
        <f t="shared" si="5"/>
        <v>185.18212548868613</v>
      </c>
      <c r="I9" t="str">
        <f t="shared" si="6"/>
        <v xml:space="preserve">(-106.915,185.182), </v>
      </c>
      <c r="J9">
        <f t="shared" si="7"/>
        <v>213.82989999999998</v>
      </c>
    </row>
    <row r="10" spans="1:10" x14ac:dyDescent="0.2">
      <c r="A10">
        <v>150</v>
      </c>
      <c r="B10">
        <f>A10-360</f>
        <v>-210</v>
      </c>
      <c r="C10">
        <f t="shared" si="0"/>
        <v>-194.04693472690442</v>
      </c>
      <c r="D10">
        <f t="shared" si="1"/>
        <v>112.03304999999999</v>
      </c>
      <c r="E10" t="str">
        <f t="shared" si="2"/>
        <v xml:space="preserve">(-194.047,112.033), </v>
      </c>
      <c r="F10">
        <f t="shared" si="3"/>
        <v>224.06610000000001</v>
      </c>
      <c r="G10">
        <f t="shared" si="4"/>
        <v>-185.18212548868613</v>
      </c>
      <c r="H10">
        <f t="shared" si="5"/>
        <v>106.91494999999998</v>
      </c>
      <c r="I10" t="str">
        <f t="shared" si="6"/>
        <v xml:space="preserve">(-185.182,106.915), </v>
      </c>
      <c r="J10">
        <f t="shared" si="7"/>
        <v>213.82989999999998</v>
      </c>
    </row>
    <row r="11" spans="1:10" x14ac:dyDescent="0.2">
      <c r="A11">
        <v>180</v>
      </c>
      <c r="B11">
        <f>A11-360</f>
        <v>-180</v>
      </c>
      <c r="C11">
        <f t="shared" si="0"/>
        <v>-224.06610000000001</v>
      </c>
      <c r="D11">
        <f t="shared" si="1"/>
        <v>2.7440183216243078E-14</v>
      </c>
      <c r="E11" t="str">
        <f t="shared" si="2"/>
        <v xml:space="preserve">(-224.066,0), </v>
      </c>
      <c r="F11">
        <f t="shared" si="3"/>
        <v>224.06610000000001</v>
      </c>
      <c r="G11">
        <f t="shared" si="4"/>
        <v>-213.82989999999998</v>
      </c>
      <c r="H11">
        <f t="shared" si="5"/>
        <v>2.6186610259699859E-14</v>
      </c>
      <c r="I11" t="str">
        <f t="shared" si="6"/>
        <v xml:space="preserve">(-213.83,0), </v>
      </c>
      <c r="J11">
        <f t="shared" si="7"/>
        <v>213.82989999999998</v>
      </c>
    </row>
    <row r="12" spans="1:10" x14ac:dyDescent="0.2">
      <c r="A12">
        <v>210</v>
      </c>
      <c r="B12">
        <f>A12-360</f>
        <v>-150</v>
      </c>
      <c r="C12">
        <f t="shared" si="0"/>
        <v>-194.0469347269044</v>
      </c>
      <c r="D12">
        <f t="shared" si="1"/>
        <v>-112.03305000000003</v>
      </c>
      <c r="E12" t="str">
        <f t="shared" si="2"/>
        <v xml:space="preserve">(-194.047,-112.033), </v>
      </c>
      <c r="F12">
        <f t="shared" si="3"/>
        <v>224.06610000000001</v>
      </c>
      <c r="G12">
        <f t="shared" si="4"/>
        <v>-185.1821254886861</v>
      </c>
      <c r="H12">
        <f t="shared" si="5"/>
        <v>-106.91495000000002</v>
      </c>
      <c r="I12" t="str">
        <f t="shared" si="6"/>
        <v xml:space="preserve">(-185.182,-106.915), </v>
      </c>
      <c r="J12">
        <f t="shared" si="7"/>
        <v>213.82989999999998</v>
      </c>
    </row>
    <row r="13" spans="1:10" x14ac:dyDescent="0.2">
      <c r="A13">
        <v>240</v>
      </c>
      <c r="B13">
        <f>A13-360</f>
        <v>-120</v>
      </c>
      <c r="C13">
        <f t="shared" si="0"/>
        <v>-112.0330500000001</v>
      </c>
      <c r="D13">
        <f t="shared" si="1"/>
        <v>-194.04693472690434</v>
      </c>
      <c r="E13" t="str">
        <f t="shared" si="2"/>
        <v xml:space="preserve">(-112.033,-194.047), </v>
      </c>
      <c r="F13">
        <f t="shared" si="3"/>
        <v>224.06609999999998</v>
      </c>
      <c r="G13">
        <f t="shared" si="4"/>
        <v>-106.91495000000009</v>
      </c>
      <c r="H13">
        <f t="shared" si="5"/>
        <v>-185.18212548868607</v>
      </c>
      <c r="I13" t="str">
        <f t="shared" si="6"/>
        <v xml:space="preserve">(-106.915,-185.182), </v>
      </c>
      <c r="J13">
        <f t="shared" si="7"/>
        <v>213.82989999999998</v>
      </c>
    </row>
    <row r="14" spans="1:10" x14ac:dyDescent="0.2">
      <c r="A14">
        <v>270</v>
      </c>
      <c r="B14">
        <f>A14-360</f>
        <v>-90</v>
      </c>
      <c r="C14">
        <f t="shared" si="0"/>
        <v>-4.1160274824364612E-14</v>
      </c>
      <c r="D14">
        <f t="shared" si="1"/>
        <v>-224.06610000000001</v>
      </c>
      <c r="E14" t="str">
        <f t="shared" si="2"/>
        <v xml:space="preserve">(0,-224.066), </v>
      </c>
      <c r="F14">
        <f t="shared" si="3"/>
        <v>224.06610000000001</v>
      </c>
      <c r="G14">
        <f t="shared" si="4"/>
        <v>-3.927991538954979E-14</v>
      </c>
      <c r="H14">
        <f t="shared" si="5"/>
        <v>-213.82989999999998</v>
      </c>
      <c r="I14" t="str">
        <f t="shared" si="6"/>
        <v xml:space="preserve">(0,-213.83), </v>
      </c>
      <c r="J14">
        <f t="shared" si="7"/>
        <v>213.82989999999998</v>
      </c>
    </row>
    <row r="15" spans="1:10" x14ac:dyDescent="0.2">
      <c r="A15">
        <v>300</v>
      </c>
      <c r="B15">
        <f>A15-360</f>
        <v>-60</v>
      </c>
      <c r="C15">
        <f t="shared" si="0"/>
        <v>112.03305000000003</v>
      </c>
      <c r="D15">
        <f t="shared" si="1"/>
        <v>-194.0469347269044</v>
      </c>
      <c r="E15" t="str">
        <f t="shared" si="2"/>
        <v xml:space="preserve">(112.033,-194.047), </v>
      </c>
      <c r="F15">
        <f t="shared" si="3"/>
        <v>224.06610000000001</v>
      </c>
      <c r="G15">
        <f t="shared" si="4"/>
        <v>106.91495000000002</v>
      </c>
      <c r="H15">
        <f t="shared" si="5"/>
        <v>-185.1821254886861</v>
      </c>
      <c r="I15" t="str">
        <f t="shared" si="6"/>
        <v xml:space="preserve">(106.915,-185.182), </v>
      </c>
      <c r="J15">
        <f t="shared" si="7"/>
        <v>213.82989999999998</v>
      </c>
    </row>
    <row r="16" spans="1:10" x14ac:dyDescent="0.2">
      <c r="A16">
        <v>330</v>
      </c>
      <c r="B16">
        <f>A16-360</f>
        <v>-30</v>
      </c>
      <c r="C16">
        <f t="shared" si="0"/>
        <v>194.04693472690434</v>
      </c>
      <c r="D16">
        <f t="shared" si="1"/>
        <v>-112.0330500000001</v>
      </c>
      <c r="E16" t="str">
        <f t="shared" si="2"/>
        <v xml:space="preserve">(194.047,-112.033), </v>
      </c>
      <c r="F16">
        <f t="shared" si="3"/>
        <v>224.06609999999998</v>
      </c>
      <c r="G16">
        <f t="shared" si="4"/>
        <v>185.18212548868607</v>
      </c>
      <c r="H16">
        <f t="shared" si="5"/>
        <v>-106.91495000000009</v>
      </c>
      <c r="I16" t="str">
        <f t="shared" si="6"/>
        <v xml:space="preserve">(185.182,-106.915), </v>
      </c>
      <c r="J16">
        <f t="shared" si="7"/>
        <v>213.82989999999998</v>
      </c>
    </row>
    <row r="17" spans="1:17" x14ac:dyDescent="0.2">
      <c r="A17">
        <v>360</v>
      </c>
      <c r="B17">
        <f>A17-360</f>
        <v>0</v>
      </c>
      <c r="C17">
        <f t="shared" si="0"/>
        <v>224.06610000000001</v>
      </c>
      <c r="D17">
        <f t="shared" si="1"/>
        <v>-5.4880366432486156E-14</v>
      </c>
      <c r="E17" t="str">
        <f t="shared" si="2"/>
        <v xml:space="preserve">(224.066,0), </v>
      </c>
      <c r="F17">
        <f t="shared" si="3"/>
        <v>224.06610000000001</v>
      </c>
      <c r="G17">
        <f t="shared" si="4"/>
        <v>213.82989999999998</v>
      </c>
      <c r="H17">
        <f t="shared" si="5"/>
        <v>-5.2373220519399717E-14</v>
      </c>
      <c r="I17" t="str">
        <f t="shared" si="6"/>
        <v xml:space="preserve">(213.83,0), </v>
      </c>
      <c r="J17">
        <f t="shared" si="7"/>
        <v>213.82989999999998</v>
      </c>
    </row>
    <row r="24" spans="1:17" x14ac:dyDescent="0.2">
      <c r="O24" t="s">
        <v>120</v>
      </c>
      <c r="Q24" t="s">
        <v>121</v>
      </c>
    </row>
    <row r="25" spans="1:17" x14ac:dyDescent="0.2">
      <c r="K25" t="s">
        <v>113</v>
      </c>
      <c r="L25" t="s">
        <v>114</v>
      </c>
      <c r="M25" t="s">
        <v>115</v>
      </c>
      <c r="O25" t="s">
        <v>119</v>
      </c>
      <c r="Q25" t="s">
        <v>116</v>
      </c>
    </row>
    <row r="26" spans="1:17" x14ac:dyDescent="0.2">
      <c r="L26">
        <f>90+115.75</f>
        <v>205.75</v>
      </c>
      <c r="M26">
        <f>360-(115.25-90)</f>
        <v>334.75</v>
      </c>
      <c r="O26">
        <v>-30</v>
      </c>
      <c r="Q26">
        <f>90+AVERAGE(56.25,63.75)</f>
        <v>150</v>
      </c>
    </row>
    <row r="27" spans="1:17" x14ac:dyDescent="0.2">
      <c r="L27">
        <f>L26-360</f>
        <v>-154.25</v>
      </c>
      <c r="M27">
        <f>M26-360</f>
        <v>-25.25</v>
      </c>
      <c r="O27">
        <v>0</v>
      </c>
      <c r="Q27">
        <v>180</v>
      </c>
    </row>
    <row r="28" spans="1:17" x14ac:dyDescent="0.2">
      <c r="O28">
        <v>45</v>
      </c>
      <c r="Q28">
        <f>180+45</f>
        <v>225</v>
      </c>
    </row>
    <row r="29" spans="1:17" x14ac:dyDescent="0.2">
      <c r="K29" t="s">
        <v>116</v>
      </c>
      <c r="L29" t="s">
        <v>117</v>
      </c>
      <c r="M29" t="s">
        <v>118</v>
      </c>
      <c r="O29">
        <v>90</v>
      </c>
      <c r="Q29">
        <v>270</v>
      </c>
    </row>
    <row r="30" spans="1:17" x14ac:dyDescent="0.2">
      <c r="L30">
        <f>90+56.25</f>
        <v>146.25</v>
      </c>
      <c r="M30">
        <f>90-56.25</f>
        <v>33.75</v>
      </c>
      <c r="O30">
        <v>135</v>
      </c>
      <c r="Q30">
        <f>Q29+45</f>
        <v>315</v>
      </c>
    </row>
    <row r="31" spans="1:17" x14ac:dyDescent="0.2">
      <c r="O31">
        <v>180</v>
      </c>
      <c r="Q31">
        <v>0</v>
      </c>
    </row>
    <row r="32" spans="1:17" x14ac:dyDescent="0.2">
      <c r="O32">
        <f>180+30</f>
        <v>210</v>
      </c>
      <c r="Q32">
        <f>90-60</f>
        <v>30</v>
      </c>
    </row>
    <row r="34" spans="15:17" x14ac:dyDescent="0.2">
      <c r="O34" s="19" t="s">
        <v>122</v>
      </c>
      <c r="Q34" t="s">
        <v>123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56D1-AF1B-284C-8AEE-D067B22DBF7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453C-A7CF-1F4B-AF2C-207DBCDD06D7}">
  <dimension ref="A1:T49"/>
  <sheetViews>
    <sheetView workbookViewId="0">
      <selection activeCell="F11" sqref="F11"/>
    </sheetView>
  </sheetViews>
  <sheetFormatPr baseColWidth="10" defaultRowHeight="16" x14ac:dyDescent="0.2"/>
  <sheetData>
    <row r="1" spans="1:17" x14ac:dyDescent="0.2">
      <c r="A1" t="s">
        <v>39</v>
      </c>
    </row>
    <row r="2" spans="1:17" x14ac:dyDescent="0.2">
      <c r="B2" s="6" t="s">
        <v>30</v>
      </c>
      <c r="C2" s="6" t="s">
        <v>5</v>
      </c>
      <c r="D2" s="6" t="s">
        <v>12</v>
      </c>
      <c r="E2" s="6" t="s">
        <v>7</v>
      </c>
      <c r="F2" s="6" t="s">
        <v>31</v>
      </c>
      <c r="G2" s="6" t="s">
        <v>32</v>
      </c>
      <c r="I2" s="6" t="s">
        <v>33</v>
      </c>
    </row>
    <row r="3" spans="1:17" x14ac:dyDescent="0.2">
      <c r="B3">
        <v>1</v>
      </c>
      <c r="C3" s="3">
        <f>P19</f>
        <v>223.93649620277324</v>
      </c>
      <c r="D3" s="3">
        <f>Q19</f>
        <v>7.6198974819431671</v>
      </c>
      <c r="E3" s="3">
        <f>SQRT(C3^2+D3^2)</f>
        <v>224.06610000000001</v>
      </c>
      <c r="F3" s="4">
        <f>C3</f>
        <v>223.93649620277324</v>
      </c>
      <c r="G3" s="4">
        <f>D3</f>
        <v>7.6198974819431671</v>
      </c>
      <c r="I3" s="15" t="s">
        <v>25</v>
      </c>
    </row>
    <row r="4" spans="1:17" x14ac:dyDescent="0.2">
      <c r="B4">
        <v>2</v>
      </c>
      <c r="C4" s="3">
        <f>P35</f>
        <v>223.93649620277324</v>
      </c>
      <c r="D4" s="3">
        <f>Q35</f>
        <v>-7.6198974819431671</v>
      </c>
      <c r="E4" s="3">
        <f t="shared" ref="E4:E6" si="0">SQRT(C4^2+D4^2)</f>
        <v>224.06610000000001</v>
      </c>
      <c r="F4" s="4">
        <f t="shared" ref="F4:G6" si="1">C4</f>
        <v>223.93649620277324</v>
      </c>
      <c r="G4" s="4">
        <f t="shared" si="1"/>
        <v>-7.6198974819431671</v>
      </c>
      <c r="I4" s="15" t="s">
        <v>26</v>
      </c>
    </row>
    <row r="5" spans="1:17" x14ac:dyDescent="0.2">
      <c r="B5">
        <v>3</v>
      </c>
      <c r="C5" s="3">
        <f>E35</f>
        <v>213.6940858480059</v>
      </c>
      <c r="D5" s="3">
        <f>F35</f>
        <v>-7.6199611281873461</v>
      </c>
      <c r="E5" s="3">
        <f t="shared" si="0"/>
        <v>213.82990000000001</v>
      </c>
      <c r="F5" s="4">
        <f t="shared" si="1"/>
        <v>213.6940858480059</v>
      </c>
      <c r="G5" s="4">
        <f t="shared" si="1"/>
        <v>-7.6199611281873461</v>
      </c>
      <c r="I5" s="15" t="s">
        <v>27</v>
      </c>
    </row>
    <row r="6" spans="1:17" x14ac:dyDescent="0.2">
      <c r="B6">
        <v>4</v>
      </c>
      <c r="C6" s="3">
        <f>E19</f>
        <v>213.6940858480059</v>
      </c>
      <c r="D6" s="3">
        <f>F19</f>
        <v>7.6199611281873461</v>
      </c>
      <c r="E6" s="3">
        <f t="shared" si="0"/>
        <v>213.82990000000001</v>
      </c>
      <c r="F6" s="4">
        <f t="shared" si="1"/>
        <v>213.6940858480059</v>
      </c>
      <c r="G6" s="4">
        <f t="shared" si="1"/>
        <v>7.6199611281873461</v>
      </c>
      <c r="I6" s="15" t="s">
        <v>28</v>
      </c>
    </row>
    <row r="7" spans="1:17" x14ac:dyDescent="0.2">
      <c r="D7" s="4"/>
      <c r="I7" s="15" t="s">
        <v>29</v>
      </c>
    </row>
    <row r="8" spans="1:17" x14ac:dyDescent="0.2">
      <c r="B8" s="14"/>
      <c r="D8" s="4"/>
    </row>
    <row r="12" spans="1:17" x14ac:dyDescent="0.2">
      <c r="A12" s="5" t="s">
        <v>34</v>
      </c>
    </row>
    <row r="16" spans="1:17" x14ac:dyDescent="0.2">
      <c r="A16" s="5" t="s">
        <v>15</v>
      </c>
      <c r="E16" s="7" t="s">
        <v>14</v>
      </c>
      <c r="F16" s="9"/>
      <c r="L16" s="5" t="s">
        <v>15</v>
      </c>
      <c r="P16" s="7" t="s">
        <v>13</v>
      </c>
      <c r="Q16" s="8"/>
    </row>
    <row r="17" spans="1:20" x14ac:dyDescent="0.2">
      <c r="A17" s="10">
        <v>0.25527537891794616</v>
      </c>
      <c r="E17" s="12">
        <v>213.82990000000001</v>
      </c>
      <c r="F17" s="13">
        <v>213.82990000000001</v>
      </c>
      <c r="I17" t="str">
        <f>"G0 X"&amp;ROUND(P19,3)&amp;" Y"&amp;ROUND(Q19,3)&amp;".   ; move to pt1"</f>
        <v>G0 X223.936 Y7.62.   ; move to pt1</v>
      </c>
      <c r="L17" s="10">
        <v>0.24360677622214152</v>
      </c>
      <c r="P17" s="12">
        <v>224.06610000000001</v>
      </c>
      <c r="Q17" s="13">
        <v>224.06610000000001</v>
      </c>
    </row>
    <row r="18" spans="1:20" x14ac:dyDescent="0.2">
      <c r="A18" s="6" t="s">
        <v>8</v>
      </c>
      <c r="B18" s="6" t="s">
        <v>9</v>
      </c>
      <c r="C18" s="6" t="s">
        <v>11</v>
      </c>
      <c r="D18" s="6" t="s">
        <v>10</v>
      </c>
      <c r="E18" s="6" t="s">
        <v>5</v>
      </c>
      <c r="F18" s="6" t="s">
        <v>12</v>
      </c>
      <c r="G18" s="6" t="s">
        <v>7</v>
      </c>
      <c r="L18" s="6" t="s">
        <v>8</v>
      </c>
      <c r="M18" s="6" t="s">
        <v>9</v>
      </c>
      <c r="N18" s="6" t="s">
        <v>11</v>
      </c>
      <c r="O18" s="6" t="s">
        <v>10</v>
      </c>
      <c r="P18" s="6" t="s">
        <v>5</v>
      </c>
      <c r="Q18" s="6" t="s">
        <v>12</v>
      </c>
      <c r="R18" s="6" t="s">
        <v>7</v>
      </c>
    </row>
    <row r="19" spans="1:20" x14ac:dyDescent="0.2">
      <c r="A19" s="10">
        <f t="shared" ref="A19:A26" si="2">A20+$A$17</f>
        <v>2.0422030313435688</v>
      </c>
      <c r="B19" s="10">
        <f>RADIANS(A19)</f>
        <v>3.5643166891154231E-2</v>
      </c>
      <c r="C19" s="10">
        <f>COS(B19)</f>
        <v>0.99936484957438554</v>
      </c>
      <c r="D19" s="10">
        <f>SIN(B19)</f>
        <v>3.5635620314031599E-2</v>
      </c>
      <c r="E19" s="11">
        <f t="shared" ref="E19:E35" si="3">E$17*$C19</f>
        <v>213.6940858480059</v>
      </c>
      <c r="F19" s="11">
        <f t="shared" ref="F19:F35" si="4">F$17*$D19</f>
        <v>7.6199611281873461</v>
      </c>
      <c r="G19" s="3">
        <f>SQRT(E19^2+F19^2)</f>
        <v>213.82990000000001</v>
      </c>
      <c r="I19" t="str">
        <f>"G1 X"&amp;ROUND(E19,3)&amp;" Y"&amp;ROUND(F19,3)&amp;".   ; arch to pt 3"</f>
        <v>G1 X213.694 Y7.62.   ; arch to pt 3</v>
      </c>
      <c r="L19" s="10">
        <f t="shared" ref="L19:L26" si="5">L20+$L$17</f>
        <v>1.948854209777132</v>
      </c>
      <c r="M19" s="10">
        <f>RADIANS(L19)</f>
        <v>3.4013922601963217E-2</v>
      </c>
      <c r="N19" s="10">
        <f>COS(M19)</f>
        <v>0.99942158230438805</v>
      </c>
      <c r="O19" s="10">
        <f>SIN(M19)</f>
        <v>3.400736426413084E-2</v>
      </c>
      <c r="P19" s="11">
        <f t="shared" ref="P19:P35" si="6">P$17*$N19</f>
        <v>223.93649620277324</v>
      </c>
      <c r="Q19" s="11">
        <f t="shared" ref="Q19:Q35" si="7">Q$17*$O19</f>
        <v>7.6198974819431671</v>
      </c>
      <c r="R19">
        <f>SQRT(P19^2+Q19^2)</f>
        <v>224.06610000000001</v>
      </c>
      <c r="T19" t="str">
        <f>"G0 X"&amp;ROUND(P19,3)&amp;" Y"&amp;ROUND(Q19,3)&amp;".   ; move to pt1"</f>
        <v>G0 X223.936 Y7.62.   ; move to pt1</v>
      </c>
    </row>
    <row r="20" spans="1:20" x14ac:dyDescent="0.2">
      <c r="A20">
        <f t="shared" si="2"/>
        <v>1.7869276524256228</v>
      </c>
      <c r="B20">
        <f t="shared" ref="B20:B35" si="8">RADIANS(A20)</f>
        <v>3.1187771029759954E-2</v>
      </c>
      <c r="C20">
        <f t="shared" ref="C20:C35" si="9">COS(B20)</f>
        <v>0.99951370088868063</v>
      </c>
      <c r="D20">
        <f t="shared" ref="D20:D35" si="10">SIN(B20)</f>
        <v>3.1182715337395774E-2</v>
      </c>
      <c r="E20" s="4">
        <f t="shared" si="3"/>
        <v>213.72591470965651</v>
      </c>
      <c r="F20" s="4">
        <f t="shared" si="4"/>
        <v>6.6677969023238051</v>
      </c>
      <c r="G20" s="3">
        <f t="shared" ref="G20:G35" si="11">SQRT(E20^2+F20^2)</f>
        <v>213.82990000000001</v>
      </c>
      <c r="L20">
        <f t="shared" si="5"/>
        <v>1.7052474335549905</v>
      </c>
      <c r="M20">
        <f t="shared" ref="M20:M35" si="12">RADIANS(L20)</f>
        <v>2.9762182276717817E-2</v>
      </c>
      <c r="N20">
        <f t="shared" ref="N20:N35" si="13">COS(M20)</f>
        <v>0.99955713894457698</v>
      </c>
      <c r="O20">
        <f t="shared" ref="O20:O35" si="14">SIN(M20)</f>
        <v>2.975778864317177E-2</v>
      </c>
      <c r="P20" s="4">
        <f t="shared" si="6"/>
        <v>223.96686985046949</v>
      </c>
      <c r="Q20" s="4">
        <f t="shared" si="7"/>
        <v>6.6677116458997903</v>
      </c>
      <c r="R20">
        <f t="shared" ref="R20:R35" si="15">SQRT(P20^2+Q20^2)</f>
        <v>224.06610000000003</v>
      </c>
    </row>
    <row r="21" spans="1:20" x14ac:dyDescent="0.2">
      <c r="A21">
        <f t="shared" si="2"/>
        <v>1.5316522735076767</v>
      </c>
      <c r="B21">
        <f t="shared" si="8"/>
        <v>2.6732375168365678E-2</v>
      </c>
      <c r="C21">
        <f t="shared" si="9"/>
        <v>0.99964271133682103</v>
      </c>
      <c r="D21">
        <f t="shared" si="10"/>
        <v>2.6729191367662806E-2</v>
      </c>
      <c r="E21" s="4">
        <f t="shared" si="3"/>
        <v>213.75350100088133</v>
      </c>
      <c r="F21" s="4">
        <f t="shared" si="4"/>
        <v>5.7155003172282015</v>
      </c>
      <c r="G21" s="3">
        <f t="shared" si="11"/>
        <v>213.82990000000001</v>
      </c>
      <c r="L21">
        <f t="shared" si="5"/>
        <v>1.4616406573328491</v>
      </c>
      <c r="M21">
        <f t="shared" si="12"/>
        <v>2.5510441951472416E-2</v>
      </c>
      <c r="N21">
        <f t="shared" si="13"/>
        <v>0.99967462632192317</v>
      </c>
      <c r="O21">
        <f t="shared" si="14"/>
        <v>2.550767508267561E-2</v>
      </c>
      <c r="P21" s="4">
        <f t="shared" si="6"/>
        <v>223.99319478891067</v>
      </c>
      <c r="Q21" s="4">
        <f t="shared" si="7"/>
        <v>5.7154052758423015</v>
      </c>
      <c r="R21">
        <f t="shared" si="15"/>
        <v>224.06610000000001</v>
      </c>
    </row>
    <row r="22" spans="1:20" x14ac:dyDescent="0.2">
      <c r="A22">
        <f t="shared" si="2"/>
        <v>1.2763768945897307</v>
      </c>
      <c r="B22">
        <f t="shared" si="8"/>
        <v>2.2276979306971399E-2</v>
      </c>
      <c r="C22">
        <f t="shared" si="9"/>
        <v>0.99975187835788226</v>
      </c>
      <c r="D22">
        <f t="shared" si="10"/>
        <v>2.2275136809596849E-2</v>
      </c>
      <c r="E22" s="4">
        <f t="shared" si="3"/>
        <v>213.77684417407815</v>
      </c>
      <c r="F22" s="4">
        <f t="shared" si="4"/>
        <v>4.763090276482413</v>
      </c>
      <c r="G22" s="3">
        <f t="shared" si="11"/>
        <v>213.82990000000001</v>
      </c>
      <c r="L22">
        <f t="shared" si="5"/>
        <v>1.2180338811107077</v>
      </c>
      <c r="M22">
        <f t="shared" si="12"/>
        <v>2.1258701626227016E-2</v>
      </c>
      <c r="N22">
        <f t="shared" si="13"/>
        <v>0.99977404231257572</v>
      </c>
      <c r="O22">
        <f t="shared" si="14"/>
        <v>2.1257100413086618E-2</v>
      </c>
      <c r="P22" s="4">
        <f t="shared" si="6"/>
        <v>224.01547054221382</v>
      </c>
      <c r="Q22" s="4">
        <f t="shared" si="7"/>
        <v>4.7629955868687075</v>
      </c>
      <c r="R22">
        <f t="shared" si="15"/>
        <v>224.06609999999998</v>
      </c>
    </row>
    <row r="23" spans="1:20" x14ac:dyDescent="0.2">
      <c r="A23" s="10">
        <f t="shared" si="2"/>
        <v>1.0211015156717846</v>
      </c>
      <c r="B23" s="10">
        <f t="shared" si="8"/>
        <v>1.7821583445577122E-2</v>
      </c>
      <c r="C23" s="10">
        <f t="shared" si="9"/>
        <v>0.99984119978484221</v>
      </c>
      <c r="D23" s="10">
        <f t="shared" si="10"/>
        <v>1.7820640078494522E-2</v>
      </c>
      <c r="E23" s="11">
        <f t="shared" si="3"/>
        <v>213.79594376587283</v>
      </c>
      <c r="F23" s="11">
        <f t="shared" si="4"/>
        <v>3.8105856859204761</v>
      </c>
      <c r="G23" s="3">
        <f t="shared" si="11"/>
        <v>213.82990000000001</v>
      </c>
      <c r="I23" t="str">
        <f>"G1 X"&amp;ROUND(E23,3)&amp;" Y"&amp;ROUND(F23,3)&amp;"   ; arch to pt 3"</f>
        <v>G1 X213.796 Y3.811   ; arch to pt 3</v>
      </c>
      <c r="L23" s="10">
        <f t="shared" si="5"/>
        <v>0.9744271048885661</v>
      </c>
      <c r="M23" s="10">
        <f t="shared" si="12"/>
        <v>1.7006961300981612E-2</v>
      </c>
      <c r="N23" s="10">
        <f t="shared" si="13"/>
        <v>0.99985538511936511</v>
      </c>
      <c r="O23" s="10">
        <f t="shared" si="14"/>
        <v>1.7006141473184629E-2</v>
      </c>
      <c r="P23" s="11">
        <f t="shared" si="6"/>
        <v>224.03369670769419</v>
      </c>
      <c r="Q23" s="11">
        <f t="shared" si="7"/>
        <v>3.8104997959447346</v>
      </c>
      <c r="R23">
        <f t="shared" si="15"/>
        <v>224.06609999999998</v>
      </c>
      <c r="T23" t="str">
        <f>"G1 X"&amp;ROUND(P23,3)&amp;" Y"&amp;ROUND(Q23,3)&amp;"   ; arch to point 2"</f>
        <v>G1 X224.034 Y3.81   ; arch to point 2</v>
      </c>
    </row>
    <row r="24" spans="1:20" x14ac:dyDescent="0.2">
      <c r="A24">
        <f t="shared" si="2"/>
        <v>0.76582613675383848</v>
      </c>
      <c r="B24">
        <f t="shared" si="8"/>
        <v>1.3366187584182841E-2</v>
      </c>
      <c r="C24">
        <f t="shared" si="9"/>
        <v>0.99991067384462429</v>
      </c>
      <c r="D24">
        <f t="shared" si="10"/>
        <v>1.3365789598429793E-2</v>
      </c>
      <c r="E24" s="4">
        <f t="shared" si="3"/>
        <v>213.81079939712865</v>
      </c>
      <c r="F24" s="4">
        <f t="shared" si="4"/>
        <v>2.8580054532532828</v>
      </c>
      <c r="G24" s="3">
        <f t="shared" si="11"/>
        <v>213.82990000000001</v>
      </c>
      <c r="L24">
        <f t="shared" si="5"/>
        <v>0.73082032866642455</v>
      </c>
      <c r="M24">
        <f t="shared" si="12"/>
        <v>1.2755220975736208E-2</v>
      </c>
      <c r="N24">
        <f t="shared" si="13"/>
        <v>0.99991865327183571</v>
      </c>
      <c r="O24">
        <f t="shared" si="14"/>
        <v>1.2754875108696042E-2</v>
      </c>
      <c r="P24" s="4">
        <f t="shared" si="6"/>
        <v>224.04787295587246</v>
      </c>
      <c r="Q24" s="4">
        <f t="shared" si="7"/>
        <v>2.8579351215925985</v>
      </c>
      <c r="R24">
        <f t="shared" si="15"/>
        <v>224.06610000000001</v>
      </c>
    </row>
    <row r="25" spans="1:20" x14ac:dyDescent="0.2">
      <c r="A25">
        <f t="shared" si="2"/>
        <v>0.51055075783589232</v>
      </c>
      <c r="B25">
        <f t="shared" si="8"/>
        <v>8.9107917227885611E-3</v>
      </c>
      <c r="C25">
        <f t="shared" si="9"/>
        <v>0.99996029915813212</v>
      </c>
      <c r="D25">
        <f t="shared" si="10"/>
        <v>8.9106738004987498E-3</v>
      </c>
      <c r="E25" s="4">
        <f t="shared" si="3"/>
        <v>213.82141077295347</v>
      </c>
      <c r="F25" s="4">
        <f t="shared" si="4"/>
        <v>1.9053684876932677</v>
      </c>
      <c r="G25" s="3">
        <f t="shared" si="11"/>
        <v>213.82989999999998</v>
      </c>
      <c r="L25">
        <f t="shared" si="5"/>
        <v>0.48721355244428305</v>
      </c>
      <c r="M25">
        <f t="shared" si="12"/>
        <v>8.5034806504908061E-3</v>
      </c>
      <c r="N25">
        <f t="shared" si="13"/>
        <v>0.99996384562627194</v>
      </c>
      <c r="O25">
        <f t="shared" si="14"/>
        <v>8.5033781709046557E-3</v>
      </c>
      <c r="P25" s="4">
        <f t="shared" si="6"/>
        <v>224.05799903048083</v>
      </c>
      <c r="Q25" s="4">
        <f t="shared" si="7"/>
        <v>1.9053187835797398</v>
      </c>
      <c r="R25">
        <f t="shared" si="15"/>
        <v>224.06610000000003</v>
      </c>
    </row>
    <row r="26" spans="1:20" x14ac:dyDescent="0.2">
      <c r="A26">
        <f t="shared" si="2"/>
        <v>0.25527537891794616</v>
      </c>
      <c r="B26">
        <f t="shared" si="8"/>
        <v>4.4553958613942806E-3</v>
      </c>
      <c r="C26">
        <f t="shared" si="9"/>
        <v>0.99999007474027768</v>
      </c>
      <c r="D26">
        <f t="shared" si="10"/>
        <v>4.4553811210641635E-3</v>
      </c>
      <c r="E26" s="4">
        <f t="shared" si="3"/>
        <v>213.82777768270611</v>
      </c>
      <c r="F26" s="4">
        <f t="shared" si="4"/>
        <v>0.95269369957903804</v>
      </c>
      <c r="G26" s="3">
        <f t="shared" si="11"/>
        <v>213.82990000000001</v>
      </c>
      <c r="L26">
        <f t="shared" si="5"/>
        <v>0.24360677622214152</v>
      </c>
      <c r="M26">
        <f t="shared" si="12"/>
        <v>4.251740325245403E-3</v>
      </c>
      <c r="N26">
        <f t="shared" si="13"/>
        <v>0.99999096136571952</v>
      </c>
      <c r="O26">
        <f t="shared" si="14"/>
        <v>4.251727515262399E-3</v>
      </c>
      <c r="P26" s="4">
        <f t="shared" si="6"/>
        <v>224.06407474846745</v>
      </c>
      <c r="Q26" s="4">
        <f t="shared" si="7"/>
        <v>0.95266800260753626</v>
      </c>
      <c r="R26">
        <f t="shared" si="15"/>
        <v>224.06610000000001</v>
      </c>
    </row>
    <row r="27" spans="1:20" x14ac:dyDescent="0.2">
      <c r="A27" s="10">
        <v>0</v>
      </c>
      <c r="B27" s="10">
        <f t="shared" si="8"/>
        <v>0</v>
      </c>
      <c r="C27" s="10">
        <f t="shared" si="9"/>
        <v>1</v>
      </c>
      <c r="D27" s="10">
        <f t="shared" si="10"/>
        <v>0</v>
      </c>
      <c r="E27" s="11">
        <f t="shared" si="3"/>
        <v>213.82990000000001</v>
      </c>
      <c r="F27" s="11">
        <f t="shared" si="4"/>
        <v>0</v>
      </c>
      <c r="G27" s="3">
        <f t="shared" si="11"/>
        <v>213.82990000000001</v>
      </c>
      <c r="I27" t="str">
        <f>"G1 X"&amp;ROUND(E27,3)&amp;" Y"&amp;ROUND(F27,3)&amp;"   ; arch to pt 3"</f>
        <v>G1 X213.83 Y0   ; arch to pt 3</v>
      </c>
      <c r="L27" s="10">
        <v>0</v>
      </c>
      <c r="M27" s="10">
        <f t="shared" si="12"/>
        <v>0</v>
      </c>
      <c r="N27" s="10">
        <f t="shared" si="13"/>
        <v>1</v>
      </c>
      <c r="O27" s="10">
        <f t="shared" si="14"/>
        <v>0</v>
      </c>
      <c r="P27" s="11">
        <f t="shared" si="6"/>
        <v>224.06610000000001</v>
      </c>
      <c r="Q27" s="11">
        <f t="shared" si="7"/>
        <v>0</v>
      </c>
      <c r="R27">
        <f t="shared" si="15"/>
        <v>224.06610000000001</v>
      </c>
      <c r="T27" t="str">
        <f>"G1 X"&amp;ROUND(P27,3)&amp;" Y"&amp;ROUND(Q27,3)&amp;"   ; arch to point 2"</f>
        <v>G1 X224.066 Y0   ; arch to point 2</v>
      </c>
    </row>
    <row r="28" spans="1:20" x14ac:dyDescent="0.2">
      <c r="A28">
        <f t="shared" ref="A28:A35" si="16">A27-$A$17</f>
        <v>-0.25527537891794616</v>
      </c>
      <c r="B28">
        <f t="shared" si="8"/>
        <v>-4.4553958613942806E-3</v>
      </c>
      <c r="C28">
        <f t="shared" si="9"/>
        <v>0.99999007474027768</v>
      </c>
      <c r="D28">
        <f t="shared" si="10"/>
        <v>-4.4553811210641635E-3</v>
      </c>
      <c r="E28" s="4">
        <f t="shared" si="3"/>
        <v>213.82777768270611</v>
      </c>
      <c r="F28" s="4">
        <f t="shared" si="4"/>
        <v>-0.95269369957903804</v>
      </c>
      <c r="G28" s="3">
        <f t="shared" si="11"/>
        <v>213.82990000000001</v>
      </c>
      <c r="L28">
        <f t="shared" ref="L28:L35" si="17">L27-$L$17</f>
        <v>-0.24360677622214152</v>
      </c>
      <c r="M28">
        <f t="shared" si="12"/>
        <v>-4.251740325245403E-3</v>
      </c>
      <c r="N28">
        <f t="shared" si="13"/>
        <v>0.99999096136571952</v>
      </c>
      <c r="O28">
        <f t="shared" si="14"/>
        <v>-4.251727515262399E-3</v>
      </c>
      <c r="P28" s="4">
        <f t="shared" si="6"/>
        <v>224.06407474846745</v>
      </c>
      <c r="Q28" s="4">
        <f t="shared" si="7"/>
        <v>-0.95266800260753626</v>
      </c>
      <c r="R28">
        <f t="shared" si="15"/>
        <v>224.06610000000001</v>
      </c>
    </row>
    <row r="29" spans="1:20" x14ac:dyDescent="0.2">
      <c r="A29">
        <f t="shared" si="16"/>
        <v>-0.51055075783589232</v>
      </c>
      <c r="B29">
        <f t="shared" si="8"/>
        <v>-8.9107917227885611E-3</v>
      </c>
      <c r="C29">
        <f t="shared" si="9"/>
        <v>0.99996029915813212</v>
      </c>
      <c r="D29">
        <f t="shared" si="10"/>
        <v>-8.9106738004987498E-3</v>
      </c>
      <c r="E29" s="4">
        <f t="shared" si="3"/>
        <v>213.82141077295347</v>
      </c>
      <c r="F29" s="4">
        <f t="shared" si="4"/>
        <v>-1.9053684876932677</v>
      </c>
      <c r="G29" s="3">
        <f t="shared" si="11"/>
        <v>213.82989999999998</v>
      </c>
      <c r="L29">
        <f t="shared" si="17"/>
        <v>-0.48721355244428305</v>
      </c>
      <c r="M29">
        <f t="shared" si="12"/>
        <v>-8.5034806504908061E-3</v>
      </c>
      <c r="N29">
        <f t="shared" si="13"/>
        <v>0.99996384562627194</v>
      </c>
      <c r="O29">
        <f t="shared" si="14"/>
        <v>-8.5033781709046557E-3</v>
      </c>
      <c r="P29" s="4">
        <f t="shared" si="6"/>
        <v>224.05799903048083</v>
      </c>
      <c r="Q29" s="4">
        <f t="shared" si="7"/>
        <v>-1.9053187835797398</v>
      </c>
      <c r="R29">
        <f t="shared" si="15"/>
        <v>224.06610000000003</v>
      </c>
    </row>
    <row r="30" spans="1:20" x14ac:dyDescent="0.2">
      <c r="A30">
        <f t="shared" si="16"/>
        <v>-0.76582613675383848</v>
      </c>
      <c r="B30">
        <f t="shared" si="8"/>
        <v>-1.3366187584182841E-2</v>
      </c>
      <c r="C30">
        <f t="shared" si="9"/>
        <v>0.99991067384462429</v>
      </c>
      <c r="D30">
        <f t="shared" si="10"/>
        <v>-1.3365789598429793E-2</v>
      </c>
      <c r="E30" s="4">
        <f t="shared" si="3"/>
        <v>213.81079939712865</v>
      </c>
      <c r="F30" s="4">
        <f t="shared" si="4"/>
        <v>-2.8580054532532828</v>
      </c>
      <c r="G30" s="3">
        <f t="shared" si="11"/>
        <v>213.82990000000001</v>
      </c>
      <c r="L30">
        <f t="shared" si="17"/>
        <v>-0.73082032866642455</v>
      </c>
      <c r="M30">
        <f t="shared" si="12"/>
        <v>-1.2755220975736208E-2</v>
      </c>
      <c r="N30">
        <f t="shared" si="13"/>
        <v>0.99991865327183571</v>
      </c>
      <c r="O30">
        <f t="shared" si="14"/>
        <v>-1.2754875108696042E-2</v>
      </c>
      <c r="P30" s="4">
        <f t="shared" si="6"/>
        <v>224.04787295587246</v>
      </c>
      <c r="Q30" s="4">
        <f t="shared" si="7"/>
        <v>-2.8579351215925985</v>
      </c>
      <c r="R30">
        <f t="shared" si="15"/>
        <v>224.06610000000001</v>
      </c>
    </row>
    <row r="31" spans="1:20" x14ac:dyDescent="0.2">
      <c r="A31" s="10">
        <f t="shared" si="16"/>
        <v>-1.0211015156717846</v>
      </c>
      <c r="B31" s="10">
        <f t="shared" si="8"/>
        <v>-1.7821583445577122E-2</v>
      </c>
      <c r="C31" s="10">
        <f t="shared" si="9"/>
        <v>0.99984119978484221</v>
      </c>
      <c r="D31" s="10">
        <f t="shared" si="10"/>
        <v>-1.7820640078494522E-2</v>
      </c>
      <c r="E31" s="11">
        <f t="shared" si="3"/>
        <v>213.79594376587283</v>
      </c>
      <c r="F31" s="11">
        <f t="shared" si="4"/>
        <v>-3.8105856859204761</v>
      </c>
      <c r="G31" s="3">
        <f t="shared" si="11"/>
        <v>213.82990000000001</v>
      </c>
      <c r="I31" t="str">
        <f>"G1 X"&amp;ROUND(E31,3)&amp;" Y"&amp;ROUND(F31,3)&amp;"   ; arch to pt 3"</f>
        <v>G1 X213.796 Y-3.811   ; arch to pt 3</v>
      </c>
      <c r="L31" s="10">
        <f t="shared" si="17"/>
        <v>-0.9744271048885661</v>
      </c>
      <c r="M31" s="10">
        <f t="shared" si="12"/>
        <v>-1.7006961300981612E-2</v>
      </c>
      <c r="N31" s="10">
        <f t="shared" si="13"/>
        <v>0.99985538511936511</v>
      </c>
      <c r="O31" s="10">
        <f t="shared" si="14"/>
        <v>-1.7006141473184629E-2</v>
      </c>
      <c r="P31" s="11">
        <f t="shared" si="6"/>
        <v>224.03369670769419</v>
      </c>
      <c r="Q31" s="11">
        <f t="shared" si="7"/>
        <v>-3.8104997959447346</v>
      </c>
      <c r="R31">
        <f t="shared" si="15"/>
        <v>224.06609999999998</v>
      </c>
      <c r="T31" t="str">
        <f>"G1 X"&amp;ROUND(P31,3)&amp;" Y"&amp;ROUND(Q31,3)&amp;"   ; arch to point 2"</f>
        <v>G1 X224.034 Y-3.81   ; arch to point 2</v>
      </c>
    </row>
    <row r="32" spans="1:20" x14ac:dyDescent="0.2">
      <c r="A32">
        <f t="shared" si="16"/>
        <v>-1.2763768945897307</v>
      </c>
      <c r="B32">
        <f t="shared" si="8"/>
        <v>-2.2276979306971399E-2</v>
      </c>
      <c r="C32">
        <f t="shared" si="9"/>
        <v>0.99975187835788226</v>
      </c>
      <c r="D32">
        <f t="shared" si="10"/>
        <v>-2.2275136809596849E-2</v>
      </c>
      <c r="E32" s="4">
        <f t="shared" si="3"/>
        <v>213.77684417407815</v>
      </c>
      <c r="F32" s="4">
        <f t="shared" si="4"/>
        <v>-4.763090276482413</v>
      </c>
      <c r="G32" s="3">
        <f t="shared" si="11"/>
        <v>213.82990000000001</v>
      </c>
      <c r="L32">
        <f t="shared" si="17"/>
        <v>-1.2180338811107077</v>
      </c>
      <c r="M32">
        <f t="shared" si="12"/>
        <v>-2.1258701626227016E-2</v>
      </c>
      <c r="N32">
        <f t="shared" si="13"/>
        <v>0.99977404231257572</v>
      </c>
      <c r="O32">
        <f t="shared" si="14"/>
        <v>-2.1257100413086618E-2</v>
      </c>
      <c r="P32" s="4">
        <f t="shared" si="6"/>
        <v>224.01547054221382</v>
      </c>
      <c r="Q32" s="4">
        <f t="shared" si="7"/>
        <v>-4.7629955868687075</v>
      </c>
      <c r="R32">
        <f t="shared" si="15"/>
        <v>224.06609999999998</v>
      </c>
    </row>
    <row r="33" spans="1:20" x14ac:dyDescent="0.2">
      <c r="A33">
        <f t="shared" si="16"/>
        <v>-1.5316522735076767</v>
      </c>
      <c r="B33">
        <f t="shared" si="8"/>
        <v>-2.6732375168365678E-2</v>
      </c>
      <c r="C33">
        <f t="shared" si="9"/>
        <v>0.99964271133682103</v>
      </c>
      <c r="D33">
        <f t="shared" si="10"/>
        <v>-2.6729191367662806E-2</v>
      </c>
      <c r="E33" s="4">
        <f t="shared" si="3"/>
        <v>213.75350100088133</v>
      </c>
      <c r="F33" s="4">
        <f t="shared" si="4"/>
        <v>-5.7155003172282015</v>
      </c>
      <c r="G33" s="3">
        <f t="shared" si="11"/>
        <v>213.82990000000001</v>
      </c>
      <c r="L33">
        <f t="shared" si="17"/>
        <v>-1.4616406573328491</v>
      </c>
      <c r="M33">
        <f t="shared" si="12"/>
        <v>-2.5510441951472416E-2</v>
      </c>
      <c r="N33">
        <f t="shared" si="13"/>
        <v>0.99967462632192317</v>
      </c>
      <c r="O33">
        <f t="shared" si="14"/>
        <v>-2.550767508267561E-2</v>
      </c>
      <c r="P33" s="4">
        <f t="shared" si="6"/>
        <v>223.99319478891067</v>
      </c>
      <c r="Q33" s="4">
        <f t="shared" si="7"/>
        <v>-5.7154052758423015</v>
      </c>
      <c r="R33">
        <f t="shared" si="15"/>
        <v>224.06610000000001</v>
      </c>
    </row>
    <row r="34" spans="1:20" x14ac:dyDescent="0.2">
      <c r="A34">
        <f t="shared" si="16"/>
        <v>-1.7869276524256228</v>
      </c>
      <c r="B34">
        <f t="shared" si="8"/>
        <v>-3.1187771029759954E-2</v>
      </c>
      <c r="C34">
        <f t="shared" si="9"/>
        <v>0.99951370088868063</v>
      </c>
      <c r="D34">
        <f t="shared" si="10"/>
        <v>-3.1182715337395774E-2</v>
      </c>
      <c r="E34" s="4">
        <f t="shared" si="3"/>
        <v>213.72591470965651</v>
      </c>
      <c r="F34" s="4">
        <f t="shared" si="4"/>
        <v>-6.6677969023238051</v>
      </c>
      <c r="G34" s="3">
        <f t="shared" si="11"/>
        <v>213.82990000000001</v>
      </c>
      <c r="L34">
        <f t="shared" si="17"/>
        <v>-1.7052474335549905</v>
      </c>
      <c r="M34">
        <f t="shared" si="12"/>
        <v>-2.9762182276717817E-2</v>
      </c>
      <c r="N34">
        <f t="shared" si="13"/>
        <v>0.99955713894457698</v>
      </c>
      <c r="O34">
        <f t="shared" si="14"/>
        <v>-2.975778864317177E-2</v>
      </c>
      <c r="P34" s="4">
        <f t="shared" si="6"/>
        <v>223.96686985046949</v>
      </c>
      <c r="Q34" s="4">
        <f t="shared" si="7"/>
        <v>-6.6677116458997903</v>
      </c>
      <c r="R34">
        <f t="shared" si="15"/>
        <v>224.06610000000003</v>
      </c>
    </row>
    <row r="35" spans="1:20" x14ac:dyDescent="0.2">
      <c r="A35" s="10">
        <f t="shared" si="16"/>
        <v>-2.0422030313435688</v>
      </c>
      <c r="B35" s="10">
        <f t="shared" si="8"/>
        <v>-3.5643166891154231E-2</v>
      </c>
      <c r="C35" s="10">
        <f t="shared" si="9"/>
        <v>0.99936484957438554</v>
      </c>
      <c r="D35" s="10">
        <f t="shared" si="10"/>
        <v>-3.5635620314031599E-2</v>
      </c>
      <c r="E35" s="11">
        <f t="shared" si="3"/>
        <v>213.6940858480059</v>
      </c>
      <c r="F35" s="11">
        <f t="shared" si="4"/>
        <v>-7.6199611281873461</v>
      </c>
      <c r="G35" s="3">
        <f t="shared" si="11"/>
        <v>213.82990000000001</v>
      </c>
      <c r="I35" t="str">
        <f>"G1 X"&amp;ROUND(E35,3)&amp;" Y"&amp;ROUND(F35,3)&amp;"   ; side move pt 2 to pt 3"</f>
        <v>G1 X213.694 Y-7.62   ; side move pt 2 to pt 3</v>
      </c>
      <c r="L35" s="10">
        <f t="shared" si="17"/>
        <v>-1.948854209777132</v>
      </c>
      <c r="M35" s="10">
        <f t="shared" si="12"/>
        <v>-3.4013922601963217E-2</v>
      </c>
      <c r="N35" s="10">
        <f t="shared" si="13"/>
        <v>0.99942158230438805</v>
      </c>
      <c r="O35" s="10">
        <f t="shared" si="14"/>
        <v>-3.400736426413084E-2</v>
      </c>
      <c r="P35" s="11">
        <f t="shared" si="6"/>
        <v>223.93649620277324</v>
      </c>
      <c r="Q35" s="11">
        <f t="shared" si="7"/>
        <v>-7.6198974819431671</v>
      </c>
      <c r="R35">
        <f t="shared" si="15"/>
        <v>224.06610000000001</v>
      </c>
      <c r="T35" t="str">
        <f>"G1 X"&amp;ROUND(P35,3)&amp;" Y"&amp;ROUND(Q35,3)&amp;"   ; arch to point 2"</f>
        <v>G1 X223.936 Y-7.62   ; arch to point 2</v>
      </c>
    </row>
    <row r="38" spans="1:20" x14ac:dyDescent="0.2">
      <c r="L38" s="5" t="s">
        <v>33</v>
      </c>
    </row>
    <row r="39" spans="1:20" x14ac:dyDescent="0.2">
      <c r="L39" t="s">
        <v>16</v>
      </c>
    </row>
    <row r="40" spans="1:20" x14ac:dyDescent="0.2">
      <c r="L40" t="s">
        <v>17</v>
      </c>
    </row>
    <row r="41" spans="1:20" x14ac:dyDescent="0.2">
      <c r="L41" t="s">
        <v>18</v>
      </c>
    </row>
    <row r="42" spans="1:20" x14ac:dyDescent="0.2">
      <c r="L42" t="s">
        <v>19</v>
      </c>
    </row>
    <row r="43" spans="1:20" x14ac:dyDescent="0.2">
      <c r="L43" t="s">
        <v>20</v>
      </c>
    </row>
    <row r="44" spans="1:20" x14ac:dyDescent="0.2">
      <c r="L44" t="s">
        <v>36</v>
      </c>
    </row>
    <row r="45" spans="1:20" x14ac:dyDescent="0.2">
      <c r="L45" t="s">
        <v>21</v>
      </c>
    </row>
    <row r="46" spans="1:20" x14ac:dyDescent="0.2">
      <c r="L46" t="s">
        <v>22</v>
      </c>
    </row>
    <row r="47" spans="1:20" x14ac:dyDescent="0.2">
      <c r="L47" t="s">
        <v>23</v>
      </c>
    </row>
    <row r="48" spans="1:20" x14ac:dyDescent="0.2">
      <c r="L48" t="s">
        <v>24</v>
      </c>
    </row>
    <row r="49" spans="12:12" x14ac:dyDescent="0.2">
      <c r="L49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0999-1F87-3E47-A1F4-8D12210B483A}">
  <dimension ref="A1:W50"/>
  <sheetViews>
    <sheetView workbookViewId="0">
      <selection activeCell="D45" sqref="D45"/>
    </sheetView>
  </sheetViews>
  <sheetFormatPr baseColWidth="10" defaultRowHeight="16" x14ac:dyDescent="0.2"/>
  <sheetData>
    <row r="1" spans="1:23" x14ac:dyDescent="0.2">
      <c r="A1" t="s">
        <v>37</v>
      </c>
    </row>
    <row r="2" spans="1:23" x14ac:dyDescent="0.2">
      <c r="T2">
        <v>0.75</v>
      </c>
    </row>
    <row r="3" spans="1:23" x14ac:dyDescent="0.2">
      <c r="I3" s="17">
        <v>45954</v>
      </c>
      <c r="J3" t="s">
        <v>50</v>
      </c>
      <c r="K3" t="s">
        <v>51</v>
      </c>
      <c r="L3" t="s">
        <v>5</v>
      </c>
      <c r="M3" t="s">
        <v>12</v>
      </c>
      <c r="N3" t="s">
        <v>7</v>
      </c>
      <c r="O3" t="s">
        <v>105</v>
      </c>
      <c r="P3" t="s">
        <v>48</v>
      </c>
      <c r="Q3" t="s">
        <v>49</v>
      </c>
      <c r="S3" t="s">
        <v>58</v>
      </c>
      <c r="T3" t="s">
        <v>59</v>
      </c>
    </row>
    <row r="4" spans="1:23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I4" t="s">
        <v>47</v>
      </c>
      <c r="J4">
        <f>B5</f>
        <v>-199.2901</v>
      </c>
      <c r="K4">
        <f>B6</f>
        <v>-52.4163</v>
      </c>
      <c r="L4">
        <v>-200.8</v>
      </c>
      <c r="M4">
        <v>-52.22</v>
      </c>
      <c r="N4">
        <f>SQRT(L4^2+M4^2)</f>
        <v>207.47907942730035</v>
      </c>
      <c r="O4">
        <f>SQRT(J4^2+(K4-50)^2)</f>
        <v>224.06615644425199</v>
      </c>
      <c r="P4">
        <v>320</v>
      </c>
      <c r="Q4">
        <v>200</v>
      </c>
      <c r="S4">
        <f>J4-1.3</f>
        <v>-200.59010000000001</v>
      </c>
      <c r="T4">
        <f>K4-0.75</f>
        <v>-53.1663</v>
      </c>
      <c r="W4">
        <f>K4+T4</f>
        <v>-105.5826</v>
      </c>
    </row>
    <row r="5" spans="1:23" x14ac:dyDescent="0.2">
      <c r="B5" s="1">
        <v>-199.2901</v>
      </c>
      <c r="C5">
        <v>-280.7</v>
      </c>
      <c r="D5">
        <f>B5-C5</f>
        <v>81.409899999999993</v>
      </c>
      <c r="E5">
        <v>400</v>
      </c>
      <c r="F5">
        <f>E5-D5</f>
        <v>318.59010000000001</v>
      </c>
      <c r="I5" t="s">
        <v>52</v>
      </c>
      <c r="J5">
        <f>B23</f>
        <v>199.2901</v>
      </c>
      <c r="K5">
        <f>B24</f>
        <v>-52.4163</v>
      </c>
      <c r="L5">
        <v>197.5</v>
      </c>
      <c r="M5">
        <v>-52.22</v>
      </c>
      <c r="N5">
        <f>SQRT(L5^2+M5^2)</f>
        <v>204.28700007587364</v>
      </c>
      <c r="P5">
        <f>P4</f>
        <v>320</v>
      </c>
      <c r="Q5">
        <f>Q4</f>
        <v>200</v>
      </c>
      <c r="S5">
        <f>J5-1.3</f>
        <v>197.99009999999998</v>
      </c>
      <c r="T5">
        <f>K5-0.75</f>
        <v>-53.1663</v>
      </c>
      <c r="V5">
        <f>J5-S5</f>
        <v>1.3000000000000114</v>
      </c>
      <c r="W5">
        <f>K5-T5</f>
        <v>0.75</v>
      </c>
    </row>
    <row r="6" spans="1:23" x14ac:dyDescent="0.2">
      <c r="B6">
        <v>-52.4163</v>
      </c>
      <c r="C6">
        <v>-51.62</v>
      </c>
      <c r="D6">
        <f>B6-C6</f>
        <v>-0.79630000000000223</v>
      </c>
      <c r="E6">
        <v>200</v>
      </c>
      <c r="F6">
        <f>E6-D6</f>
        <v>200.7963</v>
      </c>
      <c r="I6" t="s">
        <v>57</v>
      </c>
      <c r="S6" t="s">
        <v>62</v>
      </c>
    </row>
    <row r="7" spans="1:23" x14ac:dyDescent="0.2">
      <c r="I7" t="s">
        <v>56</v>
      </c>
    </row>
    <row r="8" spans="1:23" x14ac:dyDescent="0.2">
      <c r="B8" t="s">
        <v>0</v>
      </c>
      <c r="C8" t="s">
        <v>1</v>
      </c>
      <c r="D8" t="s">
        <v>2</v>
      </c>
      <c r="E8" t="s">
        <v>3</v>
      </c>
      <c r="F8" t="s">
        <v>4</v>
      </c>
      <c r="I8" t="s">
        <v>61</v>
      </c>
    </row>
    <row r="9" spans="1:23" x14ac:dyDescent="0.2">
      <c r="B9" s="1">
        <v>-199.2901</v>
      </c>
      <c r="C9">
        <v>-200.5</v>
      </c>
      <c r="D9">
        <f>B9-C9</f>
        <v>1.2099000000000046</v>
      </c>
      <c r="E9">
        <v>320</v>
      </c>
      <c r="F9">
        <f>E9-D9</f>
        <v>318.7901</v>
      </c>
      <c r="I9" t="s">
        <v>60</v>
      </c>
    </row>
    <row r="10" spans="1:23" x14ac:dyDescent="0.2">
      <c r="B10">
        <v>-52.4163</v>
      </c>
      <c r="C10">
        <v>-51.93</v>
      </c>
      <c r="D10">
        <f>B10-C10</f>
        <v>-0.48629999999999995</v>
      </c>
      <c r="E10">
        <v>200</v>
      </c>
      <c r="F10">
        <f>E10-D10</f>
        <v>200.4863</v>
      </c>
    </row>
    <row r="12" spans="1:23" x14ac:dyDescent="0.2">
      <c r="B12" s="1">
        <v>199.2901</v>
      </c>
      <c r="C12">
        <v>197.4</v>
      </c>
      <c r="D12">
        <f>B12-C12</f>
        <v>1.8900999999999897</v>
      </c>
      <c r="E12" s="2">
        <v>320</v>
      </c>
      <c r="F12">
        <f>E12-D12</f>
        <v>318.10990000000004</v>
      </c>
    </row>
    <row r="13" spans="1:23" x14ac:dyDescent="0.2">
      <c r="B13">
        <v>-52.4163</v>
      </c>
      <c r="C13">
        <v>-51.32</v>
      </c>
      <c r="D13">
        <f>B13-C13</f>
        <v>-1.0962999999999994</v>
      </c>
      <c r="E13" s="2">
        <v>200</v>
      </c>
      <c r="F13">
        <f>E13-D13</f>
        <v>201.09629999999999</v>
      </c>
    </row>
    <row r="15" spans="1:23" x14ac:dyDescent="0.2">
      <c r="B15" s="1"/>
      <c r="I15" t="s">
        <v>53</v>
      </c>
    </row>
    <row r="16" spans="1:23" x14ac:dyDescent="0.2">
      <c r="I16" t="s">
        <v>63</v>
      </c>
    </row>
    <row r="17" spans="2:14" x14ac:dyDescent="0.2">
      <c r="I17" t="s">
        <v>54</v>
      </c>
    </row>
    <row r="18" spans="2:14" x14ac:dyDescent="0.2">
      <c r="B18" s="1"/>
      <c r="E18" s="2"/>
      <c r="I18" t="s">
        <v>55</v>
      </c>
    </row>
    <row r="19" spans="2:14" x14ac:dyDescent="0.2">
      <c r="B19" t="s">
        <v>0</v>
      </c>
      <c r="C19" t="s">
        <v>1</v>
      </c>
      <c r="D19" t="s">
        <v>2</v>
      </c>
      <c r="E19" t="s">
        <v>3</v>
      </c>
      <c r="F19" t="s">
        <v>4</v>
      </c>
    </row>
    <row r="20" spans="2:14" x14ac:dyDescent="0.2">
      <c r="B20" s="1">
        <v>-199.2901</v>
      </c>
      <c r="C20">
        <f>-200.5-(E20-E9)</f>
        <v>-199.3</v>
      </c>
      <c r="D20">
        <f>B20-C20</f>
        <v>9.9000000000160071E-3</v>
      </c>
      <c r="E20">
        <f>E9-1.2</f>
        <v>318.8</v>
      </c>
      <c r="F20">
        <f>E20-D20</f>
        <v>318.7901</v>
      </c>
    </row>
    <row r="21" spans="2:14" x14ac:dyDescent="0.2">
      <c r="B21">
        <v>-52.4163</v>
      </c>
      <c r="C21">
        <f>-51.92-(E21-E10)</f>
        <v>-52.67</v>
      </c>
      <c r="D21">
        <f>B21-C21</f>
        <v>0.25370000000000203</v>
      </c>
      <c r="E21">
        <v>200.75</v>
      </c>
      <c r="F21">
        <f>E21-D21</f>
        <v>200.49629999999999</v>
      </c>
    </row>
    <row r="23" spans="2:14" x14ac:dyDescent="0.2">
      <c r="B23" s="1">
        <v>199.2901</v>
      </c>
      <c r="C23">
        <f>197.4-(E23-E12)</f>
        <v>198.6</v>
      </c>
      <c r="D23">
        <f>B23-C23</f>
        <v>0.69010000000000105</v>
      </c>
      <c r="E23" s="2">
        <f>E20</f>
        <v>318.8</v>
      </c>
      <c r="F23">
        <f>E23-D23</f>
        <v>318.10990000000004</v>
      </c>
    </row>
    <row r="24" spans="2:14" x14ac:dyDescent="0.2">
      <c r="B24">
        <v>-52.4163</v>
      </c>
      <c r="C24">
        <f>-51.32-(E24-E13)</f>
        <v>-52.07</v>
      </c>
      <c r="D24">
        <f>B24-C24</f>
        <v>-0.34629999999999939</v>
      </c>
      <c r="E24" s="2">
        <v>200.75</v>
      </c>
      <c r="F24">
        <f>E24-D24</f>
        <v>201.09629999999999</v>
      </c>
    </row>
    <row r="25" spans="2:14" x14ac:dyDescent="0.2">
      <c r="I25" t="s">
        <v>64</v>
      </c>
      <c r="N25" t="s">
        <v>76</v>
      </c>
    </row>
    <row r="26" spans="2:14" x14ac:dyDescent="0.2">
      <c r="I26" t="s">
        <v>65</v>
      </c>
      <c r="N26" t="s">
        <v>77</v>
      </c>
    </row>
    <row r="27" spans="2:14" x14ac:dyDescent="0.2">
      <c r="I27" t="s">
        <v>66</v>
      </c>
      <c r="N27" t="s">
        <v>78</v>
      </c>
    </row>
    <row r="28" spans="2:14" x14ac:dyDescent="0.2">
      <c r="I28" t="s">
        <v>67</v>
      </c>
      <c r="N28" t="s">
        <v>79</v>
      </c>
    </row>
    <row r="29" spans="2:14" x14ac:dyDescent="0.2">
      <c r="I29" t="s">
        <v>68</v>
      </c>
      <c r="N29" t="s">
        <v>80</v>
      </c>
    </row>
    <row r="30" spans="2:14" x14ac:dyDescent="0.2">
      <c r="I30" t="s">
        <v>69</v>
      </c>
      <c r="N30" t="s">
        <v>81</v>
      </c>
    </row>
    <row r="31" spans="2:14" x14ac:dyDescent="0.2">
      <c r="I31" t="s">
        <v>70</v>
      </c>
      <c r="N31" t="s">
        <v>82</v>
      </c>
    </row>
    <row r="32" spans="2:14" x14ac:dyDescent="0.2">
      <c r="I32" t="s">
        <v>71</v>
      </c>
      <c r="N32" t="s">
        <v>83</v>
      </c>
    </row>
    <row r="33" spans="1:14" x14ac:dyDescent="0.2">
      <c r="I33" t="s">
        <v>72</v>
      </c>
      <c r="N33" t="s">
        <v>84</v>
      </c>
    </row>
    <row r="34" spans="1:14" x14ac:dyDescent="0.2">
      <c r="I34" t="s">
        <v>73</v>
      </c>
      <c r="N34" t="s">
        <v>85</v>
      </c>
    </row>
    <row r="35" spans="1:14" x14ac:dyDescent="0.2">
      <c r="I35" t="s">
        <v>74</v>
      </c>
      <c r="N35" t="s">
        <v>86</v>
      </c>
    </row>
    <row r="36" spans="1:14" x14ac:dyDescent="0.2">
      <c r="I36" t="s">
        <v>75</v>
      </c>
      <c r="N36" t="s">
        <v>87</v>
      </c>
    </row>
    <row r="40" spans="1:14" x14ac:dyDescent="0.2">
      <c r="D40">
        <v>50</v>
      </c>
      <c r="E40" t="s">
        <v>106</v>
      </c>
    </row>
    <row r="42" spans="1:14" x14ac:dyDescent="0.2">
      <c r="A42" s="5" t="s">
        <v>88</v>
      </c>
      <c r="C42" s="6" t="s">
        <v>5</v>
      </c>
      <c r="D42" s="6" t="s">
        <v>12</v>
      </c>
      <c r="G42" s="5" t="s">
        <v>95</v>
      </c>
    </row>
    <row r="43" spans="1:14" x14ac:dyDescent="0.2">
      <c r="A43" t="s">
        <v>89</v>
      </c>
      <c r="B43">
        <v>1</v>
      </c>
      <c r="C43" s="3">
        <v>-199.2901</v>
      </c>
      <c r="D43" s="3">
        <f>-102.4163+D40</f>
        <v>-52.416300000000007</v>
      </c>
      <c r="E43" t="s">
        <v>92</v>
      </c>
      <c r="G43" s="3">
        <f>SQRT(C43^2+D43^2)</f>
        <v>206.06798019998158</v>
      </c>
      <c r="I43" t="str">
        <f>"; reference_point1 = ("&amp;C43&amp;" ,"&amp;D43&amp;")"</f>
        <v>; reference_point1 = (-199.2901 ,-52.4163)</v>
      </c>
      <c r="N43" t="s">
        <v>102</v>
      </c>
    </row>
    <row r="44" spans="1:14" x14ac:dyDescent="0.2">
      <c r="A44" t="s">
        <v>90</v>
      </c>
      <c r="B44">
        <v>2</v>
      </c>
      <c r="C44" s="3">
        <v>10.95</v>
      </c>
      <c r="D44" s="3">
        <v>223.79839999999999</v>
      </c>
      <c r="E44" t="s">
        <v>93</v>
      </c>
      <c r="G44" s="3">
        <f>SQRT(C44^2+D44^2)</f>
        <v>224.06612047018618</v>
      </c>
      <c r="I44" t="str">
        <f>"; reference_point2 = ("&amp;C44&amp;" ,"&amp;D44&amp;")"</f>
        <v>; reference_point2 = (10.95 ,223.7984)</v>
      </c>
      <c r="N44" t="s">
        <v>103</v>
      </c>
    </row>
    <row r="45" spans="1:14" x14ac:dyDescent="0.2">
      <c r="A45" t="s">
        <v>91</v>
      </c>
      <c r="B45">
        <v>3</v>
      </c>
      <c r="C45" s="3">
        <v>199.29</v>
      </c>
      <c r="D45" s="3">
        <v>-102.41630000000001</v>
      </c>
      <c r="E45" t="s">
        <v>94</v>
      </c>
      <c r="G45" s="3">
        <f>SQRT(C45^2+D45^2)</f>
        <v>224.0660675017304</v>
      </c>
      <c r="I45" t="str">
        <f>"; reference_point3 = ("&amp;C45&amp;" ,"&amp;D45&amp;")"</f>
        <v>; reference_point3 = (199.29 ,-102.4163)</v>
      </c>
      <c r="N45" t="s">
        <v>104</v>
      </c>
    </row>
    <row r="46" spans="1:14" x14ac:dyDescent="0.2">
      <c r="C46" s="3"/>
      <c r="D46" s="3"/>
    </row>
    <row r="47" spans="1:14" x14ac:dyDescent="0.2">
      <c r="A47" s="5" t="s">
        <v>96</v>
      </c>
      <c r="C47" s="18" t="s">
        <v>5</v>
      </c>
      <c r="D47" s="18" t="s">
        <v>12</v>
      </c>
      <c r="G47" s="5" t="s">
        <v>95</v>
      </c>
    </row>
    <row r="48" spans="1:14" x14ac:dyDescent="0.2">
      <c r="A48" t="s">
        <v>97</v>
      </c>
      <c r="B48">
        <v>1</v>
      </c>
      <c r="C48" s="3">
        <v>-179.6534</v>
      </c>
      <c r="D48" s="3">
        <v>-133.904</v>
      </c>
      <c r="E48" t="s">
        <v>92</v>
      </c>
      <c r="G48" s="3">
        <f>SQRT(C48^2+D48^2)</f>
        <v>224.06611824985947</v>
      </c>
      <c r="I48" t="str">
        <f>"; reference_point1 = ("&amp;C48&amp;" ,"&amp;D48&amp;")"</f>
        <v>; reference_point1 = (-179.6534 ,-133.904)</v>
      </c>
      <c r="N48" t="s">
        <v>99</v>
      </c>
    </row>
    <row r="49" spans="1:14" x14ac:dyDescent="0.2">
      <c r="A49" t="s">
        <v>98</v>
      </c>
      <c r="B49">
        <v>2</v>
      </c>
      <c r="C49" s="3">
        <v>7.0425000000000004</v>
      </c>
      <c r="D49" s="3">
        <v>-223.9554</v>
      </c>
      <c r="E49" t="s">
        <v>93</v>
      </c>
      <c r="G49" s="3">
        <f>SQRT(C49^2+D49^2)</f>
        <v>224.06610184365238</v>
      </c>
      <c r="I49" t="str">
        <f>"; reference_point2 = ("&amp;C49&amp;" ,"&amp;D49&amp;")"</f>
        <v>; reference_point2 = (7.0425 ,-223.9554)</v>
      </c>
      <c r="N49" t="s">
        <v>100</v>
      </c>
    </row>
    <row r="50" spans="1:14" x14ac:dyDescent="0.2">
      <c r="A50" t="s">
        <v>97</v>
      </c>
      <c r="B50">
        <v>3</v>
      </c>
      <c r="C50" s="3">
        <v>179.6534</v>
      </c>
      <c r="D50" s="3">
        <v>-133.904</v>
      </c>
      <c r="E50" t="s">
        <v>94</v>
      </c>
      <c r="G50" s="3">
        <f>SQRT(C50^2+D50^2)</f>
        <v>224.06611824985947</v>
      </c>
      <c r="I50" t="str">
        <f>"; reference_point3 = ("&amp;C50&amp;" ,"&amp;D50&amp;")"</f>
        <v>; reference_point3 = (179.6534 ,-133.904)</v>
      </c>
      <c r="N5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outside of grooves</vt:lpstr>
      <vt:lpstr>outer and inner grooves</vt:lpstr>
      <vt:lpstr>Groove meas and calcs</vt:lpstr>
      <vt:lpstr>center of grooves</vt:lpstr>
      <vt:lpstr>ref ptts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Robbins</dc:creator>
  <cp:lastModifiedBy>Brad Robbins</cp:lastModifiedBy>
  <dcterms:created xsi:type="dcterms:W3CDTF">2025-10-21T21:46:13Z</dcterms:created>
  <dcterms:modified xsi:type="dcterms:W3CDTF">2025-10-26T04:18:49Z</dcterms:modified>
</cp:coreProperties>
</file>