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esktop\nowe_przewidywatory\"/>
    </mc:Choice>
  </mc:AlternateContent>
  <xr:revisionPtr revIDLastSave="0" documentId="13_ncr:1_{0B08BE12-FF91-4BC5-93EF-3A6FE031C03D}" xr6:coauthVersionLast="47" xr6:coauthVersionMax="47" xr10:uidLastSave="{00000000-0000-0000-0000-000000000000}"/>
  <bookViews>
    <workbookView xWindow="-120" yWindow="-120" windowWidth="29040" windowHeight="15720" activeTab="1" xr2:uid="{58AE95C6-397E-4823-B89B-F713FCDE47EB}"/>
  </bookViews>
  <sheets>
    <sheet name="Dane" sheetId="1" r:id="rId1"/>
    <sheet name="Wyli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I3" i="2"/>
  <c r="J3" i="2"/>
  <c r="K3" i="2"/>
  <c r="L3" i="2"/>
  <c r="M3" i="2"/>
  <c r="N3" i="2"/>
  <c r="O3" i="2"/>
  <c r="P3" i="2"/>
  <c r="Q3" i="2"/>
  <c r="R3" i="2"/>
  <c r="H4" i="2"/>
  <c r="I4" i="2"/>
  <c r="J4" i="2"/>
  <c r="K4" i="2"/>
  <c r="L4" i="2"/>
  <c r="M4" i="2"/>
  <c r="N4" i="2"/>
  <c r="O4" i="2"/>
  <c r="P4" i="2"/>
  <c r="Q4" i="2"/>
  <c r="R4" i="2"/>
  <c r="H5" i="2"/>
  <c r="I5" i="2"/>
  <c r="J5" i="2"/>
  <c r="K5" i="2"/>
  <c r="L5" i="2"/>
  <c r="M5" i="2"/>
  <c r="N5" i="2"/>
  <c r="O5" i="2"/>
  <c r="P5" i="2"/>
  <c r="Q5" i="2"/>
  <c r="R5" i="2"/>
  <c r="H6" i="2"/>
  <c r="I6" i="2"/>
  <c r="J6" i="2"/>
  <c r="K6" i="2"/>
  <c r="L6" i="2"/>
  <c r="M6" i="2"/>
  <c r="N6" i="2"/>
  <c r="O6" i="2"/>
  <c r="P6" i="2"/>
  <c r="Q6" i="2"/>
  <c r="R6" i="2"/>
  <c r="H7" i="2"/>
  <c r="I7" i="2"/>
  <c r="J7" i="2"/>
  <c r="K7" i="2"/>
  <c r="L7" i="2"/>
  <c r="M7" i="2"/>
  <c r="N7" i="2"/>
  <c r="O7" i="2"/>
  <c r="P7" i="2"/>
  <c r="Q7" i="2"/>
  <c r="R7" i="2"/>
  <c r="H8" i="2"/>
  <c r="I8" i="2"/>
  <c r="J8" i="2"/>
  <c r="K8" i="2"/>
  <c r="L8" i="2"/>
  <c r="M8" i="2"/>
  <c r="N8" i="2"/>
  <c r="O8" i="2"/>
  <c r="P8" i="2"/>
  <c r="Q8" i="2"/>
  <c r="R8" i="2"/>
  <c r="H9" i="2"/>
  <c r="I9" i="2"/>
  <c r="J9" i="2"/>
  <c r="K9" i="2"/>
  <c r="L9" i="2"/>
  <c r="M9" i="2"/>
  <c r="N9" i="2"/>
  <c r="O9" i="2"/>
  <c r="P9" i="2"/>
  <c r="Q9" i="2"/>
  <c r="R9" i="2"/>
  <c r="H10" i="2"/>
  <c r="I10" i="2"/>
  <c r="J10" i="2"/>
  <c r="K10" i="2"/>
  <c r="L10" i="2"/>
  <c r="M10" i="2"/>
  <c r="N10" i="2"/>
  <c r="O10" i="2"/>
  <c r="P10" i="2"/>
  <c r="Q10" i="2"/>
  <c r="R10" i="2"/>
  <c r="H11" i="2"/>
  <c r="I11" i="2"/>
  <c r="J11" i="2"/>
  <c r="K11" i="2"/>
  <c r="L11" i="2"/>
  <c r="M11" i="2"/>
  <c r="N11" i="2"/>
  <c r="O11" i="2"/>
  <c r="P11" i="2"/>
  <c r="Q11" i="2"/>
  <c r="R11" i="2"/>
  <c r="H12" i="2"/>
  <c r="I12" i="2"/>
  <c r="J12" i="2"/>
  <c r="K12" i="2"/>
  <c r="L12" i="2"/>
  <c r="M12" i="2"/>
  <c r="N12" i="2"/>
  <c r="O12" i="2"/>
  <c r="P12" i="2"/>
  <c r="Q12" i="2"/>
  <c r="R12" i="2"/>
  <c r="H13" i="2"/>
  <c r="I13" i="2"/>
  <c r="J13" i="2"/>
  <c r="K13" i="2"/>
  <c r="L13" i="2"/>
  <c r="M13" i="2"/>
  <c r="N13" i="2"/>
  <c r="O13" i="2"/>
  <c r="P13" i="2"/>
  <c r="Q13" i="2"/>
  <c r="R13" i="2"/>
  <c r="H1" i="2"/>
  <c r="F3" i="2"/>
  <c r="B2" i="2" l="1"/>
  <c r="C2" i="2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V2" i="1"/>
  <c r="U2" i="1"/>
  <c r="T2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N3" i="1" a="1"/>
  <c r="N3" i="1" s="1"/>
  <c r="N2" i="1" a="1"/>
  <c r="N2" i="1" s="1"/>
  <c r="K419" i="1"/>
  <c r="K417" i="1"/>
  <c r="K415" i="1"/>
  <c r="K413" i="1"/>
  <c r="K411" i="1"/>
  <c r="K409" i="1"/>
  <c r="K407" i="1"/>
  <c r="K405" i="1"/>
  <c r="K403" i="1"/>
  <c r="K401" i="1"/>
  <c r="K399" i="1"/>
  <c r="K397" i="1"/>
  <c r="K395" i="1"/>
  <c r="K393" i="1"/>
  <c r="K391" i="1"/>
  <c r="K389" i="1"/>
  <c r="K387" i="1"/>
  <c r="K385" i="1"/>
  <c r="K383" i="1"/>
  <c r="K381" i="1"/>
  <c r="K379" i="1"/>
  <c r="K377" i="1"/>
  <c r="K375" i="1"/>
  <c r="K373" i="1"/>
  <c r="K371" i="1"/>
  <c r="K369" i="1"/>
  <c r="K367" i="1"/>
  <c r="K365" i="1"/>
  <c r="K363" i="1"/>
  <c r="K361" i="1"/>
  <c r="K359" i="1"/>
  <c r="K357" i="1"/>
  <c r="K355" i="1"/>
  <c r="K353" i="1"/>
  <c r="K351" i="1"/>
  <c r="K349" i="1"/>
  <c r="K347" i="1"/>
  <c r="K345" i="1"/>
  <c r="K343" i="1"/>
  <c r="K341" i="1"/>
  <c r="K339" i="1"/>
  <c r="K337" i="1"/>
  <c r="K335" i="1"/>
  <c r="K333" i="1"/>
  <c r="K331" i="1"/>
  <c r="K329" i="1"/>
  <c r="K327" i="1"/>
  <c r="K325" i="1"/>
  <c r="K323" i="1"/>
  <c r="K321" i="1"/>
  <c r="K319" i="1"/>
  <c r="K317" i="1"/>
  <c r="K315" i="1"/>
  <c r="K313" i="1"/>
  <c r="K311" i="1"/>
  <c r="K309" i="1"/>
  <c r="K307" i="1"/>
  <c r="K305" i="1"/>
  <c r="K303" i="1"/>
  <c r="K301" i="1"/>
  <c r="K299" i="1"/>
  <c r="K297" i="1"/>
  <c r="K295" i="1"/>
  <c r="K293" i="1"/>
  <c r="K291" i="1"/>
  <c r="K289" i="1"/>
  <c r="K287" i="1"/>
  <c r="K285" i="1"/>
  <c r="K283" i="1"/>
  <c r="K281" i="1"/>
  <c r="K279" i="1"/>
  <c r="K277" i="1"/>
  <c r="K275" i="1"/>
  <c r="K273" i="1"/>
  <c r="K271" i="1"/>
  <c r="K269" i="1"/>
  <c r="K267" i="1"/>
  <c r="K265" i="1"/>
  <c r="K263" i="1"/>
  <c r="K261" i="1"/>
  <c r="K259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K219" i="1"/>
  <c r="K217" i="1"/>
  <c r="K215" i="1"/>
  <c r="K213" i="1"/>
  <c r="K211" i="1"/>
  <c r="K209" i="1"/>
  <c r="K207" i="1"/>
  <c r="K205" i="1"/>
  <c r="K203" i="1"/>
  <c r="K201" i="1"/>
  <c r="K199" i="1"/>
  <c r="K197" i="1"/>
  <c r="K195" i="1"/>
  <c r="K193" i="1"/>
  <c r="K191" i="1"/>
  <c r="K189" i="1"/>
  <c r="K187" i="1"/>
  <c r="K185" i="1"/>
  <c r="K183" i="1"/>
  <c r="K181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K418" i="1"/>
  <c r="K416" i="1"/>
  <c r="K414" i="1"/>
  <c r="K412" i="1"/>
  <c r="K410" i="1"/>
  <c r="K408" i="1"/>
  <c r="K406" i="1"/>
  <c r="K404" i="1"/>
  <c r="K402" i="1"/>
  <c r="K400" i="1"/>
  <c r="K398" i="1"/>
  <c r="K396" i="1"/>
  <c r="K394" i="1"/>
  <c r="K392" i="1"/>
  <c r="K390" i="1"/>
  <c r="K388" i="1"/>
  <c r="K386" i="1"/>
  <c r="K384" i="1"/>
  <c r="K382" i="1"/>
  <c r="K380" i="1"/>
  <c r="K378" i="1"/>
  <c r="K376" i="1"/>
  <c r="K374" i="1"/>
  <c r="K372" i="1"/>
  <c r="K370" i="1"/>
  <c r="K368" i="1"/>
  <c r="K366" i="1"/>
  <c r="K364" i="1"/>
  <c r="K362" i="1"/>
  <c r="K360" i="1"/>
  <c r="K358" i="1"/>
  <c r="K356" i="1"/>
  <c r="K354" i="1"/>
  <c r="K352" i="1"/>
  <c r="K350" i="1"/>
  <c r="K348" i="1"/>
  <c r="K346" i="1"/>
  <c r="K344" i="1"/>
  <c r="K342" i="1"/>
  <c r="K340" i="1"/>
  <c r="K338" i="1"/>
  <c r="K336" i="1"/>
  <c r="K334" i="1"/>
  <c r="K332" i="1"/>
  <c r="K330" i="1"/>
  <c r="K328" i="1"/>
  <c r="K326" i="1"/>
  <c r="K324" i="1"/>
  <c r="K322" i="1"/>
  <c r="K320" i="1"/>
  <c r="K318" i="1"/>
  <c r="K316" i="1"/>
  <c r="K314" i="1"/>
  <c r="K312" i="1"/>
  <c r="K310" i="1"/>
  <c r="K308" i="1"/>
  <c r="K306" i="1"/>
  <c r="K304" i="1"/>
  <c r="K302" i="1"/>
  <c r="K300" i="1"/>
  <c r="K298" i="1"/>
  <c r="K296" i="1"/>
  <c r="K294" i="1"/>
  <c r="K292" i="1"/>
  <c r="K290" i="1"/>
  <c r="K288" i="1"/>
  <c r="K286" i="1"/>
  <c r="K284" i="1"/>
  <c r="K282" i="1"/>
  <c r="K280" i="1"/>
  <c r="K278" i="1"/>
  <c r="K276" i="1"/>
  <c r="K274" i="1"/>
  <c r="K272" i="1"/>
  <c r="K270" i="1"/>
  <c r="K268" i="1"/>
  <c r="K266" i="1"/>
  <c r="K264" i="1"/>
  <c r="K262" i="1"/>
  <c r="K260" i="1"/>
  <c r="K258" i="1"/>
  <c r="K256" i="1"/>
  <c r="K254" i="1"/>
  <c r="K252" i="1"/>
  <c r="K250" i="1"/>
  <c r="K248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22" i="1"/>
  <c r="K220" i="1"/>
  <c r="K218" i="1"/>
  <c r="K216" i="1"/>
  <c r="K214" i="1"/>
  <c r="K212" i="1"/>
  <c r="K210" i="1"/>
  <c r="K208" i="1"/>
  <c r="K206" i="1"/>
  <c r="K204" i="1"/>
  <c r="K202" i="1"/>
  <c r="K200" i="1"/>
  <c r="K198" i="1"/>
  <c r="K196" i="1"/>
  <c r="K194" i="1"/>
  <c r="K192" i="1"/>
  <c r="K190" i="1"/>
  <c r="K188" i="1"/>
  <c r="K186" i="1"/>
  <c r="K184" i="1"/>
  <c r="K182" i="1"/>
  <c r="K180" i="1"/>
  <c r="K178" i="1"/>
  <c r="K176" i="1"/>
  <c r="K174" i="1"/>
  <c r="K172" i="1"/>
  <c r="K170" i="1"/>
  <c r="K168" i="1"/>
  <c r="K166" i="1"/>
  <c r="K164" i="1"/>
  <c r="K162" i="1"/>
  <c r="K160" i="1"/>
  <c r="K158" i="1"/>
  <c r="K156" i="1"/>
  <c r="K154" i="1"/>
  <c r="K152" i="1"/>
  <c r="K150" i="1"/>
  <c r="K148" i="1"/>
  <c r="K146" i="1"/>
  <c r="K144" i="1"/>
  <c r="K142" i="1"/>
  <c r="K140" i="1"/>
  <c r="K138" i="1"/>
  <c r="K136" i="1"/>
  <c r="K134" i="1"/>
  <c r="K132" i="1"/>
  <c r="K130" i="1"/>
  <c r="K128" i="1"/>
  <c r="K126" i="1"/>
  <c r="K124" i="1"/>
  <c r="K122" i="1"/>
  <c r="K120" i="1"/>
  <c r="K118" i="1"/>
  <c r="K116" i="1"/>
  <c r="K114" i="1"/>
  <c r="K112" i="1"/>
  <c r="K110" i="1"/>
  <c r="K108" i="1"/>
  <c r="K106" i="1"/>
  <c r="K104" i="1"/>
  <c r="K102" i="1"/>
  <c r="K100" i="1"/>
  <c r="K98" i="1"/>
  <c r="K96" i="1"/>
  <c r="K94" i="1"/>
  <c r="K92" i="1"/>
  <c r="K90" i="1"/>
  <c r="K88" i="1"/>
  <c r="K86" i="1"/>
  <c r="K84" i="1"/>
  <c r="K82" i="1"/>
  <c r="K80" i="1"/>
  <c r="K78" i="1"/>
  <c r="K76" i="1"/>
  <c r="K74" i="1"/>
  <c r="K72" i="1"/>
  <c r="K70" i="1"/>
  <c r="K68" i="1"/>
  <c r="K66" i="1"/>
  <c r="K64" i="1"/>
  <c r="K62" i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2" i="1"/>
  <c r="J419" i="1"/>
  <c r="J417" i="1"/>
  <c r="J415" i="1"/>
  <c r="J413" i="1"/>
  <c r="J411" i="1"/>
  <c r="J409" i="1"/>
  <c r="J407" i="1"/>
  <c r="J405" i="1"/>
  <c r="J403" i="1"/>
  <c r="J401" i="1"/>
  <c r="J399" i="1"/>
  <c r="J397" i="1"/>
  <c r="J395" i="1"/>
  <c r="J393" i="1"/>
  <c r="J391" i="1"/>
  <c r="J389" i="1"/>
  <c r="J387" i="1"/>
  <c r="J385" i="1"/>
  <c r="J383" i="1"/>
  <c r="J381" i="1"/>
  <c r="J379" i="1"/>
  <c r="J377" i="1"/>
  <c r="J375" i="1"/>
  <c r="J373" i="1"/>
  <c r="J371" i="1"/>
  <c r="J369" i="1"/>
  <c r="J367" i="1"/>
  <c r="J365" i="1"/>
  <c r="J363" i="1"/>
  <c r="J361" i="1"/>
  <c r="J359" i="1"/>
  <c r="J357" i="1"/>
  <c r="J355" i="1"/>
  <c r="J353" i="1"/>
  <c r="J351" i="1"/>
  <c r="J349" i="1"/>
  <c r="J347" i="1"/>
  <c r="J345" i="1"/>
  <c r="J343" i="1"/>
  <c r="J341" i="1"/>
  <c r="J339" i="1"/>
  <c r="J337" i="1"/>
  <c r="J335" i="1"/>
  <c r="J333" i="1"/>
  <c r="J331" i="1"/>
  <c r="J329" i="1"/>
  <c r="J327" i="1"/>
  <c r="J325" i="1"/>
  <c r="J323" i="1"/>
  <c r="J321" i="1"/>
  <c r="J319" i="1"/>
  <c r="J317" i="1"/>
  <c r="J315" i="1"/>
  <c r="J313" i="1"/>
  <c r="J311" i="1"/>
  <c r="J309" i="1"/>
  <c r="J307" i="1"/>
  <c r="J305" i="1"/>
  <c r="J303" i="1"/>
  <c r="J301" i="1"/>
  <c r="J299" i="1"/>
  <c r="J297" i="1"/>
  <c r="J295" i="1"/>
  <c r="J293" i="1"/>
  <c r="J291" i="1"/>
  <c r="J289" i="1"/>
  <c r="J287" i="1"/>
  <c r="J285" i="1"/>
  <c r="J283" i="1"/>
  <c r="J281" i="1"/>
  <c r="J279" i="1"/>
  <c r="J277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45" i="1"/>
  <c r="J243" i="1"/>
  <c r="J241" i="1"/>
  <c r="J239" i="1"/>
  <c r="J237" i="1"/>
  <c r="J235" i="1"/>
  <c r="J233" i="1"/>
  <c r="J231" i="1"/>
  <c r="J229" i="1"/>
  <c r="J227" i="1"/>
  <c r="J225" i="1"/>
  <c r="J223" i="1"/>
  <c r="J221" i="1"/>
  <c r="J219" i="1"/>
  <c r="J217" i="1"/>
  <c r="J215" i="1"/>
  <c r="J213" i="1"/>
  <c r="J211" i="1"/>
  <c r="J209" i="1"/>
  <c r="J207" i="1"/>
  <c r="J205" i="1"/>
  <c r="J203" i="1"/>
  <c r="J201" i="1"/>
  <c r="J199" i="1"/>
  <c r="J197" i="1"/>
  <c r="J195" i="1"/>
  <c r="J193" i="1"/>
  <c r="J191" i="1"/>
  <c r="J189" i="1"/>
  <c r="J187" i="1"/>
  <c r="J185" i="1"/>
  <c r="J183" i="1"/>
  <c r="J181" i="1"/>
  <c r="J179" i="1"/>
  <c r="J177" i="1"/>
  <c r="J175" i="1"/>
  <c r="J173" i="1"/>
  <c r="J171" i="1"/>
  <c r="J169" i="1"/>
  <c r="J167" i="1"/>
  <c r="J165" i="1"/>
  <c r="J163" i="1"/>
  <c r="J161" i="1"/>
  <c r="J159" i="1"/>
  <c r="J157" i="1"/>
  <c r="J155" i="1"/>
  <c r="J153" i="1"/>
  <c r="J151" i="1"/>
  <c r="J149" i="1"/>
  <c r="J147" i="1"/>
  <c r="J145" i="1"/>
  <c r="J143" i="1"/>
  <c r="J141" i="1"/>
  <c r="J139" i="1"/>
  <c r="J137" i="1"/>
  <c r="J135" i="1"/>
  <c r="J133" i="1"/>
  <c r="J131" i="1"/>
  <c r="J129" i="1"/>
  <c r="J127" i="1"/>
  <c r="J125" i="1"/>
  <c r="J123" i="1"/>
  <c r="J121" i="1"/>
  <c r="J119" i="1"/>
  <c r="J117" i="1"/>
  <c r="J115" i="1"/>
  <c r="J113" i="1"/>
  <c r="J111" i="1"/>
  <c r="J109" i="1"/>
  <c r="J107" i="1"/>
  <c r="J105" i="1"/>
  <c r="J103" i="1"/>
  <c r="J101" i="1"/>
  <c r="J99" i="1"/>
  <c r="J97" i="1"/>
  <c r="J95" i="1"/>
  <c r="J93" i="1"/>
  <c r="J91" i="1"/>
  <c r="J89" i="1"/>
  <c r="J87" i="1"/>
  <c r="J85" i="1"/>
  <c r="J83" i="1"/>
  <c r="J81" i="1"/>
  <c r="J79" i="1"/>
  <c r="J77" i="1"/>
  <c r="J75" i="1"/>
  <c r="J73" i="1"/>
  <c r="J71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J3" i="1"/>
  <c r="J418" i="1"/>
  <c r="J416" i="1"/>
  <c r="J414" i="1"/>
  <c r="J412" i="1"/>
  <c r="J410" i="1"/>
  <c r="J408" i="1"/>
  <c r="J406" i="1"/>
  <c r="J404" i="1"/>
  <c r="J402" i="1"/>
  <c r="J400" i="1"/>
  <c r="J398" i="1"/>
  <c r="J396" i="1"/>
  <c r="J394" i="1"/>
  <c r="J392" i="1"/>
  <c r="J390" i="1"/>
  <c r="J388" i="1"/>
  <c r="J386" i="1"/>
  <c r="J384" i="1"/>
  <c r="J382" i="1"/>
  <c r="J380" i="1"/>
  <c r="J378" i="1"/>
  <c r="J376" i="1"/>
  <c r="J374" i="1"/>
  <c r="J372" i="1"/>
  <c r="J370" i="1"/>
  <c r="J368" i="1"/>
  <c r="J366" i="1"/>
  <c r="J364" i="1"/>
  <c r="J362" i="1"/>
  <c r="J360" i="1"/>
  <c r="J358" i="1"/>
  <c r="J356" i="1"/>
  <c r="J354" i="1"/>
  <c r="J352" i="1"/>
  <c r="J350" i="1"/>
  <c r="J348" i="1"/>
  <c r="J346" i="1"/>
  <c r="J344" i="1"/>
  <c r="J342" i="1"/>
  <c r="J340" i="1"/>
  <c r="J338" i="1"/>
  <c r="J336" i="1"/>
  <c r="J334" i="1"/>
  <c r="J332" i="1"/>
  <c r="J330" i="1"/>
  <c r="J328" i="1"/>
  <c r="J326" i="1"/>
  <c r="J324" i="1"/>
  <c r="J322" i="1"/>
  <c r="J320" i="1"/>
  <c r="J318" i="1"/>
  <c r="J316" i="1"/>
  <c r="J314" i="1"/>
  <c r="J312" i="1"/>
  <c r="J310" i="1"/>
  <c r="J308" i="1"/>
  <c r="J306" i="1"/>
  <c r="J304" i="1"/>
  <c r="J302" i="1"/>
  <c r="J300" i="1"/>
  <c r="J298" i="1"/>
  <c r="J296" i="1"/>
  <c r="J294" i="1"/>
  <c r="J292" i="1"/>
  <c r="J290" i="1"/>
  <c r="J288" i="1"/>
  <c r="J286" i="1"/>
  <c r="J284" i="1"/>
  <c r="J282" i="1"/>
  <c r="J280" i="1"/>
  <c r="J278" i="1"/>
  <c r="J276" i="1"/>
  <c r="J274" i="1"/>
  <c r="J272" i="1"/>
  <c r="J270" i="1"/>
  <c r="J268" i="1"/>
  <c r="J266" i="1"/>
  <c r="J264" i="1"/>
  <c r="J262" i="1"/>
  <c r="J260" i="1"/>
  <c r="J258" i="1"/>
  <c r="J256" i="1"/>
  <c r="J254" i="1"/>
  <c r="J252" i="1"/>
  <c r="J250" i="1"/>
  <c r="J248" i="1"/>
  <c r="J246" i="1"/>
  <c r="J244" i="1"/>
  <c r="J242" i="1"/>
  <c r="J240" i="1"/>
  <c r="J238" i="1"/>
  <c r="J236" i="1"/>
  <c r="J234" i="1"/>
  <c r="J232" i="1"/>
  <c r="J230" i="1"/>
  <c r="J228" i="1"/>
  <c r="J226" i="1"/>
  <c r="J224" i="1"/>
  <c r="J222" i="1"/>
  <c r="J220" i="1"/>
  <c r="J218" i="1"/>
  <c r="J216" i="1"/>
  <c r="J214" i="1"/>
  <c r="J212" i="1"/>
  <c r="J210" i="1"/>
  <c r="J208" i="1"/>
  <c r="J206" i="1"/>
  <c r="J204" i="1"/>
  <c r="J202" i="1"/>
  <c r="J200" i="1"/>
  <c r="J198" i="1"/>
  <c r="J196" i="1"/>
  <c r="J194" i="1"/>
  <c r="J192" i="1"/>
  <c r="J190" i="1"/>
  <c r="J188" i="1"/>
  <c r="J186" i="1"/>
  <c r="J184" i="1"/>
  <c r="J182" i="1"/>
  <c r="J180" i="1"/>
  <c r="J178" i="1"/>
  <c r="J176" i="1"/>
  <c r="J174" i="1"/>
  <c r="J172" i="1"/>
  <c r="J170" i="1"/>
  <c r="J168" i="1"/>
  <c r="J166" i="1"/>
  <c r="J164" i="1"/>
  <c r="J162" i="1"/>
  <c r="J160" i="1"/>
  <c r="J158" i="1"/>
  <c r="J156" i="1"/>
  <c r="J154" i="1"/>
  <c r="J152" i="1"/>
  <c r="J150" i="1"/>
  <c r="J148" i="1"/>
  <c r="J146" i="1"/>
  <c r="J144" i="1"/>
  <c r="J142" i="1"/>
  <c r="J140" i="1"/>
  <c r="J138" i="1"/>
  <c r="J136" i="1"/>
  <c r="J134" i="1"/>
  <c r="J132" i="1"/>
  <c r="J130" i="1"/>
  <c r="J128" i="1"/>
  <c r="J126" i="1"/>
  <c r="J124" i="1"/>
  <c r="J122" i="1"/>
  <c r="J120" i="1"/>
  <c r="J118" i="1"/>
  <c r="J116" i="1"/>
  <c r="J114" i="1"/>
  <c r="J112" i="1"/>
  <c r="J110" i="1"/>
  <c r="J108" i="1"/>
  <c r="J106" i="1"/>
  <c r="J104" i="1"/>
  <c r="J102" i="1"/>
  <c r="J100" i="1"/>
  <c r="J98" i="1"/>
  <c r="J96" i="1"/>
  <c r="J94" i="1"/>
  <c r="J92" i="1"/>
  <c r="J90" i="1"/>
  <c r="J88" i="1"/>
  <c r="J86" i="1"/>
  <c r="J84" i="1"/>
  <c r="J82" i="1"/>
  <c r="J80" i="1"/>
  <c r="J78" i="1"/>
  <c r="J76" i="1"/>
  <c r="J74" i="1"/>
  <c r="J72" i="1"/>
  <c r="J70" i="1"/>
  <c r="J68" i="1"/>
  <c r="J66" i="1"/>
  <c r="J64" i="1"/>
  <c r="J62" i="1"/>
  <c r="J60" i="1"/>
  <c r="J58" i="1"/>
  <c r="J56" i="1"/>
  <c r="J54" i="1"/>
  <c r="J52" i="1"/>
  <c r="J50" i="1"/>
  <c r="J48" i="1"/>
  <c r="J46" i="1"/>
  <c r="J44" i="1"/>
  <c r="J42" i="1"/>
  <c r="J40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J4" i="1"/>
  <c r="J2" i="1"/>
  <c r="I419" i="1"/>
  <c r="I417" i="1"/>
  <c r="I415" i="1"/>
  <c r="I413" i="1"/>
  <c r="I411" i="1"/>
  <c r="I409" i="1"/>
  <c r="I407" i="1"/>
  <c r="I405" i="1"/>
  <c r="I403" i="1"/>
  <c r="I401" i="1"/>
  <c r="I399" i="1"/>
  <c r="I397" i="1"/>
  <c r="I395" i="1"/>
  <c r="I393" i="1"/>
  <c r="I391" i="1"/>
  <c r="I389" i="1"/>
  <c r="I387" i="1"/>
  <c r="I385" i="1"/>
  <c r="I383" i="1"/>
  <c r="I381" i="1"/>
  <c r="I379" i="1"/>
  <c r="I377" i="1"/>
  <c r="I375" i="1"/>
  <c r="I373" i="1"/>
  <c r="I371" i="1"/>
  <c r="I369" i="1"/>
  <c r="I367" i="1"/>
  <c r="I365" i="1"/>
  <c r="I363" i="1"/>
  <c r="I361" i="1"/>
  <c r="I359" i="1"/>
  <c r="I357" i="1"/>
  <c r="I355" i="1"/>
  <c r="I353" i="1"/>
  <c r="I351" i="1"/>
  <c r="I349" i="1"/>
  <c r="I347" i="1"/>
  <c r="I345" i="1"/>
  <c r="I343" i="1"/>
  <c r="I341" i="1"/>
  <c r="I339" i="1"/>
  <c r="I337" i="1"/>
  <c r="I335" i="1"/>
  <c r="I333" i="1"/>
  <c r="I331" i="1"/>
  <c r="I329" i="1"/>
  <c r="I327" i="1"/>
  <c r="I325" i="1"/>
  <c r="I323" i="1"/>
  <c r="I321" i="1"/>
  <c r="I319" i="1"/>
  <c r="I317" i="1"/>
  <c r="I315" i="1"/>
  <c r="I313" i="1"/>
  <c r="I311" i="1"/>
  <c r="I309" i="1"/>
  <c r="I307" i="1"/>
  <c r="I305" i="1"/>
  <c r="I303" i="1"/>
  <c r="I301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7" i="1"/>
  <c r="I245" i="1"/>
  <c r="I243" i="1"/>
  <c r="I241" i="1"/>
  <c r="I239" i="1"/>
  <c r="I237" i="1"/>
  <c r="I235" i="1"/>
  <c r="I233" i="1"/>
  <c r="I231" i="1"/>
  <c r="I229" i="1"/>
  <c r="I227" i="1"/>
  <c r="I225" i="1"/>
  <c r="I223" i="1"/>
  <c r="I221" i="1"/>
  <c r="I219" i="1"/>
  <c r="I217" i="1"/>
  <c r="I215" i="1"/>
  <c r="I213" i="1"/>
  <c r="I211" i="1"/>
  <c r="I209" i="1"/>
  <c r="I207" i="1"/>
  <c r="I205" i="1"/>
  <c r="I203" i="1"/>
  <c r="I201" i="1"/>
  <c r="I199" i="1"/>
  <c r="I197" i="1"/>
  <c r="I195" i="1"/>
  <c r="I193" i="1"/>
  <c r="I191" i="1"/>
  <c r="I189" i="1"/>
  <c r="I187" i="1"/>
  <c r="I185" i="1"/>
  <c r="I183" i="1"/>
  <c r="I181" i="1"/>
  <c r="I179" i="1"/>
  <c r="I177" i="1"/>
  <c r="I175" i="1"/>
  <c r="I173" i="1"/>
  <c r="I171" i="1"/>
  <c r="I169" i="1"/>
  <c r="I167" i="1"/>
  <c r="I165" i="1"/>
  <c r="I163" i="1"/>
  <c r="I161" i="1"/>
  <c r="I159" i="1"/>
  <c r="I157" i="1"/>
  <c r="I155" i="1"/>
  <c r="I153" i="1"/>
  <c r="I151" i="1"/>
  <c r="I149" i="1"/>
  <c r="I147" i="1"/>
  <c r="I145" i="1"/>
  <c r="I143" i="1"/>
  <c r="I141" i="1"/>
  <c r="I139" i="1"/>
  <c r="I137" i="1"/>
  <c r="I135" i="1"/>
  <c r="I133" i="1"/>
  <c r="I131" i="1"/>
  <c r="I129" i="1"/>
  <c r="I127" i="1"/>
  <c r="I125" i="1"/>
  <c r="I123" i="1"/>
  <c r="I121" i="1"/>
  <c r="I119" i="1"/>
  <c r="I117" i="1"/>
  <c r="I115" i="1"/>
  <c r="I113" i="1"/>
  <c r="I111" i="1"/>
  <c r="I109" i="1"/>
  <c r="I107" i="1"/>
  <c r="I105" i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L60" i="1" s="1"/>
  <c r="I5" i="1"/>
  <c r="I3" i="1"/>
  <c r="I418" i="1"/>
  <c r="I416" i="1"/>
  <c r="I414" i="1"/>
  <c r="I412" i="1"/>
  <c r="I410" i="1"/>
  <c r="I408" i="1"/>
  <c r="I406" i="1"/>
  <c r="I404" i="1"/>
  <c r="I402" i="1"/>
  <c r="I400" i="1"/>
  <c r="I398" i="1"/>
  <c r="I396" i="1"/>
  <c r="I394" i="1"/>
  <c r="I392" i="1"/>
  <c r="I390" i="1"/>
  <c r="I388" i="1"/>
  <c r="I386" i="1"/>
  <c r="I384" i="1"/>
  <c r="I382" i="1"/>
  <c r="I380" i="1"/>
  <c r="I378" i="1"/>
  <c r="I376" i="1"/>
  <c r="I374" i="1"/>
  <c r="I372" i="1"/>
  <c r="I370" i="1"/>
  <c r="I368" i="1"/>
  <c r="I366" i="1"/>
  <c r="I364" i="1"/>
  <c r="I362" i="1"/>
  <c r="I360" i="1"/>
  <c r="I358" i="1"/>
  <c r="I356" i="1"/>
  <c r="I354" i="1"/>
  <c r="I352" i="1"/>
  <c r="I350" i="1"/>
  <c r="I348" i="1"/>
  <c r="I346" i="1"/>
  <c r="I344" i="1"/>
  <c r="I342" i="1"/>
  <c r="I340" i="1"/>
  <c r="I338" i="1"/>
  <c r="I336" i="1"/>
  <c r="I334" i="1"/>
  <c r="I332" i="1"/>
  <c r="I330" i="1"/>
  <c r="I328" i="1"/>
  <c r="I326" i="1"/>
  <c r="I324" i="1"/>
  <c r="I322" i="1"/>
  <c r="I320" i="1"/>
  <c r="I318" i="1"/>
  <c r="I316" i="1"/>
  <c r="I314" i="1"/>
  <c r="I312" i="1"/>
  <c r="I310" i="1"/>
  <c r="I308" i="1"/>
  <c r="I306" i="1"/>
  <c r="I304" i="1"/>
  <c r="I302" i="1"/>
  <c r="I300" i="1"/>
  <c r="I298" i="1"/>
  <c r="I296" i="1"/>
  <c r="I294" i="1"/>
  <c r="I292" i="1"/>
  <c r="I290" i="1"/>
  <c r="I288" i="1"/>
  <c r="I286" i="1"/>
  <c r="I284" i="1"/>
  <c r="I282" i="1"/>
  <c r="I280" i="1"/>
  <c r="I278" i="1"/>
  <c r="I276" i="1"/>
  <c r="I274" i="1"/>
  <c r="I272" i="1"/>
  <c r="I270" i="1"/>
  <c r="I268" i="1"/>
  <c r="I266" i="1"/>
  <c r="I264" i="1"/>
  <c r="I262" i="1"/>
  <c r="I260" i="1"/>
  <c r="I258" i="1"/>
  <c r="I256" i="1"/>
  <c r="I254" i="1"/>
  <c r="I252" i="1"/>
  <c r="I250" i="1"/>
  <c r="I248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22" i="1"/>
  <c r="I220" i="1"/>
  <c r="I218" i="1"/>
  <c r="I216" i="1"/>
  <c r="I214" i="1"/>
  <c r="I212" i="1"/>
  <c r="I210" i="1"/>
  <c r="I208" i="1"/>
  <c r="I206" i="1"/>
  <c r="I204" i="1"/>
  <c r="I202" i="1"/>
  <c r="I200" i="1"/>
  <c r="I198" i="1"/>
  <c r="I196" i="1"/>
  <c r="I194" i="1"/>
  <c r="I192" i="1"/>
  <c r="I190" i="1"/>
  <c r="I188" i="1"/>
  <c r="I186" i="1"/>
  <c r="I184" i="1"/>
  <c r="I182" i="1"/>
  <c r="I180" i="1"/>
  <c r="I178" i="1"/>
  <c r="I176" i="1"/>
  <c r="I174" i="1"/>
  <c r="I172" i="1"/>
  <c r="I170" i="1"/>
  <c r="I168" i="1"/>
  <c r="I166" i="1"/>
  <c r="I164" i="1"/>
  <c r="I162" i="1"/>
  <c r="I160" i="1"/>
  <c r="I158" i="1"/>
  <c r="I156" i="1"/>
  <c r="I154" i="1"/>
  <c r="I152" i="1"/>
  <c r="I150" i="1"/>
  <c r="I148" i="1"/>
  <c r="I146" i="1"/>
  <c r="I144" i="1"/>
  <c r="I142" i="1"/>
  <c r="I140" i="1"/>
  <c r="I138" i="1"/>
  <c r="I136" i="1"/>
  <c r="I134" i="1"/>
  <c r="I132" i="1"/>
  <c r="I130" i="1"/>
  <c r="I128" i="1"/>
  <c r="I126" i="1"/>
  <c r="I124" i="1"/>
  <c r="I122" i="1"/>
  <c r="I120" i="1"/>
  <c r="I118" i="1"/>
  <c r="I116" i="1"/>
  <c r="I114" i="1"/>
  <c r="I112" i="1"/>
  <c r="I110" i="1"/>
  <c r="I108" i="1"/>
  <c r="I106" i="1"/>
  <c r="I104" i="1"/>
  <c r="I102" i="1"/>
  <c r="I100" i="1"/>
  <c r="I98" i="1"/>
  <c r="I96" i="1"/>
  <c r="I94" i="1"/>
  <c r="I92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" i="1"/>
  <c r="N4" i="1" l="1" a="1"/>
  <c r="N4" i="1" s="1"/>
  <c r="AQ4" i="1"/>
  <c r="AP4" i="1"/>
  <c r="L108" i="1"/>
  <c r="L4" i="1"/>
  <c r="L124" i="1"/>
  <c r="L52" i="1"/>
  <c r="L116" i="1"/>
  <c r="L190" i="1"/>
  <c r="L22" i="1"/>
  <c r="L38" i="1"/>
  <c r="L54" i="1"/>
  <c r="L70" i="1"/>
  <c r="L86" i="1"/>
  <c r="L102" i="1"/>
  <c r="L118" i="1"/>
  <c r="L68" i="1"/>
  <c r="L136" i="1"/>
  <c r="L12" i="1"/>
  <c r="L76" i="1"/>
  <c r="L156" i="1"/>
  <c r="L20" i="1"/>
  <c r="L84" i="1"/>
  <c r="L168" i="1"/>
  <c r="L28" i="1"/>
  <c r="L92" i="1"/>
  <c r="L188" i="1"/>
  <c r="L36" i="1"/>
  <c r="L100" i="1"/>
  <c r="L44" i="1"/>
  <c r="L303" i="1"/>
  <c r="L204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42" i="1"/>
  <c r="L154" i="1"/>
  <c r="L174" i="1"/>
  <c r="L186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40" i="1"/>
  <c r="L152" i="1"/>
  <c r="L172" i="1"/>
  <c r="L184" i="1"/>
  <c r="L6" i="1"/>
  <c r="L14" i="1"/>
  <c r="L30" i="1"/>
  <c r="L46" i="1"/>
  <c r="L62" i="1"/>
  <c r="L78" i="1"/>
  <c r="L94" i="1"/>
  <c r="L110" i="1"/>
  <c r="L126" i="1"/>
  <c r="L138" i="1"/>
  <c r="L158" i="1"/>
  <c r="L170" i="1"/>
  <c r="L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30" i="1"/>
  <c r="L133" i="1"/>
  <c r="L146" i="1"/>
  <c r="L149" i="1"/>
  <c r="L162" i="1"/>
  <c r="L165" i="1"/>
  <c r="L178" i="1"/>
  <c r="L181" i="1"/>
  <c r="L194" i="1"/>
  <c r="L197" i="1"/>
  <c r="L210" i="1"/>
  <c r="L213" i="1"/>
  <c r="L223" i="1"/>
  <c r="L231" i="1"/>
  <c r="L239" i="1"/>
  <c r="L247" i="1"/>
  <c r="L262" i="1"/>
  <c r="L268" i="1"/>
  <c r="L276" i="1"/>
  <c r="L128" i="1"/>
  <c r="L163" i="1"/>
  <c r="L192" i="1"/>
  <c r="L343" i="1"/>
  <c r="L383" i="1"/>
  <c r="L129" i="1"/>
  <c r="L145" i="1"/>
  <c r="L161" i="1"/>
  <c r="L177" i="1"/>
  <c r="L193" i="1"/>
  <c r="L206" i="1"/>
  <c r="L209" i="1"/>
  <c r="L221" i="1"/>
  <c r="L229" i="1"/>
  <c r="L237" i="1"/>
  <c r="L245" i="1"/>
  <c r="L274" i="1"/>
  <c r="L131" i="1"/>
  <c r="L195" i="1"/>
  <c r="L279" i="1"/>
  <c r="L415" i="1"/>
  <c r="L127" i="1"/>
  <c r="L143" i="1"/>
  <c r="L159" i="1"/>
  <c r="L175" i="1"/>
  <c r="L191" i="1"/>
  <c r="L207" i="1"/>
  <c r="L256" i="1"/>
  <c r="L266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70" i="1"/>
  <c r="L254" i="1"/>
  <c r="L264" i="1"/>
  <c r="L179" i="1"/>
  <c r="L208" i="1"/>
  <c r="L311" i="1"/>
  <c r="L351" i="1"/>
  <c r="L2" i="1"/>
  <c r="L125" i="1"/>
  <c r="L141" i="1"/>
  <c r="L157" i="1"/>
  <c r="L173" i="1"/>
  <c r="L189" i="1"/>
  <c r="L202" i="1"/>
  <c r="L205" i="1"/>
  <c r="L219" i="1"/>
  <c r="L227" i="1"/>
  <c r="L235" i="1"/>
  <c r="L243" i="1"/>
  <c r="L272" i="1"/>
  <c r="L144" i="1"/>
  <c r="L160" i="1"/>
  <c r="L211" i="1"/>
  <c r="L295" i="1"/>
  <c r="L335" i="1"/>
  <c r="L359" i="1"/>
  <c r="L375" i="1"/>
  <c r="L399" i="1"/>
  <c r="L123" i="1"/>
  <c r="L139" i="1"/>
  <c r="L155" i="1"/>
  <c r="L171" i="1"/>
  <c r="L187" i="1"/>
  <c r="L200" i="1"/>
  <c r="L203" i="1"/>
  <c r="L216" i="1"/>
  <c r="L147" i="1"/>
  <c r="L176" i="1"/>
  <c r="L258" i="1"/>
  <c r="L287" i="1"/>
  <c r="L327" i="1"/>
  <c r="L367" i="1"/>
  <c r="L407" i="1"/>
  <c r="L134" i="1"/>
  <c r="L137" i="1"/>
  <c r="L150" i="1"/>
  <c r="L153" i="1"/>
  <c r="L166" i="1"/>
  <c r="L169" i="1"/>
  <c r="L182" i="1"/>
  <c r="L185" i="1"/>
  <c r="L198" i="1"/>
  <c r="L201" i="1"/>
  <c r="L214" i="1"/>
  <c r="L217" i="1"/>
  <c r="L225" i="1"/>
  <c r="L233" i="1"/>
  <c r="L241" i="1"/>
  <c r="L249" i="1"/>
  <c r="L319" i="1"/>
  <c r="L391" i="1"/>
  <c r="L132" i="1"/>
  <c r="L135" i="1"/>
  <c r="L148" i="1"/>
  <c r="L151" i="1"/>
  <c r="L164" i="1"/>
  <c r="L167" i="1"/>
  <c r="L180" i="1"/>
  <c r="L183" i="1"/>
  <c r="L196" i="1"/>
  <c r="L199" i="1"/>
  <c r="L212" i="1"/>
  <c r="L215" i="1"/>
  <c r="L252" i="1"/>
  <c r="L260" i="1"/>
  <c r="L265" i="1"/>
  <c r="L251" i="1"/>
  <c r="L267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263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261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259" i="1"/>
  <c r="L275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257" i="1"/>
  <c r="L273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255" i="1"/>
  <c r="L271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253" i="1"/>
  <c r="L269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C6" i="2" l="1"/>
  <c r="C9" i="2"/>
  <c r="C8" i="2" s="1"/>
  <c r="C11" i="2"/>
  <c r="C4" i="2"/>
  <c r="N5" i="1" a="1"/>
  <c r="N5" i="1" s="1"/>
  <c r="Y2" i="1"/>
  <c r="AB2" i="1"/>
  <c r="AA2" i="1"/>
  <c r="W2" i="1"/>
  <c r="X2" i="1"/>
  <c r="AN2" i="1" s="1"/>
  <c r="AE2" i="1"/>
  <c r="AR2" i="1" s="1"/>
  <c r="Z2" i="1"/>
  <c r="AG2" i="1"/>
  <c r="C5" i="2" l="1"/>
  <c r="N6" i="1" a="1"/>
  <c r="N6" i="1" s="1"/>
  <c r="AJ2" i="1"/>
  <c r="AH2" i="1"/>
  <c r="AF2" i="1"/>
  <c r="AI2" i="1"/>
  <c r="AK2" i="1"/>
  <c r="AC2" i="1"/>
  <c r="AD2" i="1"/>
  <c r="Z3" i="1"/>
  <c r="AE3" i="1"/>
  <c r="AR3" i="1" s="1"/>
  <c r="Y3" i="1"/>
  <c r="X3" i="1"/>
  <c r="AN3" i="1" s="1"/>
  <c r="W3" i="1"/>
  <c r="AL2" i="1"/>
  <c r="AM2" i="1" l="1"/>
  <c r="N7" i="1" a="1"/>
  <c r="N7" i="1" s="1"/>
  <c r="N8" i="1" s="1" a="1"/>
  <c r="N8" i="1" s="1"/>
  <c r="N9" i="1" s="1" a="1"/>
  <c r="N9" i="1" s="1"/>
  <c r="AD3" i="1"/>
  <c r="AB3" i="1"/>
  <c r="AJ3" i="1"/>
  <c r="AH3" i="1"/>
  <c r="AK3" i="1"/>
  <c r="AA3" i="1"/>
  <c r="AF3" i="1"/>
  <c r="Y4" i="1"/>
  <c r="X4" i="1"/>
  <c r="AN4" i="1" s="1"/>
  <c r="AE4" i="1"/>
  <c r="AR4" i="1" s="1"/>
  <c r="W4" i="1"/>
  <c r="Z4" i="1"/>
  <c r="AG3" i="1"/>
  <c r="AC3" i="1"/>
  <c r="AI3" i="1"/>
  <c r="N10" i="1" l="1" a="1"/>
  <c r="N10" i="1" s="1"/>
  <c r="N11" i="1" s="1" a="1"/>
  <c r="N11" i="1" s="1"/>
  <c r="N12" i="1" s="1" a="1"/>
  <c r="N12" i="1" s="1"/>
  <c r="N13" i="1" s="1" a="1"/>
  <c r="N13" i="1" s="1"/>
  <c r="N14" i="1" s="1" a="1"/>
  <c r="N14" i="1" s="1"/>
  <c r="N15" i="1" s="1" a="1"/>
  <c r="N15" i="1" s="1"/>
  <c r="N16" i="1" s="1" a="1"/>
  <c r="N16" i="1" s="1"/>
  <c r="N17" i="1" s="1" a="1"/>
  <c r="N17" i="1" s="1"/>
  <c r="N18" i="1" s="1" a="1"/>
  <c r="N18" i="1" s="1"/>
  <c r="N19" i="1" s="1" a="1"/>
  <c r="N19" i="1" s="1"/>
  <c r="AD4" i="1"/>
  <c r="AI4" i="1"/>
  <c r="AG4" i="1"/>
  <c r="AC4" i="1"/>
  <c r="AK4" i="1"/>
  <c r="AH4" i="1"/>
  <c r="AA4" i="1"/>
  <c r="AF4" i="1"/>
  <c r="AJ4" i="1"/>
  <c r="AM3" i="1"/>
  <c r="AL3" i="1"/>
  <c r="AB4" i="1"/>
  <c r="AM4" i="1" l="1"/>
  <c r="AL4" i="1"/>
  <c r="X5" i="1"/>
  <c r="AN5" i="1" s="1"/>
  <c r="Z5" i="1"/>
  <c r="Y5" i="1"/>
  <c r="W5" i="1"/>
  <c r="AD5" i="1"/>
  <c r="AE5" i="1"/>
  <c r="AR5" i="1" s="1"/>
  <c r="AF5" i="1" l="1"/>
  <c r="AA5" i="1"/>
  <c r="AC5" i="1"/>
  <c r="AG5" i="1"/>
  <c r="AI5" i="1"/>
  <c r="AB5" i="1"/>
  <c r="AH5" i="1"/>
  <c r="AJ5" i="1"/>
  <c r="AK5" i="1"/>
  <c r="AM5" i="1" l="1"/>
  <c r="Z6" i="1"/>
  <c r="Y6" i="1"/>
  <c r="W6" i="1"/>
  <c r="AE6" i="1"/>
  <c r="AR6" i="1" s="1"/>
  <c r="X6" i="1"/>
  <c r="AN6" i="1" s="1"/>
  <c r="AL5" i="1"/>
  <c r="AD6" i="1" l="1"/>
  <c r="AH6" i="1"/>
  <c r="AI6" i="1"/>
  <c r="AB6" i="1"/>
  <c r="AJ6" i="1"/>
  <c r="AC6" i="1"/>
  <c r="AG6" i="1"/>
  <c r="AK6" i="1"/>
  <c r="AA6" i="1"/>
  <c r="AF6" i="1"/>
  <c r="AM6" i="1" l="1"/>
  <c r="Z7" i="1"/>
  <c r="Y7" i="1"/>
  <c r="X7" i="1"/>
  <c r="AN7" i="1" s="1"/>
  <c r="W7" i="1"/>
  <c r="AH7" i="1"/>
  <c r="AE7" i="1"/>
  <c r="AR7" i="1" s="1"/>
  <c r="AL6" i="1"/>
  <c r="AC7" i="1" l="1"/>
  <c r="AG7" i="1"/>
  <c r="AK7" i="1"/>
  <c r="AF7" i="1"/>
  <c r="AA7" i="1"/>
  <c r="AD7" i="1"/>
  <c r="AJ7" i="1"/>
  <c r="AI7" i="1"/>
  <c r="AB7" i="1"/>
  <c r="AL7" i="1" l="1"/>
  <c r="Y8" i="1"/>
  <c r="X8" i="1"/>
  <c r="AN8" i="1" s="1"/>
  <c r="AE8" i="1"/>
  <c r="AR8" i="1" s="1"/>
  <c r="W8" i="1"/>
  <c r="Z8" i="1"/>
  <c r="AD8" i="1"/>
  <c r="AM7" i="1"/>
  <c r="AH8" i="1" l="1"/>
  <c r="AB8" i="1"/>
  <c r="AI8" i="1"/>
  <c r="AG8" i="1"/>
  <c r="AC8" i="1"/>
  <c r="AM8" i="1" s="1"/>
  <c r="AK8" i="1"/>
  <c r="AA8" i="1"/>
  <c r="AF8" i="1"/>
  <c r="AJ8" i="1"/>
  <c r="AL8" i="1" l="1"/>
  <c r="Z9" i="1"/>
  <c r="X9" i="1"/>
  <c r="AN9" i="1" s="1"/>
  <c r="AE9" i="1"/>
  <c r="AR9" i="1" s="1"/>
  <c r="W9" i="1"/>
  <c r="AI9" i="1"/>
  <c r="Y9" i="1"/>
  <c r="AC9" i="1" l="1"/>
  <c r="AG9" i="1"/>
  <c r="AB9" i="1"/>
  <c r="AK9" i="1"/>
  <c r="AD9" i="1"/>
  <c r="AH9" i="1"/>
  <c r="AA9" i="1"/>
  <c r="AF9" i="1"/>
  <c r="AJ9" i="1"/>
  <c r="AM9" i="1" l="1"/>
  <c r="AL9" i="1"/>
  <c r="X10" i="1"/>
  <c r="AN10" i="1" s="1"/>
  <c r="AE10" i="1"/>
  <c r="AR10" i="1" s="1"/>
  <c r="W10" i="1"/>
  <c r="AH10" i="1"/>
  <c r="Z10" i="1"/>
  <c r="Y10" i="1"/>
  <c r="AI10" i="1" l="1"/>
  <c r="AC10" i="1"/>
  <c r="AG10" i="1"/>
  <c r="AF10" i="1"/>
  <c r="AA10" i="1"/>
  <c r="AJ10" i="1"/>
  <c r="AK10" i="1"/>
  <c r="AD10" i="1"/>
  <c r="AB10" i="1"/>
  <c r="AM10" i="1" l="1"/>
  <c r="AL10" i="1"/>
  <c r="Z11" i="1"/>
  <c r="Y11" i="1"/>
  <c r="X11" i="1"/>
  <c r="AN11" i="1" s="1"/>
  <c r="AE11" i="1"/>
  <c r="AR11" i="1" s="1"/>
  <c r="W11" i="1"/>
  <c r="AH11" i="1"/>
  <c r="AK11" i="1" l="1"/>
  <c r="AD11" i="1"/>
  <c r="AF11" i="1"/>
  <c r="AA11" i="1"/>
  <c r="AJ11" i="1"/>
  <c r="AI11" i="1"/>
  <c r="AB11" i="1"/>
  <c r="AC11" i="1"/>
  <c r="AG11" i="1"/>
  <c r="AM11" i="1" l="1"/>
  <c r="AL11" i="1"/>
  <c r="Y12" i="1"/>
  <c r="X12" i="1"/>
  <c r="AN12" i="1" s="1"/>
  <c r="AE12" i="1"/>
  <c r="AR12" i="1" s="1"/>
  <c r="W12" i="1"/>
  <c r="Z12" i="1"/>
  <c r="AD12" i="1"/>
  <c r="AH12" i="1" l="1"/>
  <c r="AI12" i="1"/>
  <c r="AG12" i="1"/>
  <c r="AC12" i="1"/>
  <c r="AM12" i="1" s="1"/>
  <c r="AK12" i="1"/>
  <c r="AA12" i="1"/>
  <c r="AF12" i="1"/>
  <c r="AJ12" i="1"/>
  <c r="AB12" i="1"/>
  <c r="AL12" i="1" l="1"/>
  <c r="Z13" i="1"/>
  <c r="X13" i="1"/>
  <c r="AN13" i="1" s="1"/>
  <c r="AE13" i="1"/>
  <c r="AR13" i="1" s="1"/>
  <c r="W13" i="1"/>
  <c r="AI13" i="1"/>
  <c r="Y13" i="1"/>
  <c r="AJ13" i="1" l="1"/>
  <c r="AC13" i="1"/>
  <c r="AG13" i="1"/>
  <c r="AB13" i="1"/>
  <c r="AK13" i="1"/>
  <c r="AD13" i="1"/>
  <c r="AH13" i="1"/>
  <c r="AA13" i="1"/>
  <c r="AL13" i="1" s="1"/>
  <c r="AF13" i="1"/>
  <c r="Z14" i="1" l="1"/>
  <c r="AD14" i="1"/>
  <c r="Y14" i="1"/>
  <c r="AE14" i="1"/>
  <c r="AR14" i="1" s="1"/>
  <c r="W14" i="1"/>
  <c r="AI14" i="1"/>
  <c r="X14" i="1"/>
  <c r="AN14" i="1" s="1"/>
  <c r="AM13" i="1"/>
  <c r="AF14" i="1" l="1"/>
  <c r="AA14" i="1"/>
  <c r="AJ14" i="1"/>
  <c r="AB14" i="1"/>
  <c r="AH14" i="1"/>
  <c r="AG14" i="1"/>
  <c r="AC14" i="1"/>
  <c r="AM14" i="1" s="1"/>
  <c r="AK14" i="1"/>
  <c r="Y15" i="1" l="1"/>
  <c r="X15" i="1"/>
  <c r="AN15" i="1" s="1"/>
  <c r="AE15" i="1"/>
  <c r="AR15" i="1" s="1"/>
  <c r="W15" i="1"/>
  <c r="AI15" i="1"/>
  <c r="AH15" i="1"/>
  <c r="Z15" i="1"/>
  <c r="AD15" i="1"/>
  <c r="AL14" i="1"/>
  <c r="AJ15" i="1" l="1"/>
  <c r="AB15" i="1"/>
  <c r="AG15" i="1"/>
  <c r="AC15" i="1"/>
  <c r="AM15" i="1" s="1"/>
  <c r="AK15" i="1"/>
  <c r="AF15" i="1"/>
  <c r="AA15" i="1"/>
  <c r="AL15" i="1" l="1"/>
  <c r="X16" i="1"/>
  <c r="AN16" i="1" s="1"/>
  <c r="AE16" i="1"/>
  <c r="AR16" i="1" s="1"/>
  <c r="W16" i="1"/>
  <c r="AH16" i="1"/>
  <c r="Z16" i="1"/>
  <c r="Y16" i="1"/>
  <c r="AI16" i="1" l="1"/>
  <c r="AC16" i="1"/>
  <c r="AG16" i="1"/>
  <c r="AF16" i="1"/>
  <c r="AA16" i="1"/>
  <c r="AK16" i="1"/>
  <c r="AJ16" i="1"/>
  <c r="AD16" i="1"/>
  <c r="AB16" i="1"/>
  <c r="AL16" i="1" l="1"/>
  <c r="AE17" i="1"/>
  <c r="AR17" i="1" s="1"/>
  <c r="W17" i="1"/>
  <c r="AI17" i="1"/>
  <c r="Z17" i="1"/>
  <c r="AD17" i="1"/>
  <c r="Y17" i="1"/>
  <c r="X17" i="1"/>
  <c r="AN17" i="1" s="1"/>
  <c r="AM16" i="1"/>
  <c r="AH17" i="1" l="1"/>
  <c r="AB17" i="1"/>
  <c r="AC17" i="1"/>
  <c r="AM17" i="1" s="1"/>
  <c r="AG17" i="1"/>
  <c r="AA17" i="1"/>
  <c r="AL17" i="1" s="1"/>
  <c r="AF17" i="1"/>
  <c r="AK17" i="1"/>
  <c r="AJ17" i="1"/>
  <c r="AI18" i="1" l="1"/>
  <c r="Z18" i="1"/>
  <c r="AD18" i="1"/>
  <c r="Y18" i="1"/>
  <c r="X18" i="1"/>
  <c r="AN18" i="1" s="1"/>
  <c r="W18" i="1"/>
  <c r="AE18" i="1"/>
  <c r="AR18" i="1" s="1"/>
  <c r="AH18" i="1" l="1"/>
  <c r="AA18" i="1"/>
  <c r="AF18" i="1"/>
  <c r="AJ18" i="1"/>
  <c r="AB18" i="1"/>
  <c r="AC18" i="1"/>
  <c r="AM18" i="1" s="1"/>
  <c r="AG18" i="1"/>
  <c r="AK18" i="1"/>
  <c r="Z19" i="1" l="1"/>
  <c r="Y19" i="1"/>
  <c r="X19" i="1"/>
  <c r="AN19" i="1" s="1"/>
  <c r="AB19" i="1"/>
  <c r="AE19" i="1"/>
  <c r="AR19" i="1" s="1"/>
  <c r="W19" i="1"/>
  <c r="AL18" i="1"/>
  <c r="AC19" i="1" l="1"/>
  <c r="AG19" i="1"/>
  <c r="AQ2" i="1"/>
  <c r="AK19" i="1"/>
  <c r="AD19" i="1"/>
  <c r="AA19" i="1"/>
  <c r="AF19" i="1"/>
  <c r="AP2" i="1"/>
  <c r="AJ19" i="1"/>
  <c r="AH19" i="1"/>
  <c r="AP3" i="1"/>
  <c r="AI19" i="1"/>
  <c r="AQ3" i="1"/>
  <c r="AL19" i="1" l="1"/>
  <c r="AP5" i="1"/>
  <c r="AP9" i="1" s="1"/>
  <c r="AM19" i="1"/>
  <c r="AQ5" i="1"/>
  <c r="AV4" i="1" s="1"/>
  <c r="AU19" i="1" l="1"/>
  <c r="AT17" i="1"/>
  <c r="AT9" i="1"/>
  <c r="AU17" i="1"/>
  <c r="AU14" i="1"/>
  <c r="AU5" i="1"/>
  <c r="AS19" i="1"/>
  <c r="AT13" i="1"/>
  <c r="AU15" i="1"/>
  <c r="AU6" i="1"/>
  <c r="AV2" i="1"/>
  <c r="AT8" i="1"/>
  <c r="AU13" i="1"/>
  <c r="AU3" i="1"/>
  <c r="AT5" i="1"/>
  <c r="AU12" i="1"/>
  <c r="AU2" i="1"/>
  <c r="AT19" i="1"/>
  <c r="AQ9" i="1"/>
  <c r="AU11" i="1"/>
  <c r="AV18" i="1"/>
  <c r="AS15" i="1"/>
  <c r="AU18" i="1"/>
  <c r="AU10" i="1"/>
  <c r="AV14" i="1"/>
  <c r="AS11" i="1"/>
  <c r="AU8" i="1"/>
  <c r="AV10" i="1"/>
  <c r="AS7" i="1"/>
  <c r="AT16" i="1"/>
  <c r="AU16" i="1"/>
  <c r="AU7" i="1"/>
  <c r="AV6" i="1"/>
  <c r="AS3" i="1"/>
  <c r="AT14" i="1"/>
  <c r="AT6" i="1"/>
  <c r="AV19" i="1"/>
  <c r="AV11" i="1"/>
  <c r="AV3" i="1"/>
  <c r="AS16" i="1"/>
  <c r="AS8" i="1"/>
  <c r="AT12" i="1"/>
  <c r="AT4" i="1"/>
  <c r="AV17" i="1"/>
  <c r="AV9" i="1"/>
  <c r="AQ10" i="1"/>
  <c r="AS14" i="1"/>
  <c r="AS6" i="1"/>
  <c r="AT11" i="1"/>
  <c r="AT3" i="1"/>
  <c r="AV16" i="1"/>
  <c r="AV8" i="1"/>
  <c r="AS13" i="1"/>
  <c r="AS5" i="1"/>
  <c r="AT18" i="1"/>
  <c r="AT10" i="1"/>
  <c r="AT2" i="1"/>
  <c r="AU4" i="1"/>
  <c r="AV15" i="1"/>
  <c r="AV7" i="1"/>
  <c r="AS12" i="1"/>
  <c r="AS4" i="1"/>
  <c r="AV13" i="1"/>
  <c r="AV5" i="1"/>
  <c r="AS18" i="1"/>
  <c r="AS10" i="1"/>
  <c r="AS2" i="1"/>
  <c r="AT15" i="1"/>
  <c r="AT7" i="1"/>
  <c r="AU9" i="1"/>
  <c r="AP10" i="1"/>
  <c r="AV12" i="1"/>
  <c r="AS17" i="1"/>
  <c r="AS9" i="1"/>
  <c r="B157" i="1" l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15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<sst xmlns="http://schemas.openxmlformats.org/spreadsheetml/2006/main" count="964" uniqueCount="184">
  <si>
    <t>data</t>
  </si>
  <si>
    <t>h</t>
  </si>
  <si>
    <t>h w</t>
  </si>
  <si>
    <t>a w</t>
  </si>
  <si>
    <t>a</t>
  </si>
  <si>
    <t>Cracovia</t>
  </si>
  <si>
    <t>Wisła Płock</t>
  </si>
  <si>
    <t>Lech Poznań</t>
  </si>
  <si>
    <t>Jagiellonia Białystok</t>
  </si>
  <si>
    <t>Legia Warszawa</t>
  </si>
  <si>
    <t>Śląsk Wrocław</t>
  </si>
  <si>
    <t>Miedź Legnica</t>
  </si>
  <si>
    <t>Górnik Zabrze</t>
  </si>
  <si>
    <t>Piast Gliwice</t>
  </si>
  <si>
    <t>Lechia Gdańsk</t>
  </si>
  <si>
    <t>Pogoń Szczecin</t>
  </si>
  <si>
    <t>Radomiak Radom</t>
  </si>
  <si>
    <t>Raków Częstochowa</t>
  </si>
  <si>
    <t>Zagłębie Lubin</t>
  </si>
  <si>
    <t>Stal Mielec</t>
  </si>
  <si>
    <t>Warta Poznań</t>
  </si>
  <si>
    <t>Widzew Łódź</t>
  </si>
  <si>
    <t>Korona Kielce</t>
  </si>
  <si>
    <t>27.05.</t>
  </si>
  <si>
    <t>22.05.</t>
  </si>
  <si>
    <t>21.05.</t>
  </si>
  <si>
    <t>20.05.</t>
  </si>
  <si>
    <t>19.05.</t>
  </si>
  <si>
    <t>15.05.</t>
  </si>
  <si>
    <t>14.05.</t>
  </si>
  <si>
    <t>13.05.</t>
  </si>
  <si>
    <t>12.05.</t>
  </si>
  <si>
    <t>08.05.</t>
  </si>
  <si>
    <t>07.05.</t>
  </si>
  <si>
    <t>06.05.</t>
  </si>
  <si>
    <t>05.05.</t>
  </si>
  <si>
    <t>01.05.</t>
  </si>
  <si>
    <t>30.04.</t>
  </si>
  <si>
    <t>29.04.</t>
  </si>
  <si>
    <t>28.04.</t>
  </si>
  <si>
    <t>24.04.</t>
  </si>
  <si>
    <t>23.04.</t>
  </si>
  <si>
    <t>22.04.</t>
  </si>
  <si>
    <t>21.04.</t>
  </si>
  <si>
    <t>17.04.</t>
  </si>
  <si>
    <t>16.04.</t>
  </si>
  <si>
    <t>15.04.</t>
  </si>
  <si>
    <t>14.04.</t>
  </si>
  <si>
    <t>10.04.</t>
  </si>
  <si>
    <t>08.04.</t>
  </si>
  <si>
    <t>06.04.</t>
  </si>
  <si>
    <t>03.04.</t>
  </si>
  <si>
    <t>02.04.</t>
  </si>
  <si>
    <t>01.04.</t>
  </si>
  <si>
    <t>31.03.</t>
  </si>
  <si>
    <t>19.03.</t>
  </si>
  <si>
    <t>18.03.</t>
  </si>
  <si>
    <t>17.03.</t>
  </si>
  <si>
    <t>13.03.</t>
  </si>
  <si>
    <t>12.03.</t>
  </si>
  <si>
    <t>11.03.</t>
  </si>
  <si>
    <t>10.03.</t>
  </si>
  <si>
    <t>08.03.</t>
  </si>
  <si>
    <t>06.03.</t>
  </si>
  <si>
    <t>05.03.</t>
  </si>
  <si>
    <t>04.03.</t>
  </si>
  <si>
    <t>03.03.</t>
  </si>
  <si>
    <t>27.02.</t>
  </si>
  <si>
    <t>26.02.</t>
  </si>
  <si>
    <t>25.02.</t>
  </si>
  <si>
    <t>24.02.</t>
  </si>
  <si>
    <t>20.02.</t>
  </si>
  <si>
    <t>19.02.</t>
  </si>
  <si>
    <t>18.02.</t>
  </si>
  <si>
    <t>17.02.</t>
  </si>
  <si>
    <t>13.02.</t>
  </si>
  <si>
    <t>12.02.</t>
  </si>
  <si>
    <t>11.02.</t>
  </si>
  <si>
    <t>10.02.</t>
  </si>
  <si>
    <t>06.02.</t>
  </si>
  <si>
    <t>05.02.</t>
  </si>
  <si>
    <t>04.02.</t>
  </si>
  <si>
    <t>03.02.</t>
  </si>
  <si>
    <t>01.02.</t>
  </si>
  <si>
    <t>30.01.</t>
  </si>
  <si>
    <t>29.01.</t>
  </si>
  <si>
    <t>28.01.</t>
  </si>
  <si>
    <t>27.01.</t>
  </si>
  <si>
    <t>18.11.</t>
  </si>
  <si>
    <t>13.11.</t>
  </si>
  <si>
    <t>12.11.</t>
  </si>
  <si>
    <t>11.11.</t>
  </si>
  <si>
    <t>06.11.</t>
  </si>
  <si>
    <t>05.11.</t>
  </si>
  <si>
    <t>04.11.</t>
  </si>
  <si>
    <t>31.10.</t>
  </si>
  <si>
    <t>30.10.</t>
  </si>
  <si>
    <t>29.10.</t>
  </si>
  <si>
    <t>28.10.</t>
  </si>
  <si>
    <t>24.10.</t>
  </si>
  <si>
    <t>23.10.</t>
  </si>
  <si>
    <t>22.10.</t>
  </si>
  <si>
    <t>21.10.</t>
  </si>
  <si>
    <t>16.10.</t>
  </si>
  <si>
    <t>15.10.</t>
  </si>
  <si>
    <t>14.10.</t>
  </si>
  <si>
    <t>10.10.</t>
  </si>
  <si>
    <t>09.10.</t>
  </si>
  <si>
    <t>08.10.</t>
  </si>
  <si>
    <t>07.10.</t>
  </si>
  <si>
    <t>06.10.</t>
  </si>
  <si>
    <t>03.10.</t>
  </si>
  <si>
    <t>02.10.</t>
  </si>
  <si>
    <t>01.10.</t>
  </si>
  <si>
    <t>30.09.</t>
  </si>
  <si>
    <t>18.09.</t>
  </si>
  <si>
    <t>17.09.</t>
  </si>
  <si>
    <t>16.09.</t>
  </si>
  <si>
    <t>12.09.</t>
  </si>
  <si>
    <t>11.09.</t>
  </si>
  <si>
    <t>10.09.</t>
  </si>
  <si>
    <t>09.09.</t>
  </si>
  <si>
    <t>05.09.</t>
  </si>
  <si>
    <t>04.09.</t>
  </si>
  <si>
    <t>03.09.</t>
  </si>
  <si>
    <t>02.09.</t>
  </si>
  <si>
    <t>31.08.</t>
  </si>
  <si>
    <t>28.08.</t>
  </si>
  <si>
    <t>27.08.</t>
  </si>
  <si>
    <t>26.08.</t>
  </si>
  <si>
    <t>21.08.</t>
  </si>
  <si>
    <t>20.08.</t>
  </si>
  <si>
    <t>19.08.</t>
  </si>
  <si>
    <t>15.08.</t>
  </si>
  <si>
    <t>14.08.</t>
  </si>
  <si>
    <t>13.08.</t>
  </si>
  <si>
    <t>12.08.</t>
  </si>
  <si>
    <t>08.08.</t>
  </si>
  <si>
    <t>07.08.</t>
  </si>
  <si>
    <t>06.08.</t>
  </si>
  <si>
    <t>05.08.</t>
  </si>
  <si>
    <t>01.08.</t>
  </si>
  <si>
    <t>31.07.</t>
  </si>
  <si>
    <t>30.07.</t>
  </si>
  <si>
    <t>29.07.</t>
  </si>
  <si>
    <t>25.07.</t>
  </si>
  <si>
    <t>24.07.</t>
  </si>
  <si>
    <t>23.07.</t>
  </si>
  <si>
    <t>22.07.</t>
  </si>
  <si>
    <t>18.07.</t>
  </si>
  <si>
    <t>17.07.</t>
  </si>
  <si>
    <t>16.07.</t>
  </si>
  <si>
    <t>15.07.</t>
  </si>
  <si>
    <t>godz</t>
  </si>
  <si>
    <t>klub</t>
  </si>
  <si>
    <t>strz</t>
  </si>
  <si>
    <t>stra</t>
  </si>
  <si>
    <t>licz</t>
  </si>
  <si>
    <t>dom strzelone</t>
  </si>
  <si>
    <t>dom stracone</t>
  </si>
  <si>
    <t>wyjazd strzelone</t>
  </si>
  <si>
    <t>wyjazd stracone</t>
  </si>
  <si>
    <t>forma strzelone</t>
  </si>
  <si>
    <t>forma stracone</t>
  </si>
  <si>
    <t>ogół strzelone</t>
  </si>
  <si>
    <t>ogół stracone</t>
  </si>
  <si>
    <t>dom</t>
  </si>
  <si>
    <t>wyjazd</t>
  </si>
  <si>
    <t>forma</t>
  </si>
  <si>
    <t>ogół</t>
  </si>
  <si>
    <t>strzelone</t>
  </si>
  <si>
    <t>stracone</t>
  </si>
  <si>
    <t>dom strz</t>
  </si>
  <si>
    <t>dom stra</t>
  </si>
  <si>
    <t>wyj strz</t>
  </si>
  <si>
    <t>wyj stra</t>
  </si>
  <si>
    <t>siła</t>
  </si>
  <si>
    <t>bramki</t>
  </si>
  <si>
    <t>obie strzelą</t>
  </si>
  <si>
    <t>Gospodarz</t>
  </si>
  <si>
    <t>Gość</t>
  </si>
  <si>
    <t>Remis</t>
  </si>
  <si>
    <t>pow. 2,5 g.</t>
  </si>
  <si>
    <t>pon. 2,5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</si>
</sst>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9">
    <xf numFmtId="0" fontId="0" fillId="0" borderId="0" xfId="0"/>
    <xf numFmtId="0" fontId="0" fillId="0" borderId="0" xfId="0" quotePrefix="1"/>
    <xf numFmtId="0" fontId="0" fillId="0" borderId="3" xfId="0" applyBorder="1"/>
    <xf numFmtId="2" fontId="0" fillId="0" borderId="0" xfId="0" applyNumberFormat="1"/>
    <xf numFmtId="2" fontId="1" fillId="2" borderId="1" xfId="1" applyNumberFormat="1" applyAlignment="1">
      <alignment horizontal="center"/>
    </xf>
    <xf numFmtId="0" fontId="2" fillId="3" borderId="2" xfId="2" applyAlignment="1">
      <alignment horizontal="center"/>
    </xf>
    <xf numFmtId="0" fontId="3" fillId="0" borderId="0" xfId="0" applyFont="1"/>
    <xf numFmtId="0" fontId="1" fillId="2" borderId="1" xfId="1" applyAlignment="1">
      <alignment horizontal="left"/>
    </xf>
    <xf numFmtId="10" fontId="1" fillId="2" borderId="1" xfId="1" applyNumberFormat="1"/>
    <xf numFmtId="0" fontId="1" fillId="2" borderId="1" xfId="1"/>
    <xf numFmtId="0" fontId="0" fillId="0" borderId="0" xfId="0" applyBorder="1"/>
    <xf numFmtId="0" fontId="0" fillId="0" borderId="4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4" borderId="0" xfId="0" applyFill="1"/>
    <xf numFmtId="0" fontId="0" fillId="0" borderId="5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255" wrapText="1"/>
    </xf>
    <xf numFmtId="0" fontId="3" fillId="0" borderId="0" xfId="0" applyFont="1" applyAlignment="1">
      <alignment horizontal="center"/>
    </xf>
  </cellXfs>
  <cellStyles count="3">
    <cellStyle name="Dane wyjściowe" xfId="1" builtinId="21"/>
    <cellStyle name="Komórka zaznaczona" xfId="2" builtinId="23"/>
    <cellStyle name="Normalny" xfId="0" builtinId="0"/>
  </cellStyles>
  <dxfs count="1">
    <dxf>
      <fill>
        <gradientFill degree="90">
          <stop position="0">
            <color theme="0"/>
          </stop>
          <stop position="1">
            <color theme="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A02E-C758-4371-9909-DBA00B0AD443}">
  <dimension ref="A1:AV419"/>
  <sheetViews>
    <sheetView topLeftCell="B1" workbookViewId="0">
      <selection activeCell="AF8" sqref="AF8"/>
    </sheetView>
  </sheetViews>
  <sheetFormatPr defaultRowHeight="15" x14ac:dyDescent="0.25"/>
  <cols>
    <col min="1" max="1" width="0" hidden="1" customWidth="1"/>
    <col min="2" max="6" width="9.140625" style="10"/>
    <col min="7" max="7" width="9.140625" style="11"/>
    <col min="8" max="8" width="9.140625" style="14"/>
    <col min="13" max="13" width="9.140625" style="14"/>
    <col min="14" max="14" width="21.28515625" customWidth="1"/>
  </cols>
  <sheetData>
    <row r="1" spans="1:48" x14ac:dyDescent="0.25">
      <c r="B1" s="10" t="s">
        <v>0</v>
      </c>
      <c r="C1" s="10" t="s">
        <v>153</v>
      </c>
      <c r="D1" s="10" t="s">
        <v>1</v>
      </c>
      <c r="E1" s="10" t="s">
        <v>2</v>
      </c>
      <c r="F1" s="10" t="s">
        <v>3</v>
      </c>
      <c r="G1" s="11" t="s">
        <v>4</v>
      </c>
      <c r="I1" t="s">
        <v>154</v>
      </c>
      <c r="J1" t="s">
        <v>155</v>
      </c>
      <c r="K1" t="s">
        <v>156</v>
      </c>
      <c r="L1" t="s">
        <v>157</v>
      </c>
      <c r="O1" s="16" t="s">
        <v>158</v>
      </c>
      <c r="P1" s="16"/>
      <c r="Q1" s="16" t="s">
        <v>159</v>
      </c>
      <c r="R1" s="16"/>
      <c r="S1" s="16" t="s">
        <v>160</v>
      </c>
      <c r="T1" s="16"/>
      <c r="U1" s="16" t="s">
        <v>161</v>
      </c>
      <c r="V1" s="16"/>
      <c r="W1" s="16" t="s">
        <v>162</v>
      </c>
      <c r="X1" s="16"/>
      <c r="Y1" s="16" t="s">
        <v>163</v>
      </c>
      <c r="Z1" s="16"/>
      <c r="AA1" s="16" t="s">
        <v>164</v>
      </c>
      <c r="AB1" s="16"/>
      <c r="AC1" s="16" t="s">
        <v>165</v>
      </c>
      <c r="AD1" s="16"/>
      <c r="AE1" s="2"/>
      <c r="AF1" s="16" t="s">
        <v>166</v>
      </c>
      <c r="AG1" s="16"/>
      <c r="AH1" s="16" t="s">
        <v>167</v>
      </c>
      <c r="AI1" s="16"/>
      <c r="AJ1" s="16" t="s">
        <v>168</v>
      </c>
      <c r="AK1" s="16"/>
      <c r="AL1" s="16" t="s">
        <v>169</v>
      </c>
      <c r="AM1" s="16"/>
      <c r="AO1" s="2"/>
      <c r="AP1" t="s">
        <v>170</v>
      </c>
      <c r="AQ1" t="s">
        <v>171</v>
      </c>
      <c r="AR1" s="2"/>
      <c r="AS1" t="s">
        <v>172</v>
      </c>
      <c r="AT1" t="s">
        <v>173</v>
      </c>
      <c r="AU1" t="s">
        <v>174</v>
      </c>
      <c r="AV1" s="15" t="s">
        <v>175</v>
      </c>
    </row>
    <row r="2" spans="1:48" x14ac:dyDescent="0.25">
      <c r="A2" t="s">
        <v>23</v>
      </c>
      <c r="B2" s="12" t="str">
        <f t="shared" ref="B2:B33" si="0">A2&amp;2023</f>
        <v>27.05.2023</v>
      </c>
      <c r="C2" s="13">
        <v>0.72916666666666663</v>
      </c>
      <c r="D2" s="10" t="s">
        <v>5</v>
      </c>
      <c r="E2" s="10">
        <v>3</v>
      </c>
      <c r="F2" s="10">
        <v>0</v>
      </c>
      <c r="G2" s="11" t="s">
        <v>6</v>
      </c>
      <c r="I2" s="1" t="str">
        <f>IFERROR(INDEX(D$2:D$500,1),"")</f>
        <v>Cracovia</v>
      </c>
      <c r="J2" s="1">
        <f>IFERROR(INDEX(E$2:E$500,1),"")</f>
        <v>3</v>
      </c>
      <c r="K2" s="1">
        <f>IFERROR(INDEX(F$2:F$500,1),"")</f>
        <v>0</v>
      </c>
      <c r="L2">
        <f>IF(ISTEXT(I2),COUNTIF(I$2:I2,I2),0)</f>
        <v>1</v>
      </c>
      <c r="N2" t="str" cm="1">
        <f t="array" ref="N2">IFERROR(INDEX($I$2:$I$419, MATCH(SMALL(IF(COUNTIF(N$1:$N1, $I$2:$I$419)=0, COUNTIF($I$2:$I$419, "&lt;"&amp;$I$2:$I$419), ""), 1), COUNTIF($I$2:$I$419, "&lt;"&amp;$I$2:$I$419), 0)),"")</f>
        <v>Cracovia</v>
      </c>
      <c r="O2">
        <f>SUMIF(D$2:D$500,N2,E$2:E$500)</f>
        <v>23</v>
      </c>
      <c r="P2">
        <f>COUNTIF(D$2:D$500,N2)</f>
        <v>17</v>
      </c>
      <c r="Q2">
        <f>SUMIF(D$2:D$500,N2,F$2:F$500)</f>
        <v>10</v>
      </c>
      <c r="R2">
        <f>COUNTIF(D$2:D$500,N2)</f>
        <v>17</v>
      </c>
      <c r="S2">
        <f>SUMIF(G$2:G$500,N2,F$2:F$500)</f>
        <v>18</v>
      </c>
      <c r="T2">
        <f>COUNTIF(G$2:G$500,N2)</f>
        <v>17</v>
      </c>
      <c r="U2">
        <f>SUMIF(G$2:G$500,N2,E$2:E$500)</f>
        <v>25</v>
      </c>
      <c r="V2">
        <f>COUNTIF(G$2:G$500,N2)</f>
        <v>17</v>
      </c>
      <c r="W2">
        <f>SUMIFS(J:J,I:I,N2,L:L,"&lt;7")</f>
        <v>7</v>
      </c>
      <c r="X2">
        <f>COUNTIFS(I:I,N2,L:L,"&lt;7")</f>
        <v>6</v>
      </c>
      <c r="Y2">
        <f>SUMIFS(K:K,I:I,N2,L:L,"&lt;7")</f>
        <v>7</v>
      </c>
      <c r="Z2">
        <f>COUNTIFS(I:I,N2,L:L,"&lt;7")</f>
        <v>6</v>
      </c>
      <c r="AA2">
        <f>O2+S2</f>
        <v>41</v>
      </c>
      <c r="AB2">
        <f>P2+T2</f>
        <v>34</v>
      </c>
      <c r="AC2">
        <f>Q2+U2</f>
        <v>35</v>
      </c>
      <c r="AD2">
        <f>R2+V2</f>
        <v>34</v>
      </c>
      <c r="AE2" s="2" t="str">
        <f>N2</f>
        <v>Cracovia</v>
      </c>
      <c r="AF2">
        <f>IFERROR(O2/P2,0)</f>
        <v>1.3529411764705883</v>
      </c>
      <c r="AG2">
        <f>IFERROR(Q2/R2,0)</f>
        <v>0.58823529411764708</v>
      </c>
      <c r="AH2">
        <f>IFERROR(S2/T2,0)</f>
        <v>1.0588235294117647</v>
      </c>
      <c r="AI2">
        <f>IFERROR(U2/V2,0)</f>
        <v>1.4705882352941178</v>
      </c>
      <c r="AJ2">
        <f>IFERROR(W2/X2,0)</f>
        <v>1.1666666666666667</v>
      </c>
      <c r="AK2">
        <f>IFERROR(Y2/Z2,0)</f>
        <v>1.1666666666666667</v>
      </c>
      <c r="AL2">
        <f>IFERROR(AA2/AB2,0)</f>
        <v>1.2058823529411764</v>
      </c>
      <c r="AM2">
        <f>IFERROR(AC2/AD2,0)</f>
        <v>1.0294117647058822</v>
      </c>
      <c r="AN2">
        <f>IF(X2=6,1,0)</f>
        <v>1</v>
      </c>
      <c r="AO2" s="2" t="s">
        <v>166</v>
      </c>
      <c r="AP2">
        <f>SUM(O:O)/SUM(P:P)</f>
        <v>1.3725490196078431</v>
      </c>
      <c r="AQ2">
        <f>SUM(Q:Q)/SUM(R:R)</f>
        <v>1.1045751633986929</v>
      </c>
      <c r="AR2" s="2" t="str">
        <f>AE2</f>
        <v>Cracovia</v>
      </c>
      <c r="AS2">
        <f>SUM(AF2/AP$2*2/6+AJ2/AP$4*3/6+AL2/AP$5*1/6)*AN2</f>
        <v>0.92834055785902758</v>
      </c>
      <c r="AT2">
        <f>SUM(AG2/AQ$2*2/6+AK2/AQ$4*3/6+AM2/AQ$5*1/6)*AN2</f>
        <v>0.75353722034004156</v>
      </c>
      <c r="AU2">
        <f>SUM(AH2/AP$3*2/6+AJ2/AP$4*3/6+AL2/AP$5*1/6)*AN2</f>
        <v>0.91929575650653395</v>
      </c>
      <c r="AV2" s="15">
        <f>SUM(AI2/AQ$3*2/6+AK2/AQ$4*3/6+AM2/AQ$5*1/6)*AN2</f>
        <v>0.93316528458349046</v>
      </c>
    </row>
    <row r="3" spans="1:48" x14ac:dyDescent="0.25">
      <c r="A3" t="s">
        <v>23</v>
      </c>
      <c r="B3" s="12" t="str">
        <f t="shared" si="0"/>
        <v>27.05.2023</v>
      </c>
      <c r="C3" s="13">
        <v>0.72916666666666663</v>
      </c>
      <c r="D3" s="10" t="s">
        <v>7</v>
      </c>
      <c r="E3" s="10">
        <v>2</v>
      </c>
      <c r="F3" s="10">
        <v>0</v>
      </c>
      <c r="G3" s="11" t="s">
        <v>8</v>
      </c>
      <c r="I3" s="1" t="str">
        <f>IFERROR(INDEX(G$2:G$500,1),"")</f>
        <v>Wisła Płock</v>
      </c>
      <c r="J3" s="1">
        <f>IFERROR(INDEX(F$2:F$500,1),"")</f>
        <v>0</v>
      </c>
      <c r="K3" s="1">
        <f>IFERROR(INDEX(E$2:E$500,1),"")</f>
        <v>3</v>
      </c>
      <c r="L3">
        <f>IF(ISTEXT(I3),COUNTIF(I$2:I3,I3),0)</f>
        <v>1</v>
      </c>
      <c r="N3" t="str" cm="1">
        <f t="array" ref="N3">IFERROR(INDEX($I$2:$I$419, MATCH(SMALL(IF(COUNTIF(N$1:$N2, $I$2:$I$419)=0, COUNTIF($I$2:$I$419, "&lt;"&amp;$I$2:$I$419), ""), 1), COUNTIF($I$2:$I$419, "&lt;"&amp;$I$2:$I$419), 0)),"")</f>
        <v>Górnik Zabrze</v>
      </c>
      <c r="O3">
        <f t="shared" ref="O3:O19" si="1">SUMIF(D$2:D$500,N3,E$2:E$500)</f>
        <v>23</v>
      </c>
      <c r="P3">
        <f t="shared" ref="P3:P19" si="2">COUNTIF(D$2:D$500,N3)</f>
        <v>17</v>
      </c>
      <c r="Q3">
        <f t="shared" ref="Q3:Q19" si="3">SUMIF(D$2:D$500,N3,F$2:F$500)</f>
        <v>23</v>
      </c>
      <c r="R3">
        <f t="shared" ref="R3:R19" si="4">COUNTIF(D$2:D$500,N3)</f>
        <v>17</v>
      </c>
      <c r="S3">
        <f t="shared" ref="S3:S19" si="5">SUMIF(G$2:G$500,N3,F$2:F$500)</f>
        <v>22</v>
      </c>
      <c r="T3">
        <f t="shared" ref="T3:T19" si="6">COUNTIF(G$2:G$500,N3)</f>
        <v>17</v>
      </c>
      <c r="U3">
        <f t="shared" ref="U3:U19" si="7">SUMIF(G$2:G$500,N3,E$2:E$500)</f>
        <v>20</v>
      </c>
      <c r="V3">
        <f t="shared" ref="V3:V19" si="8">COUNTIF(G$2:G$500,N3)</f>
        <v>17</v>
      </c>
      <c r="W3">
        <f t="shared" ref="W3:W13" si="9">SUMIFS(J:J,I:I,N3,L:L,"&lt;7")</f>
        <v>10</v>
      </c>
      <c r="X3">
        <f t="shared" ref="X3:X19" si="10">COUNTIFS(I:I,N3,L:L,"&lt;7")</f>
        <v>6</v>
      </c>
      <c r="Y3">
        <f t="shared" ref="Y3:Y19" si="11">SUMIFS(K:K,I:I,N3,L:L,"&lt;7")</f>
        <v>3</v>
      </c>
      <c r="Z3">
        <f t="shared" ref="Z3:Z19" si="12">COUNTIFS(I:I,N3,L:L,"&lt;7")</f>
        <v>6</v>
      </c>
      <c r="AA3">
        <f t="shared" ref="AA3:AD19" si="13">O3+S3</f>
        <v>45</v>
      </c>
      <c r="AB3">
        <f t="shared" si="13"/>
        <v>34</v>
      </c>
      <c r="AC3">
        <f t="shared" si="13"/>
        <v>43</v>
      </c>
      <c r="AD3">
        <f t="shared" si="13"/>
        <v>34</v>
      </c>
      <c r="AE3" s="2" t="str">
        <f t="shared" ref="AE3:AE19" si="14">N3</f>
        <v>Górnik Zabrze</v>
      </c>
      <c r="AF3">
        <f t="shared" ref="AF3:AF19" si="15">IFERROR(O3/P3,0)</f>
        <v>1.3529411764705883</v>
      </c>
      <c r="AG3">
        <f t="shared" ref="AG3:AG19" si="16">IFERROR(Q3/R3,0)</f>
        <v>1.3529411764705883</v>
      </c>
      <c r="AH3">
        <f t="shared" ref="AH3:AH19" si="17">IFERROR(S3/T3,0)</f>
        <v>1.2941176470588236</v>
      </c>
      <c r="AI3">
        <f t="shared" ref="AI3:AI19" si="18">IFERROR(U3/V3,0)</f>
        <v>1.1764705882352942</v>
      </c>
      <c r="AJ3">
        <f t="shared" ref="AJ3:AJ19" si="19">IFERROR(W3/X3,0)</f>
        <v>1.6666666666666667</v>
      </c>
      <c r="AK3">
        <f t="shared" ref="AK3:AK19" si="20">IFERROR(Y3/Z3,0)</f>
        <v>0.5</v>
      </c>
      <c r="AL3">
        <f t="shared" ref="AL3:AL19" si="21">IFERROR(AA3/AB3,0)</f>
        <v>1.3235294117647058</v>
      </c>
      <c r="AM3">
        <f t="shared" ref="AM3:AM19" si="22">IFERROR(AC3/AD3,0)</f>
        <v>1.2647058823529411</v>
      </c>
      <c r="AN3">
        <f t="shared" ref="AN3:AN19" si="23">IF(X3=6,1,0)</f>
        <v>1</v>
      </c>
      <c r="AO3" s="2" t="s">
        <v>167</v>
      </c>
      <c r="AP3">
        <f>SUM(S:S)/SUM(T:T)</f>
        <v>1.1045751633986929</v>
      </c>
      <c r="AQ3">
        <f>SUM(U:U)/SUM(V:V)</f>
        <v>1.3725490196078431</v>
      </c>
      <c r="AR3" s="2" t="str">
        <f t="shared" ref="AR3:AR19" si="24">AE3</f>
        <v>Górnik Zabrze</v>
      </c>
      <c r="AS3">
        <f t="shared" ref="AS3:AS19" si="25">SUM(AF3/AP$2*2/6+AJ3/AP$4*3/6+AL3/AP$5*1/6)*AN3</f>
        <v>1.1316716924236714</v>
      </c>
      <c r="AT3">
        <f t="shared" ref="AT3:AT19" si="26">SUM(AG3/AQ$2*2/6+AK3/AQ$4*3/6+AM3/AQ$5*1/6)*AN3</f>
        <v>0.76596872023856</v>
      </c>
      <c r="AU3">
        <f t="shared" ref="AU3:AU19" si="27">SUM(AH3/AP$3*2/6+AJ3/AP$4*3/6+AL3/AP$5*1/6)*AN3</f>
        <v>1.1936328082309411</v>
      </c>
      <c r="AV3" s="15">
        <f t="shared" ref="AV3:AV19" si="28">SUM(AI3/AQ$3*2/6+AK3/AQ$4*3/6+AM3/AQ$5*1/6)*AN3</f>
        <v>0.64339898228420656</v>
      </c>
    </row>
    <row r="4" spans="1:48" x14ac:dyDescent="0.25">
      <c r="A4" t="s">
        <v>23</v>
      </c>
      <c r="B4" s="12" t="str">
        <f t="shared" si="0"/>
        <v>27.05.2023</v>
      </c>
      <c r="C4" s="13">
        <v>0.72916666666666663</v>
      </c>
      <c r="D4" s="10" t="s">
        <v>9</v>
      </c>
      <c r="E4" s="10">
        <v>3</v>
      </c>
      <c r="F4" s="10">
        <v>1</v>
      </c>
      <c r="G4" s="11" t="s">
        <v>10</v>
      </c>
      <c r="I4" s="1" t="str">
        <f>IFERROR(INDEX(D$2:D$500,2),"")</f>
        <v>Lech Poznań</v>
      </c>
      <c r="J4" s="1">
        <f>IFERROR(INDEX(E$2:E$500,2),"")</f>
        <v>2</v>
      </c>
      <c r="K4" s="1">
        <f>IFERROR(INDEX(F$2:F$500,2),"")</f>
        <v>0</v>
      </c>
      <c r="L4">
        <f>IF(ISTEXT(I4),COUNTIF(I$2:I4,I4),0)</f>
        <v>1</v>
      </c>
      <c r="N4" t="str" cm="1">
        <f t="array" ref="N4">IFERROR(INDEX($I$2:$I$419, MATCH(SMALL(IF(COUNTIF(N$1:$N3, $I$2:$I$419)=0, COUNTIF($I$2:$I$419, "&lt;"&amp;$I$2:$I$419), ""), 1), COUNTIF($I$2:$I$419, "&lt;"&amp;$I$2:$I$419), 0)),"")</f>
        <v>Jagiellonia Białystok</v>
      </c>
      <c r="O4">
        <f t="shared" si="1"/>
        <v>30</v>
      </c>
      <c r="P4">
        <f t="shared" si="2"/>
        <v>17</v>
      </c>
      <c r="Q4">
        <f t="shared" si="3"/>
        <v>22</v>
      </c>
      <c r="R4">
        <f t="shared" si="4"/>
        <v>17</v>
      </c>
      <c r="S4">
        <f t="shared" si="5"/>
        <v>18</v>
      </c>
      <c r="T4">
        <f t="shared" si="6"/>
        <v>17</v>
      </c>
      <c r="U4">
        <f t="shared" si="7"/>
        <v>27</v>
      </c>
      <c r="V4">
        <f t="shared" si="8"/>
        <v>17</v>
      </c>
      <c r="W4">
        <f t="shared" si="9"/>
        <v>10</v>
      </c>
      <c r="X4">
        <f t="shared" si="10"/>
        <v>6</v>
      </c>
      <c r="Y4">
        <f t="shared" si="11"/>
        <v>12</v>
      </c>
      <c r="Z4">
        <f t="shared" si="12"/>
        <v>6</v>
      </c>
      <c r="AA4">
        <f t="shared" si="13"/>
        <v>48</v>
      </c>
      <c r="AB4">
        <f t="shared" si="13"/>
        <v>34</v>
      </c>
      <c r="AC4">
        <f t="shared" si="13"/>
        <v>49</v>
      </c>
      <c r="AD4">
        <f t="shared" si="13"/>
        <v>34</v>
      </c>
      <c r="AE4" s="2" t="str">
        <f t="shared" si="14"/>
        <v>Jagiellonia Białystok</v>
      </c>
      <c r="AF4">
        <f t="shared" si="15"/>
        <v>1.7647058823529411</v>
      </c>
      <c r="AG4">
        <f t="shared" si="16"/>
        <v>1.2941176470588236</v>
      </c>
      <c r="AH4">
        <f t="shared" si="17"/>
        <v>1.0588235294117647</v>
      </c>
      <c r="AI4">
        <f t="shared" si="18"/>
        <v>1.588235294117647</v>
      </c>
      <c r="AJ4">
        <f t="shared" si="19"/>
        <v>1.6666666666666667</v>
      </c>
      <c r="AK4">
        <f t="shared" si="20"/>
        <v>2</v>
      </c>
      <c r="AL4">
        <f t="shared" si="21"/>
        <v>1.411764705882353</v>
      </c>
      <c r="AM4">
        <f t="shared" si="22"/>
        <v>1.4411764705882353</v>
      </c>
      <c r="AN4">
        <f t="shared" si="23"/>
        <v>1</v>
      </c>
      <c r="AO4" s="2" t="s">
        <v>168</v>
      </c>
      <c r="AP4">
        <f>AVERAGEIFS(J:J,L:L,"&lt;7")</f>
        <v>1.3333333333333333</v>
      </c>
      <c r="AQ4">
        <f>AVERAGEIFS(K:K,L:L,"&lt;7")</f>
        <v>1.3333333333333333</v>
      </c>
      <c r="AR4" s="2" t="str">
        <f t="shared" si="24"/>
        <v>Jagiellonia Białystok</v>
      </c>
      <c r="AS4">
        <f t="shared" si="25"/>
        <v>1.2435450433471542</v>
      </c>
      <c r="AT4">
        <f t="shared" si="26"/>
        <v>1.3344639427955847</v>
      </c>
      <c r="AU4">
        <f t="shared" si="27"/>
        <v>1.1345002419946606</v>
      </c>
      <c r="AV4" s="15">
        <f t="shared" si="28"/>
        <v>1.3296456841311721</v>
      </c>
    </row>
    <row r="5" spans="1:48" x14ac:dyDescent="0.25">
      <c r="A5" t="s">
        <v>23</v>
      </c>
      <c r="B5" s="12" t="str">
        <f t="shared" si="0"/>
        <v>27.05.2023</v>
      </c>
      <c r="C5" s="13">
        <v>0.72916666666666663</v>
      </c>
      <c r="D5" s="10" t="s">
        <v>11</v>
      </c>
      <c r="E5" s="10">
        <v>0</v>
      </c>
      <c r="F5" s="10">
        <v>0</v>
      </c>
      <c r="G5" s="11" t="s">
        <v>12</v>
      </c>
      <c r="I5" s="1" t="str">
        <f>IFERROR(INDEX(G$2:G$500,2),"")</f>
        <v>Jagiellonia Białystok</v>
      </c>
      <c r="J5" s="1">
        <f>IFERROR(INDEX(F$2:F$500,2),"")</f>
        <v>0</v>
      </c>
      <c r="K5" s="1">
        <f>IFERROR(INDEX(E$2:E$500,2),"")</f>
        <v>2</v>
      </c>
      <c r="L5">
        <f>IF(ISTEXT(I5),COUNTIF(I$2:I5,I5),0)</f>
        <v>1</v>
      </c>
      <c r="N5" t="str" cm="1">
        <f t="array" ref="N5">IFERROR(INDEX($I$2:$I$419, MATCH(SMALL(IF(COUNTIF(N$1:$N4, $I$2:$I$419)=0, COUNTIF($I$2:$I$419, "&lt;"&amp;$I$2:$I$419), ""), 1), COUNTIF($I$2:$I$419, "&lt;"&amp;$I$2:$I$419), 0)),"")</f>
        <v>Korona Kielce</v>
      </c>
      <c r="O5">
        <f t="shared" si="1"/>
        <v>19</v>
      </c>
      <c r="P5">
        <f t="shared" si="2"/>
        <v>17</v>
      </c>
      <c r="Q5">
        <f t="shared" si="3"/>
        <v>19</v>
      </c>
      <c r="R5">
        <f t="shared" si="4"/>
        <v>17</v>
      </c>
      <c r="S5">
        <f t="shared" si="5"/>
        <v>20</v>
      </c>
      <c r="T5">
        <f t="shared" si="6"/>
        <v>17</v>
      </c>
      <c r="U5">
        <f t="shared" si="7"/>
        <v>29</v>
      </c>
      <c r="V5">
        <f t="shared" si="8"/>
        <v>17</v>
      </c>
      <c r="W5">
        <f t="shared" si="9"/>
        <v>8</v>
      </c>
      <c r="X5">
        <f t="shared" si="10"/>
        <v>6</v>
      </c>
      <c r="Y5">
        <f t="shared" si="11"/>
        <v>9</v>
      </c>
      <c r="Z5">
        <f t="shared" si="12"/>
        <v>6</v>
      </c>
      <c r="AA5">
        <f t="shared" si="13"/>
        <v>39</v>
      </c>
      <c r="AB5">
        <f t="shared" si="13"/>
        <v>34</v>
      </c>
      <c r="AC5">
        <f t="shared" si="13"/>
        <v>48</v>
      </c>
      <c r="AD5">
        <f t="shared" si="13"/>
        <v>34</v>
      </c>
      <c r="AE5" s="2" t="str">
        <f t="shared" si="14"/>
        <v>Korona Kielce</v>
      </c>
      <c r="AF5">
        <f t="shared" si="15"/>
        <v>1.1176470588235294</v>
      </c>
      <c r="AG5">
        <f t="shared" si="16"/>
        <v>1.1176470588235294</v>
      </c>
      <c r="AH5">
        <f t="shared" si="17"/>
        <v>1.1764705882352942</v>
      </c>
      <c r="AI5">
        <f t="shared" si="18"/>
        <v>1.7058823529411764</v>
      </c>
      <c r="AJ5">
        <f t="shared" si="19"/>
        <v>1.3333333333333333</v>
      </c>
      <c r="AK5">
        <f t="shared" si="20"/>
        <v>1.5</v>
      </c>
      <c r="AL5">
        <f t="shared" si="21"/>
        <v>1.1470588235294117</v>
      </c>
      <c r="AM5">
        <f t="shared" si="22"/>
        <v>1.411764705882353</v>
      </c>
      <c r="AN5">
        <f t="shared" si="23"/>
        <v>1</v>
      </c>
      <c r="AO5" s="2" t="s">
        <v>169</v>
      </c>
      <c r="AP5">
        <f>SUM(AA:AA)/SUM(AB:AB)</f>
        <v>1.238562091503268</v>
      </c>
      <c r="AQ5">
        <f>SUM(AC:AC)/SUM(AD:AD)</f>
        <v>1.238562091503268</v>
      </c>
      <c r="AR5" s="2" t="str">
        <f t="shared" si="24"/>
        <v>Korona Kielce</v>
      </c>
      <c r="AS5">
        <f t="shared" si="25"/>
        <v>0.92578213343384841</v>
      </c>
      <c r="AT5">
        <f t="shared" si="26"/>
        <v>1.0897517212846013</v>
      </c>
      <c r="AU5">
        <f t="shared" si="27"/>
        <v>1.0093831478040936</v>
      </c>
      <c r="AV5" s="15">
        <f t="shared" si="28"/>
        <v>1.16675932906144</v>
      </c>
    </row>
    <row r="6" spans="1:48" x14ac:dyDescent="0.25">
      <c r="A6" t="s">
        <v>23</v>
      </c>
      <c r="B6" s="12" t="str">
        <f t="shared" si="0"/>
        <v>27.05.2023</v>
      </c>
      <c r="C6" s="13">
        <v>0.72916666666666663</v>
      </c>
      <c r="D6" s="10" t="s">
        <v>13</v>
      </c>
      <c r="E6" s="10">
        <v>3</v>
      </c>
      <c r="F6" s="10">
        <v>0</v>
      </c>
      <c r="G6" s="11" t="s">
        <v>14</v>
      </c>
      <c r="I6" s="1" t="str">
        <f>IFERROR(INDEX(D$2:D$500,3),"")</f>
        <v>Legia Warszawa</v>
      </c>
      <c r="J6" s="1">
        <f>IFERROR(INDEX(E$2:E$500,3),"")</f>
        <v>3</v>
      </c>
      <c r="K6" s="1">
        <f>IFERROR(INDEX(F$2:F$500,3),"")</f>
        <v>1</v>
      </c>
      <c r="L6">
        <f>IF(ISTEXT(I6),COUNTIF(I$2:I6,I6),0)</f>
        <v>1</v>
      </c>
      <c r="N6" t="str" cm="1">
        <f t="array" ref="N6">IFERROR(INDEX($I$2:$I$419, MATCH(SMALL(IF(COUNTIF(N$1:$N5, $I$2:$I$419)=0, COUNTIF($I$2:$I$419, "&lt;"&amp;$I$2:$I$419), ""), 1), COUNTIF($I$2:$I$419, "&lt;"&amp;$I$2:$I$419), 0)),"")</f>
        <v>Lech Poznań</v>
      </c>
      <c r="O6">
        <f t="shared" si="1"/>
        <v>25</v>
      </c>
      <c r="P6">
        <f t="shared" si="2"/>
        <v>17</v>
      </c>
      <c r="Q6">
        <f t="shared" si="3"/>
        <v>15</v>
      </c>
      <c r="R6">
        <f t="shared" si="4"/>
        <v>17</v>
      </c>
      <c r="S6">
        <f t="shared" si="5"/>
        <v>26</v>
      </c>
      <c r="T6">
        <f t="shared" si="6"/>
        <v>17</v>
      </c>
      <c r="U6">
        <f t="shared" si="7"/>
        <v>14</v>
      </c>
      <c r="V6">
        <f t="shared" si="8"/>
        <v>17</v>
      </c>
      <c r="W6">
        <f t="shared" si="9"/>
        <v>11</v>
      </c>
      <c r="X6">
        <f t="shared" si="10"/>
        <v>6</v>
      </c>
      <c r="Y6">
        <f t="shared" si="11"/>
        <v>2</v>
      </c>
      <c r="Z6">
        <f t="shared" si="12"/>
        <v>6</v>
      </c>
      <c r="AA6">
        <f t="shared" si="13"/>
        <v>51</v>
      </c>
      <c r="AB6">
        <f t="shared" si="13"/>
        <v>34</v>
      </c>
      <c r="AC6">
        <f t="shared" si="13"/>
        <v>29</v>
      </c>
      <c r="AD6">
        <f t="shared" si="13"/>
        <v>34</v>
      </c>
      <c r="AE6" s="2" t="str">
        <f t="shared" si="14"/>
        <v>Lech Poznań</v>
      </c>
      <c r="AF6">
        <f t="shared" si="15"/>
        <v>1.4705882352941178</v>
      </c>
      <c r="AG6">
        <f t="shared" si="16"/>
        <v>0.88235294117647056</v>
      </c>
      <c r="AH6">
        <f t="shared" si="17"/>
        <v>1.5294117647058822</v>
      </c>
      <c r="AI6">
        <f t="shared" si="18"/>
        <v>0.82352941176470584</v>
      </c>
      <c r="AJ6">
        <f t="shared" si="19"/>
        <v>1.8333333333333333</v>
      </c>
      <c r="AK6">
        <f t="shared" si="20"/>
        <v>0.33333333333333331</v>
      </c>
      <c r="AL6">
        <f t="shared" si="21"/>
        <v>1.5</v>
      </c>
      <c r="AM6">
        <f t="shared" si="22"/>
        <v>0.8529411764705882</v>
      </c>
      <c r="AN6">
        <f t="shared" si="23"/>
        <v>1</v>
      </c>
      <c r="AO6" s="2"/>
      <c r="AR6" s="2" t="str">
        <f t="shared" si="24"/>
        <v>Lech Poznań</v>
      </c>
      <c r="AS6">
        <f t="shared" si="25"/>
        <v>1.2464898228420656</v>
      </c>
      <c r="AT6">
        <f t="shared" si="26"/>
        <v>0.5060479149427799</v>
      </c>
      <c r="AU6">
        <f t="shared" si="27"/>
        <v>1.3508854272376698</v>
      </c>
      <c r="AV6" s="15">
        <f t="shared" si="28"/>
        <v>0.43977572559366751</v>
      </c>
    </row>
    <row r="7" spans="1:48" x14ac:dyDescent="0.25">
      <c r="A7" t="s">
        <v>23</v>
      </c>
      <c r="B7" s="12" t="str">
        <f t="shared" si="0"/>
        <v>27.05.2023</v>
      </c>
      <c r="C7" s="13">
        <v>0.72916666666666663</v>
      </c>
      <c r="D7" s="10" t="s">
        <v>15</v>
      </c>
      <c r="E7" s="10">
        <v>4</v>
      </c>
      <c r="F7" s="10">
        <v>0</v>
      </c>
      <c r="G7" s="11" t="s">
        <v>16</v>
      </c>
      <c r="I7" s="1" t="str">
        <f>IFERROR(INDEX(G$2:G$500,3),"")</f>
        <v>Śląsk Wrocław</v>
      </c>
      <c r="J7" s="1">
        <f>IFERROR(INDEX(F$2:F$500,3),"")</f>
        <v>1</v>
      </c>
      <c r="K7" s="1">
        <f>IFERROR(INDEX(E$2:E$500,3),"")</f>
        <v>3</v>
      </c>
      <c r="L7">
        <f>IF(ISTEXT(I7),COUNTIF(I$2:I7,I7),0)</f>
        <v>1</v>
      </c>
      <c r="N7" t="str" cm="1">
        <f t="array" ref="N7">IFERROR(INDEX($I$2:$I$419, MATCH(SMALL(IF(COUNTIF(N$1:$N6, $I$2:$I$419)=0, COUNTIF($I$2:$I$419, "&lt;"&amp;$I$2:$I$419), ""), 1), COUNTIF($I$2:$I$419, "&lt;"&amp;$I$2:$I$419), 0)),"")</f>
        <v>Lechia Gdańsk</v>
      </c>
      <c r="O7">
        <f t="shared" si="1"/>
        <v>15</v>
      </c>
      <c r="P7">
        <f t="shared" si="2"/>
        <v>17</v>
      </c>
      <c r="Q7">
        <f t="shared" si="3"/>
        <v>22</v>
      </c>
      <c r="R7">
        <f t="shared" si="4"/>
        <v>17</v>
      </c>
      <c r="S7">
        <f t="shared" si="5"/>
        <v>13</v>
      </c>
      <c r="T7">
        <f t="shared" si="6"/>
        <v>17</v>
      </c>
      <c r="U7">
        <f t="shared" si="7"/>
        <v>34</v>
      </c>
      <c r="V7">
        <f t="shared" si="8"/>
        <v>17</v>
      </c>
      <c r="W7">
        <f t="shared" si="9"/>
        <v>3</v>
      </c>
      <c r="X7">
        <f t="shared" si="10"/>
        <v>6</v>
      </c>
      <c r="Y7">
        <f t="shared" si="11"/>
        <v>12</v>
      </c>
      <c r="Z7">
        <f t="shared" si="12"/>
        <v>6</v>
      </c>
      <c r="AA7">
        <f t="shared" si="13"/>
        <v>28</v>
      </c>
      <c r="AB7">
        <f t="shared" si="13"/>
        <v>34</v>
      </c>
      <c r="AC7">
        <f t="shared" si="13"/>
        <v>56</v>
      </c>
      <c r="AD7">
        <f t="shared" si="13"/>
        <v>34</v>
      </c>
      <c r="AE7" s="2" t="str">
        <f t="shared" si="14"/>
        <v>Lechia Gdańsk</v>
      </c>
      <c r="AF7">
        <f t="shared" si="15"/>
        <v>0.88235294117647056</v>
      </c>
      <c r="AG7">
        <f t="shared" si="16"/>
        <v>1.2941176470588236</v>
      </c>
      <c r="AH7">
        <f t="shared" si="17"/>
        <v>0.76470588235294112</v>
      </c>
      <c r="AI7">
        <f t="shared" si="18"/>
        <v>2</v>
      </c>
      <c r="AJ7">
        <f t="shared" si="19"/>
        <v>0.5</v>
      </c>
      <c r="AK7">
        <f t="shared" si="20"/>
        <v>2</v>
      </c>
      <c r="AL7">
        <f t="shared" si="21"/>
        <v>0.82352941176470584</v>
      </c>
      <c r="AM7">
        <f t="shared" si="22"/>
        <v>1.6470588235294117</v>
      </c>
      <c r="AN7">
        <f t="shared" si="23"/>
        <v>1</v>
      </c>
      <c r="AO7" s="2"/>
      <c r="AR7" s="2" t="str">
        <f t="shared" si="24"/>
        <v>Lechia Gdańsk</v>
      </c>
      <c r="AS7">
        <f t="shared" si="25"/>
        <v>0.51260365623822091</v>
      </c>
      <c r="AT7">
        <f t="shared" si="26"/>
        <v>1.3621684282837114</v>
      </c>
      <c r="AU7">
        <f t="shared" si="27"/>
        <v>0.52908717272173733</v>
      </c>
      <c r="AV7" s="15">
        <f t="shared" si="28"/>
        <v>1.457350169619299</v>
      </c>
    </row>
    <row r="8" spans="1:48" x14ac:dyDescent="0.25">
      <c r="A8" t="s">
        <v>23</v>
      </c>
      <c r="B8" s="12" t="str">
        <f t="shared" si="0"/>
        <v>27.05.2023</v>
      </c>
      <c r="C8" s="13">
        <v>0.72916666666666663</v>
      </c>
      <c r="D8" s="10" t="s">
        <v>17</v>
      </c>
      <c r="E8" s="10">
        <v>1</v>
      </c>
      <c r="F8" s="10">
        <v>1</v>
      </c>
      <c r="G8" s="11" t="s">
        <v>18</v>
      </c>
      <c r="I8" s="1" t="str">
        <f>IFERROR(INDEX(D$2:D$500,4),"")</f>
        <v>Miedź Legnica</v>
      </c>
      <c r="J8" s="1">
        <f>IFERROR(INDEX(E$2:E$500,4),"")</f>
        <v>0</v>
      </c>
      <c r="K8" s="1">
        <f>IFERROR(INDEX(F$2:F$500,4),"")</f>
        <v>0</v>
      </c>
      <c r="L8">
        <f>IF(ISTEXT(I8),COUNTIF(I$2:I8,I8),0)</f>
        <v>1</v>
      </c>
      <c r="N8" t="str" cm="1">
        <f t="array" ref="N8">IFERROR(INDEX($I$2:$I$419, MATCH(SMALL(IF(COUNTIF(N$1:$N7, $I$2:$I$419)=0, COUNTIF($I$2:$I$419, "&lt;"&amp;$I$2:$I$419), ""), 1), COUNTIF($I$2:$I$419, "&lt;"&amp;$I$2:$I$419), 0)),"")</f>
        <v>Legia Warszawa</v>
      </c>
      <c r="O8">
        <f t="shared" si="1"/>
        <v>38</v>
      </c>
      <c r="P8">
        <f t="shared" si="2"/>
        <v>17</v>
      </c>
      <c r="Q8">
        <f t="shared" si="3"/>
        <v>17</v>
      </c>
      <c r="R8">
        <f t="shared" si="4"/>
        <v>17</v>
      </c>
      <c r="S8">
        <f t="shared" si="5"/>
        <v>19</v>
      </c>
      <c r="T8">
        <f t="shared" si="6"/>
        <v>17</v>
      </c>
      <c r="U8">
        <f t="shared" si="7"/>
        <v>20</v>
      </c>
      <c r="V8">
        <f t="shared" si="8"/>
        <v>17</v>
      </c>
      <c r="W8">
        <f t="shared" si="9"/>
        <v>11</v>
      </c>
      <c r="X8">
        <f t="shared" si="10"/>
        <v>6</v>
      </c>
      <c r="Y8">
        <f t="shared" si="11"/>
        <v>6</v>
      </c>
      <c r="Z8">
        <f t="shared" si="12"/>
        <v>6</v>
      </c>
      <c r="AA8">
        <f t="shared" si="13"/>
        <v>57</v>
      </c>
      <c r="AB8">
        <f t="shared" si="13"/>
        <v>34</v>
      </c>
      <c r="AC8">
        <f t="shared" si="13"/>
        <v>37</v>
      </c>
      <c r="AD8">
        <f t="shared" si="13"/>
        <v>34</v>
      </c>
      <c r="AE8" s="2" t="str">
        <f t="shared" si="14"/>
        <v>Legia Warszawa</v>
      </c>
      <c r="AF8">
        <f t="shared" si="15"/>
        <v>2.2352941176470589</v>
      </c>
      <c r="AG8">
        <f t="shared" si="16"/>
        <v>1</v>
      </c>
      <c r="AH8">
        <f t="shared" si="17"/>
        <v>1.1176470588235294</v>
      </c>
      <c r="AI8">
        <f t="shared" si="18"/>
        <v>1.1764705882352942</v>
      </c>
      <c r="AJ8">
        <f t="shared" si="19"/>
        <v>1.8333333333333333</v>
      </c>
      <c r="AK8">
        <f t="shared" si="20"/>
        <v>1</v>
      </c>
      <c r="AL8">
        <f t="shared" si="21"/>
        <v>1.6764705882352942</v>
      </c>
      <c r="AM8">
        <f t="shared" si="22"/>
        <v>1.088235294117647</v>
      </c>
      <c r="AN8">
        <f t="shared" si="23"/>
        <v>1</v>
      </c>
      <c r="AO8" s="2" t="s">
        <v>176</v>
      </c>
      <c r="AR8" s="2" t="str">
        <f t="shared" si="24"/>
        <v>Legia Warszawa</v>
      </c>
      <c r="AS8">
        <f t="shared" si="25"/>
        <v>1.4559508104033168</v>
      </c>
      <c r="AT8">
        <f t="shared" si="26"/>
        <v>0.82321314265194923</v>
      </c>
      <c r="AU8">
        <f t="shared" si="27"/>
        <v>1.2503717740550497</v>
      </c>
      <c r="AV8" s="15">
        <f t="shared" si="28"/>
        <v>0.80715228043724097</v>
      </c>
    </row>
    <row r="9" spans="1:48" x14ac:dyDescent="0.25">
      <c r="A9" t="s">
        <v>23</v>
      </c>
      <c r="B9" s="12" t="str">
        <f t="shared" si="0"/>
        <v>27.05.2023</v>
      </c>
      <c r="C9" s="13">
        <v>0.72916666666666663</v>
      </c>
      <c r="D9" s="10" t="s">
        <v>19</v>
      </c>
      <c r="E9" s="10">
        <v>1</v>
      </c>
      <c r="F9" s="10">
        <v>0</v>
      </c>
      <c r="G9" s="11" t="s">
        <v>20</v>
      </c>
      <c r="I9" s="1" t="str">
        <f>IFERROR(INDEX(G$2:G$500,4),"")</f>
        <v>Górnik Zabrze</v>
      </c>
      <c r="J9" s="1">
        <f>IFERROR(INDEX(F$2:F$500,4),"")</f>
        <v>0</v>
      </c>
      <c r="K9" s="1">
        <f>IFERROR(INDEX(E$2:E$500,4),"")</f>
        <v>0</v>
      </c>
      <c r="L9">
        <f>IF(ISTEXT(I9),COUNTIF(I$2:I9,I9),0)</f>
        <v>1</v>
      </c>
      <c r="N9" t="str" cm="1">
        <f t="array" ref="N9">IFERROR(INDEX($I$2:$I$419, MATCH(SMALL(IF(COUNTIF(N$1:$N8, $I$2:$I$419)=0, COUNTIF($I$2:$I$419, "&lt;"&amp;$I$2:$I$419), ""), 1), COUNTIF($I$2:$I$419, "&lt;"&amp;$I$2:$I$419), 0)),"")</f>
        <v>Miedź Legnica</v>
      </c>
      <c r="O9">
        <f t="shared" si="1"/>
        <v>16</v>
      </c>
      <c r="P9">
        <f t="shared" si="2"/>
        <v>17</v>
      </c>
      <c r="Q9">
        <f t="shared" si="3"/>
        <v>23</v>
      </c>
      <c r="R9">
        <f t="shared" si="4"/>
        <v>17</v>
      </c>
      <c r="S9">
        <f t="shared" si="5"/>
        <v>17</v>
      </c>
      <c r="T9">
        <f t="shared" si="6"/>
        <v>17</v>
      </c>
      <c r="U9">
        <f t="shared" si="7"/>
        <v>32</v>
      </c>
      <c r="V9">
        <f t="shared" si="8"/>
        <v>17</v>
      </c>
      <c r="W9">
        <f t="shared" si="9"/>
        <v>5</v>
      </c>
      <c r="X9">
        <f t="shared" si="10"/>
        <v>6</v>
      </c>
      <c r="Y9">
        <f t="shared" si="11"/>
        <v>11</v>
      </c>
      <c r="Z9">
        <f t="shared" si="12"/>
        <v>6</v>
      </c>
      <c r="AA9">
        <f t="shared" si="13"/>
        <v>33</v>
      </c>
      <c r="AB9">
        <f t="shared" si="13"/>
        <v>34</v>
      </c>
      <c r="AC9">
        <f t="shared" si="13"/>
        <v>55</v>
      </c>
      <c r="AD9">
        <f t="shared" si="13"/>
        <v>34</v>
      </c>
      <c r="AE9" s="2" t="str">
        <f t="shared" si="14"/>
        <v>Miedź Legnica</v>
      </c>
      <c r="AF9">
        <f t="shared" si="15"/>
        <v>0.94117647058823528</v>
      </c>
      <c r="AG9">
        <f t="shared" si="16"/>
        <v>1.3529411764705883</v>
      </c>
      <c r="AH9">
        <f t="shared" si="17"/>
        <v>1</v>
      </c>
      <c r="AI9">
        <f t="shared" si="18"/>
        <v>1.8823529411764706</v>
      </c>
      <c r="AJ9">
        <f t="shared" si="19"/>
        <v>0.83333333333333337</v>
      </c>
      <c r="AK9">
        <f t="shared" si="20"/>
        <v>1.8333333333333333</v>
      </c>
      <c r="AL9">
        <f t="shared" si="21"/>
        <v>0.97058823529411764</v>
      </c>
      <c r="AM9">
        <f t="shared" si="22"/>
        <v>1.6176470588235294</v>
      </c>
      <c r="AN9">
        <f t="shared" si="23"/>
        <v>1</v>
      </c>
      <c r="AO9" s="2" t="s">
        <v>166</v>
      </c>
      <c r="AP9">
        <f>AP4*3/6+AP2*2/6+AP5*1/6</f>
        <v>1.3306100217864925</v>
      </c>
      <c r="AQ9">
        <f>AQ4*3/6+AQ2*2/6+AQ5*1/6</f>
        <v>1.241285403050109</v>
      </c>
      <c r="AR9" s="2" t="str">
        <f t="shared" si="24"/>
        <v>Miedź Legnica</v>
      </c>
      <c r="AS9">
        <f t="shared" si="25"/>
        <v>0.67167828872974</v>
      </c>
      <c r="AT9">
        <f t="shared" si="26"/>
        <v>1.3134621239324913</v>
      </c>
      <c r="AU9">
        <f t="shared" si="27"/>
        <v>0.74488200808730543</v>
      </c>
      <c r="AV9" s="15">
        <f t="shared" si="28"/>
        <v>1.3623209574067092</v>
      </c>
    </row>
    <row r="10" spans="1:48" x14ac:dyDescent="0.25">
      <c r="A10" t="s">
        <v>23</v>
      </c>
      <c r="B10" s="12" t="str">
        <f t="shared" si="0"/>
        <v>27.05.2023</v>
      </c>
      <c r="C10" s="13">
        <v>0.72916666666666663</v>
      </c>
      <c r="D10" s="10" t="s">
        <v>21</v>
      </c>
      <c r="E10" s="10">
        <v>0</v>
      </c>
      <c r="F10" s="10">
        <v>3</v>
      </c>
      <c r="G10" s="11" t="s">
        <v>22</v>
      </c>
      <c r="I10" s="1" t="str">
        <f>IFERROR(INDEX(D$2:D$500,5),"")</f>
        <v>Piast Gliwice</v>
      </c>
      <c r="J10" s="1">
        <f>IFERROR(INDEX(E$2:E$500,5),"")</f>
        <v>3</v>
      </c>
      <c r="K10" s="1">
        <f>IFERROR(INDEX(F$2:F$500,5),"")</f>
        <v>0</v>
      </c>
      <c r="L10">
        <f>IF(ISTEXT(I10),COUNTIF(I$2:I10,I10),0)</f>
        <v>1</v>
      </c>
      <c r="N10" t="str" cm="1">
        <f t="array" ref="N10">IFERROR(INDEX($I$2:$I$419, MATCH(SMALL(IF(COUNTIF(N$1:$N9, $I$2:$I$419)=0, COUNTIF($I$2:$I$419, "&lt;"&amp;$I$2:$I$419), ""), 1), COUNTIF($I$2:$I$419, "&lt;"&amp;$I$2:$I$419), 0)),"")</f>
        <v>Piast Gliwice</v>
      </c>
      <c r="O10">
        <f t="shared" si="1"/>
        <v>20</v>
      </c>
      <c r="P10">
        <f t="shared" si="2"/>
        <v>17</v>
      </c>
      <c r="Q10">
        <f t="shared" si="3"/>
        <v>15</v>
      </c>
      <c r="R10">
        <f t="shared" si="4"/>
        <v>17</v>
      </c>
      <c r="S10">
        <f t="shared" si="5"/>
        <v>20</v>
      </c>
      <c r="T10">
        <f t="shared" si="6"/>
        <v>17</v>
      </c>
      <c r="U10">
        <f t="shared" si="7"/>
        <v>16</v>
      </c>
      <c r="V10">
        <f t="shared" si="8"/>
        <v>17</v>
      </c>
      <c r="W10">
        <f t="shared" si="9"/>
        <v>10</v>
      </c>
      <c r="X10">
        <f t="shared" si="10"/>
        <v>6</v>
      </c>
      <c r="Y10">
        <f t="shared" si="11"/>
        <v>4</v>
      </c>
      <c r="Z10">
        <f t="shared" si="12"/>
        <v>6</v>
      </c>
      <c r="AA10">
        <f t="shared" si="13"/>
        <v>40</v>
      </c>
      <c r="AB10">
        <f t="shared" si="13"/>
        <v>34</v>
      </c>
      <c r="AC10">
        <f t="shared" si="13"/>
        <v>31</v>
      </c>
      <c r="AD10">
        <f t="shared" si="13"/>
        <v>34</v>
      </c>
      <c r="AE10" s="2" t="str">
        <f t="shared" si="14"/>
        <v>Piast Gliwice</v>
      </c>
      <c r="AF10">
        <f t="shared" si="15"/>
        <v>1.1764705882352942</v>
      </c>
      <c r="AG10">
        <f t="shared" si="16"/>
        <v>0.88235294117647056</v>
      </c>
      <c r="AH10">
        <f t="shared" si="17"/>
        <v>1.1764705882352942</v>
      </c>
      <c r="AI10">
        <f t="shared" si="18"/>
        <v>0.94117647058823528</v>
      </c>
      <c r="AJ10">
        <f t="shared" si="19"/>
        <v>1.6666666666666667</v>
      </c>
      <c r="AK10">
        <f t="shared" si="20"/>
        <v>0.66666666666666663</v>
      </c>
      <c r="AL10">
        <f t="shared" si="21"/>
        <v>1.1764705882352942</v>
      </c>
      <c r="AM10">
        <f t="shared" si="22"/>
        <v>0.91176470588235292</v>
      </c>
      <c r="AN10">
        <f t="shared" si="23"/>
        <v>1</v>
      </c>
      <c r="AO10" s="2" t="s">
        <v>167</v>
      </c>
      <c r="AP10">
        <f>AP4*3/6+AP3*2/6+AP5*1/6</f>
        <v>1.241285403050109</v>
      </c>
      <c r="AQ10">
        <f>AQ4*3/6+AQ3*2/6+AQ5*1/6</f>
        <v>1.3306100217864925</v>
      </c>
      <c r="AR10" s="2" t="str">
        <f t="shared" si="24"/>
        <v>Piast Gliwice</v>
      </c>
      <c r="AS10">
        <f t="shared" si="25"/>
        <v>1.0690256313607238</v>
      </c>
      <c r="AT10">
        <f t="shared" si="26"/>
        <v>0.63896348222510191</v>
      </c>
      <c r="AU10">
        <f t="shared" si="27"/>
        <v>1.1383409314452546</v>
      </c>
      <c r="AV10" s="15">
        <f t="shared" si="28"/>
        <v>0.60126272144741799</v>
      </c>
    </row>
    <row r="11" spans="1:48" x14ac:dyDescent="0.25">
      <c r="A11" t="s">
        <v>24</v>
      </c>
      <c r="B11" s="12" t="str">
        <f t="shared" si="0"/>
        <v>22.05.2023</v>
      </c>
      <c r="C11" s="13">
        <v>0.79166666666666663</v>
      </c>
      <c r="D11" s="10" t="s">
        <v>20</v>
      </c>
      <c r="E11" s="10">
        <v>1</v>
      </c>
      <c r="F11" s="10">
        <v>1</v>
      </c>
      <c r="G11" s="11" t="s">
        <v>13</v>
      </c>
      <c r="I11" s="1" t="str">
        <f>IFERROR(INDEX(G$2:G$500,5),"")</f>
        <v>Lechia Gdańsk</v>
      </c>
      <c r="J11" s="1">
        <f>IFERROR(INDEX(F$2:F$500,5),"")</f>
        <v>0</v>
      </c>
      <c r="K11" s="1">
        <f>IFERROR(INDEX(E$2:E$500,5),"")</f>
        <v>3</v>
      </c>
      <c r="L11">
        <f>IF(ISTEXT(I11),COUNTIF(I$2:I11,I11),0)</f>
        <v>1</v>
      </c>
      <c r="N11" t="str" cm="1">
        <f t="array" ref="N11">IFERROR(INDEX($I$2:$I$419, MATCH(SMALL(IF(COUNTIF(N$1:$N10, $I$2:$I$419)=0, COUNTIF($I$2:$I$419, "&lt;"&amp;$I$2:$I$419), ""), 1), COUNTIF($I$2:$I$419, "&lt;"&amp;$I$2:$I$419), 0)),"")</f>
        <v>Pogoń Szczecin</v>
      </c>
      <c r="O11">
        <f t="shared" si="1"/>
        <v>33</v>
      </c>
      <c r="P11">
        <f t="shared" si="2"/>
        <v>17</v>
      </c>
      <c r="Q11">
        <f t="shared" si="3"/>
        <v>23</v>
      </c>
      <c r="R11">
        <f t="shared" si="4"/>
        <v>17</v>
      </c>
      <c r="S11">
        <f t="shared" si="5"/>
        <v>24</v>
      </c>
      <c r="T11">
        <f t="shared" si="6"/>
        <v>17</v>
      </c>
      <c r="U11">
        <f t="shared" si="7"/>
        <v>23</v>
      </c>
      <c r="V11">
        <f t="shared" si="8"/>
        <v>17</v>
      </c>
      <c r="W11">
        <f t="shared" si="9"/>
        <v>14</v>
      </c>
      <c r="X11">
        <f t="shared" si="10"/>
        <v>6</v>
      </c>
      <c r="Y11">
        <f t="shared" si="11"/>
        <v>7</v>
      </c>
      <c r="Z11">
        <f t="shared" si="12"/>
        <v>6</v>
      </c>
      <c r="AA11">
        <f t="shared" si="13"/>
        <v>57</v>
      </c>
      <c r="AB11">
        <f t="shared" si="13"/>
        <v>34</v>
      </c>
      <c r="AC11">
        <f t="shared" si="13"/>
        <v>46</v>
      </c>
      <c r="AD11">
        <f t="shared" si="13"/>
        <v>34</v>
      </c>
      <c r="AE11" s="2" t="str">
        <f t="shared" si="14"/>
        <v>Pogoń Szczecin</v>
      </c>
      <c r="AF11">
        <f t="shared" si="15"/>
        <v>1.9411764705882353</v>
      </c>
      <c r="AG11">
        <f t="shared" si="16"/>
        <v>1.3529411764705883</v>
      </c>
      <c r="AH11">
        <f t="shared" si="17"/>
        <v>1.411764705882353</v>
      </c>
      <c r="AI11">
        <f t="shared" si="18"/>
        <v>1.3529411764705883</v>
      </c>
      <c r="AJ11">
        <f t="shared" si="19"/>
        <v>2.3333333333333335</v>
      </c>
      <c r="AK11">
        <f t="shared" si="20"/>
        <v>1.1666666666666667</v>
      </c>
      <c r="AL11">
        <f t="shared" si="21"/>
        <v>1.6764705882352942</v>
      </c>
      <c r="AM11">
        <f t="shared" si="22"/>
        <v>1.3529411764705883</v>
      </c>
      <c r="AN11">
        <f t="shared" si="23"/>
        <v>1</v>
      </c>
      <c r="AO11" s="2"/>
      <c r="AR11" s="2" t="str">
        <f t="shared" si="24"/>
        <v>Pogoń Szczecin</v>
      </c>
      <c r="AS11">
        <f t="shared" si="25"/>
        <v>1.5720222389747456</v>
      </c>
      <c r="AT11">
        <f t="shared" si="26"/>
        <v>1.0278420711620428</v>
      </c>
      <c r="AU11">
        <f t="shared" si="27"/>
        <v>1.5266291705047541</v>
      </c>
      <c r="AV11" s="15">
        <f t="shared" si="28"/>
        <v>0.94812947606483233</v>
      </c>
    </row>
    <row r="12" spans="1:48" x14ac:dyDescent="0.25">
      <c r="A12" t="s">
        <v>25</v>
      </c>
      <c r="B12" s="12" t="str">
        <f t="shared" si="0"/>
        <v>21.05.2023</v>
      </c>
      <c r="C12" s="13">
        <v>0.72916666666666663</v>
      </c>
      <c r="D12" s="10" t="s">
        <v>6</v>
      </c>
      <c r="E12" s="10">
        <v>1</v>
      </c>
      <c r="F12" s="10">
        <v>2</v>
      </c>
      <c r="G12" s="11" t="s">
        <v>17</v>
      </c>
      <c r="I12" s="1" t="str">
        <f>IFERROR(INDEX(D$2:D$500,6),"")</f>
        <v>Pogoń Szczecin</v>
      </c>
      <c r="J12" s="1">
        <f>IFERROR(INDEX(E$2:E$500,6),"")</f>
        <v>4</v>
      </c>
      <c r="K12" s="1">
        <f>IFERROR(INDEX(F$2:F$500,6),"")</f>
        <v>0</v>
      </c>
      <c r="L12">
        <f>IF(ISTEXT(I12),COUNTIF(I$2:I12,I12),0)</f>
        <v>1</v>
      </c>
      <c r="N12" t="str" cm="1">
        <f t="array" ref="N12">IFERROR(INDEX($I$2:$I$419, MATCH(SMALL(IF(COUNTIF(N$1:$N11, $I$2:$I$419)=0, COUNTIF($I$2:$I$419, "&lt;"&amp;$I$2:$I$419), ""), 1), COUNTIF($I$2:$I$419, "&lt;"&amp;$I$2:$I$419), 0)),"")</f>
        <v>Radomiak Radom</v>
      </c>
      <c r="O12">
        <f t="shared" si="1"/>
        <v>17</v>
      </c>
      <c r="P12">
        <f t="shared" si="2"/>
        <v>17</v>
      </c>
      <c r="Q12">
        <f t="shared" si="3"/>
        <v>20</v>
      </c>
      <c r="R12">
        <f t="shared" si="4"/>
        <v>17</v>
      </c>
      <c r="S12">
        <f t="shared" si="5"/>
        <v>17</v>
      </c>
      <c r="T12">
        <f t="shared" si="6"/>
        <v>17</v>
      </c>
      <c r="U12">
        <f t="shared" si="7"/>
        <v>21</v>
      </c>
      <c r="V12">
        <f t="shared" si="8"/>
        <v>17</v>
      </c>
      <c r="W12">
        <f t="shared" si="9"/>
        <v>7</v>
      </c>
      <c r="X12">
        <f t="shared" si="10"/>
        <v>6</v>
      </c>
      <c r="Y12">
        <f t="shared" si="11"/>
        <v>8</v>
      </c>
      <c r="Z12">
        <f t="shared" si="12"/>
        <v>6</v>
      </c>
      <c r="AA12">
        <f t="shared" si="13"/>
        <v>34</v>
      </c>
      <c r="AB12">
        <f t="shared" si="13"/>
        <v>34</v>
      </c>
      <c r="AC12">
        <f t="shared" si="13"/>
        <v>41</v>
      </c>
      <c r="AD12">
        <f t="shared" si="13"/>
        <v>34</v>
      </c>
      <c r="AE12" s="2" t="str">
        <f t="shared" si="14"/>
        <v>Radomiak Radom</v>
      </c>
      <c r="AF12">
        <f t="shared" si="15"/>
        <v>1</v>
      </c>
      <c r="AG12">
        <f t="shared" si="16"/>
        <v>1.1764705882352942</v>
      </c>
      <c r="AH12">
        <f t="shared" si="17"/>
        <v>1</v>
      </c>
      <c r="AI12">
        <f t="shared" si="18"/>
        <v>1.2352941176470589</v>
      </c>
      <c r="AJ12">
        <f t="shared" si="19"/>
        <v>1.1666666666666667</v>
      </c>
      <c r="AK12">
        <f t="shared" si="20"/>
        <v>1.3333333333333333</v>
      </c>
      <c r="AL12">
        <f t="shared" si="21"/>
        <v>1</v>
      </c>
      <c r="AM12">
        <f t="shared" si="22"/>
        <v>1.2058823529411764</v>
      </c>
      <c r="AN12">
        <f t="shared" si="23"/>
        <v>1</v>
      </c>
      <c r="AO12" s="2"/>
      <c r="AR12" s="2" t="str">
        <f t="shared" si="24"/>
        <v>Radomiak Radom</v>
      </c>
      <c r="AS12">
        <f t="shared" si="25"/>
        <v>0.81492178665661519</v>
      </c>
      <c r="AT12">
        <f t="shared" si="26"/>
        <v>1.0172987150864155</v>
      </c>
      <c r="AU12">
        <f t="shared" si="27"/>
        <v>0.87383979172846638</v>
      </c>
      <c r="AV12" s="15">
        <f t="shared" si="28"/>
        <v>0.962269129287599</v>
      </c>
    </row>
    <row r="13" spans="1:48" x14ac:dyDescent="0.25">
      <c r="A13" t="s">
        <v>25</v>
      </c>
      <c r="B13" s="12" t="str">
        <f t="shared" si="0"/>
        <v>21.05.2023</v>
      </c>
      <c r="C13" s="13">
        <v>0.625</v>
      </c>
      <c r="D13" s="10" t="s">
        <v>16</v>
      </c>
      <c r="E13" s="10">
        <v>3</v>
      </c>
      <c r="F13" s="10">
        <v>1</v>
      </c>
      <c r="G13" s="11" t="s">
        <v>21</v>
      </c>
      <c r="I13" s="1" t="str">
        <f>IFERROR(INDEX(G$2:G$500,6),"")</f>
        <v>Radomiak Radom</v>
      </c>
      <c r="J13" s="1">
        <f>IFERROR(INDEX(F$2:F$500,6),"")</f>
        <v>0</v>
      </c>
      <c r="K13" s="1">
        <f>IFERROR(INDEX(E$2:E$500,6),"")</f>
        <v>4</v>
      </c>
      <c r="L13">
        <f>IF(ISTEXT(I13),COUNTIF(I$2:I13,I13),0)</f>
        <v>1</v>
      </c>
      <c r="N13" t="str" cm="1">
        <f t="array" ref="N13">IFERROR(INDEX($I$2:$I$419, MATCH(SMALL(IF(COUNTIF(N$1:$N12, $I$2:$I$419)=0, COUNTIF($I$2:$I$419, "&lt;"&amp;$I$2:$I$419), ""), 1), COUNTIF($I$2:$I$419, "&lt;"&amp;$I$2:$I$419), 0)),"")</f>
        <v>Raków Częstochowa</v>
      </c>
      <c r="O13">
        <f t="shared" si="1"/>
        <v>41</v>
      </c>
      <c r="P13">
        <f t="shared" si="2"/>
        <v>17</v>
      </c>
      <c r="Q13">
        <f t="shared" si="3"/>
        <v>10</v>
      </c>
      <c r="R13">
        <f t="shared" si="4"/>
        <v>17</v>
      </c>
      <c r="S13">
        <f t="shared" si="5"/>
        <v>22</v>
      </c>
      <c r="T13">
        <f t="shared" si="6"/>
        <v>17</v>
      </c>
      <c r="U13">
        <f t="shared" si="7"/>
        <v>14</v>
      </c>
      <c r="V13">
        <f t="shared" si="8"/>
        <v>17</v>
      </c>
      <c r="W13">
        <f t="shared" si="9"/>
        <v>9</v>
      </c>
      <c r="X13">
        <f t="shared" si="10"/>
        <v>6</v>
      </c>
      <c r="Y13">
        <f t="shared" si="11"/>
        <v>5</v>
      </c>
      <c r="Z13">
        <f t="shared" si="12"/>
        <v>6</v>
      </c>
      <c r="AA13">
        <f t="shared" si="13"/>
        <v>63</v>
      </c>
      <c r="AB13">
        <f t="shared" si="13"/>
        <v>34</v>
      </c>
      <c r="AC13">
        <f t="shared" si="13"/>
        <v>24</v>
      </c>
      <c r="AD13">
        <f t="shared" si="13"/>
        <v>34</v>
      </c>
      <c r="AE13" s="2" t="str">
        <f t="shared" si="14"/>
        <v>Raków Częstochowa</v>
      </c>
      <c r="AF13">
        <f t="shared" si="15"/>
        <v>2.4117647058823528</v>
      </c>
      <c r="AG13">
        <f t="shared" si="16"/>
        <v>0.58823529411764708</v>
      </c>
      <c r="AH13">
        <f t="shared" si="17"/>
        <v>1.2941176470588236</v>
      </c>
      <c r="AI13">
        <f t="shared" si="18"/>
        <v>0.82352941176470584</v>
      </c>
      <c r="AJ13">
        <f t="shared" si="19"/>
        <v>1.5</v>
      </c>
      <c r="AK13">
        <f t="shared" si="20"/>
        <v>0.83333333333333337</v>
      </c>
      <c r="AL13">
        <f t="shared" si="21"/>
        <v>1.8529411764705883</v>
      </c>
      <c r="AM13">
        <f t="shared" si="22"/>
        <v>0.70588235294117652</v>
      </c>
      <c r="AN13">
        <f t="shared" si="23"/>
        <v>1</v>
      </c>
      <c r="AO13" s="2"/>
      <c r="AR13" s="2" t="str">
        <f t="shared" si="24"/>
        <v>Raków Częstochowa</v>
      </c>
      <c r="AS13">
        <f t="shared" si="25"/>
        <v>1.3975546551074256</v>
      </c>
      <c r="AT13">
        <f t="shared" si="26"/>
        <v>0.58500160028727111</v>
      </c>
      <c r="AU13">
        <f t="shared" si="27"/>
        <v>1.2023729137718382</v>
      </c>
      <c r="AV13" s="15">
        <f t="shared" si="28"/>
        <v>0.60748680738786287</v>
      </c>
    </row>
    <row r="14" spans="1:48" x14ac:dyDescent="0.25">
      <c r="A14" t="s">
        <v>25</v>
      </c>
      <c r="B14" s="12" t="str">
        <f t="shared" si="0"/>
        <v>21.05.2023</v>
      </c>
      <c r="C14" s="13">
        <v>0.52083333333333337</v>
      </c>
      <c r="D14" s="10" t="s">
        <v>10</v>
      </c>
      <c r="E14" s="10">
        <v>4</v>
      </c>
      <c r="F14" s="10">
        <v>2</v>
      </c>
      <c r="G14" s="11" t="s">
        <v>11</v>
      </c>
      <c r="I14" s="1" t="str">
        <f>IFERROR(INDEX(D$2:D$500,7),"")</f>
        <v>Raków Częstochowa</v>
      </c>
      <c r="J14" s="1">
        <f>IFERROR(INDEX(E$2:E$500,7),"")</f>
        <v>1</v>
      </c>
      <c r="K14" s="1">
        <f>IFERROR(INDEX(F$2:F$500,7),"")</f>
        <v>1</v>
      </c>
      <c r="L14">
        <f>IF(ISTEXT(I14),COUNTIF(I$2:I14,I14),0)</f>
        <v>1</v>
      </c>
      <c r="N14" t="str" cm="1">
        <f t="array" ref="N14">IFERROR(INDEX($I$2:$I$419, MATCH(SMALL(IF(COUNTIF(N$1:$N13, $I$2:$I$419)=0, COUNTIF($I$2:$I$419, "&lt;"&amp;$I$2:$I$419), ""), 1), COUNTIF($I$2:$I$419, "&lt;"&amp;$I$2:$I$419), 0)),"")</f>
        <v>Stal Mielec</v>
      </c>
      <c r="O14">
        <f t="shared" si="1"/>
        <v>18</v>
      </c>
      <c r="P14">
        <f t="shared" si="2"/>
        <v>17</v>
      </c>
      <c r="Q14">
        <f t="shared" si="3"/>
        <v>14</v>
      </c>
      <c r="R14">
        <f t="shared" si="4"/>
        <v>17</v>
      </c>
      <c r="S14">
        <f t="shared" si="5"/>
        <v>18</v>
      </c>
      <c r="T14">
        <f t="shared" si="6"/>
        <v>17</v>
      </c>
      <c r="U14">
        <f t="shared" si="7"/>
        <v>26</v>
      </c>
      <c r="V14">
        <f t="shared" si="8"/>
        <v>17</v>
      </c>
      <c r="W14">
        <f>SUMIFS(J:J,I:I,N14,L:L,"&lt;7")</f>
        <v>5</v>
      </c>
      <c r="X14">
        <f t="shared" si="10"/>
        <v>6</v>
      </c>
      <c r="Y14">
        <f t="shared" si="11"/>
        <v>7</v>
      </c>
      <c r="Z14">
        <f t="shared" si="12"/>
        <v>6</v>
      </c>
      <c r="AA14">
        <f t="shared" si="13"/>
        <v>36</v>
      </c>
      <c r="AB14">
        <f t="shared" si="13"/>
        <v>34</v>
      </c>
      <c r="AC14">
        <f t="shared" si="13"/>
        <v>40</v>
      </c>
      <c r="AD14">
        <f t="shared" si="13"/>
        <v>34</v>
      </c>
      <c r="AE14" s="2" t="str">
        <f t="shared" si="14"/>
        <v>Stal Mielec</v>
      </c>
      <c r="AF14">
        <f t="shared" si="15"/>
        <v>1.0588235294117647</v>
      </c>
      <c r="AG14">
        <f t="shared" si="16"/>
        <v>0.82352941176470584</v>
      </c>
      <c r="AH14">
        <f t="shared" si="17"/>
        <v>1.0588235294117647</v>
      </c>
      <c r="AI14">
        <f t="shared" si="18"/>
        <v>1.5294117647058822</v>
      </c>
      <c r="AJ14">
        <f t="shared" si="19"/>
        <v>0.83333333333333337</v>
      </c>
      <c r="AK14">
        <f t="shared" si="20"/>
        <v>1.1666666666666667</v>
      </c>
      <c r="AL14">
        <f t="shared" si="21"/>
        <v>1.0588235294117647</v>
      </c>
      <c r="AM14">
        <f t="shared" si="22"/>
        <v>1.1764705882352942</v>
      </c>
      <c r="AN14">
        <f t="shared" si="23"/>
        <v>1</v>
      </c>
      <c r="AO14" s="2"/>
      <c r="AR14" s="2" t="str">
        <f t="shared" si="24"/>
        <v>Stal Mielec</v>
      </c>
      <c r="AS14">
        <f t="shared" si="25"/>
        <v>0.71212306822465143</v>
      </c>
      <c r="AT14">
        <f t="shared" si="26"/>
        <v>0.84433205570560965</v>
      </c>
      <c r="AU14">
        <f t="shared" si="27"/>
        <v>0.77450683830072919</v>
      </c>
      <c r="AV14" s="15">
        <f t="shared" si="28"/>
        <v>0.96723991707500945</v>
      </c>
    </row>
    <row r="15" spans="1:48" x14ac:dyDescent="0.25">
      <c r="A15" t="s">
        <v>26</v>
      </c>
      <c r="B15" s="12" t="str">
        <f t="shared" si="0"/>
        <v>20.05.2023</v>
      </c>
      <c r="C15" s="13">
        <v>0.83333333333333337</v>
      </c>
      <c r="D15" s="10" t="s">
        <v>14</v>
      </c>
      <c r="E15" s="10">
        <v>1</v>
      </c>
      <c r="F15" s="10">
        <v>0</v>
      </c>
      <c r="G15" s="11" t="s">
        <v>9</v>
      </c>
      <c r="I15" s="1" t="str">
        <f>IFERROR(INDEX(G$2:G$500,7),"")</f>
        <v>Zagłębie Lubin</v>
      </c>
      <c r="J15" s="1">
        <f>IFERROR(INDEX(F$2:F$500,7),"")</f>
        <v>1</v>
      </c>
      <c r="K15" s="1">
        <f>IFERROR(INDEX(E$2:E$500,7),"")</f>
        <v>1</v>
      </c>
      <c r="L15">
        <f>IF(ISTEXT(I15),COUNTIF(I$2:I15,I15),0)</f>
        <v>1</v>
      </c>
      <c r="N15" t="str" cm="1">
        <f t="array" ref="N15">IFERROR(INDEX($I$2:$I$419, MATCH(SMALL(IF(COUNTIF(N$1:$N14, $I$2:$I$419)=0, COUNTIF($I$2:$I$419, "&lt;"&amp;$I$2:$I$419), ""), 1), COUNTIF($I$2:$I$419, "&lt;"&amp;$I$2:$I$419), 0)),"")</f>
        <v>Śląsk Wrocław</v>
      </c>
      <c r="O15">
        <f t="shared" si="1"/>
        <v>23</v>
      </c>
      <c r="P15">
        <f t="shared" si="2"/>
        <v>17</v>
      </c>
      <c r="Q15">
        <f t="shared" si="3"/>
        <v>23</v>
      </c>
      <c r="R15">
        <f t="shared" si="4"/>
        <v>17</v>
      </c>
      <c r="S15">
        <f t="shared" si="5"/>
        <v>12</v>
      </c>
      <c r="T15">
        <f t="shared" si="6"/>
        <v>17</v>
      </c>
      <c r="U15">
        <f t="shared" si="7"/>
        <v>25</v>
      </c>
      <c r="V15">
        <f t="shared" si="8"/>
        <v>17</v>
      </c>
      <c r="W15">
        <f t="shared" ref="W15:W19" si="29">SUMIFS(J:J,I:I,N15,L:L,"&lt;7")</f>
        <v>9</v>
      </c>
      <c r="X15">
        <f t="shared" si="10"/>
        <v>6</v>
      </c>
      <c r="Y15">
        <f t="shared" si="11"/>
        <v>10</v>
      </c>
      <c r="Z15">
        <f t="shared" si="12"/>
        <v>6</v>
      </c>
      <c r="AA15">
        <f t="shared" si="13"/>
        <v>35</v>
      </c>
      <c r="AB15">
        <f t="shared" si="13"/>
        <v>34</v>
      </c>
      <c r="AC15">
        <f t="shared" si="13"/>
        <v>48</v>
      </c>
      <c r="AD15">
        <f t="shared" si="13"/>
        <v>34</v>
      </c>
      <c r="AE15" s="2" t="str">
        <f t="shared" si="14"/>
        <v>Śląsk Wrocław</v>
      </c>
      <c r="AF15">
        <f t="shared" si="15"/>
        <v>1.3529411764705883</v>
      </c>
      <c r="AG15">
        <f t="shared" si="16"/>
        <v>1.3529411764705883</v>
      </c>
      <c r="AH15">
        <f t="shared" si="17"/>
        <v>0.70588235294117652</v>
      </c>
      <c r="AI15">
        <f t="shared" si="18"/>
        <v>1.4705882352941178</v>
      </c>
      <c r="AJ15">
        <f t="shared" si="19"/>
        <v>1.5</v>
      </c>
      <c r="AK15">
        <f t="shared" si="20"/>
        <v>1.6666666666666667</v>
      </c>
      <c r="AL15">
        <f t="shared" si="21"/>
        <v>1.0294117647058822</v>
      </c>
      <c r="AM15">
        <f t="shared" si="22"/>
        <v>1.411764705882353</v>
      </c>
      <c r="AN15">
        <f t="shared" si="23"/>
        <v>1</v>
      </c>
      <c r="AO15" s="2"/>
      <c r="AR15" s="2" t="str">
        <f t="shared" si="24"/>
        <v>Śląsk Wrocław</v>
      </c>
      <c r="AS15">
        <f t="shared" si="25"/>
        <v>1.0295938560120617</v>
      </c>
      <c r="AT15">
        <f t="shared" si="26"/>
        <v>1.2232576384443647</v>
      </c>
      <c r="AU15">
        <f t="shared" si="27"/>
        <v>0.91404017891992317</v>
      </c>
      <c r="AV15" s="15">
        <f t="shared" si="28"/>
        <v>1.1721164719185828</v>
      </c>
    </row>
    <row r="16" spans="1:48" x14ac:dyDescent="0.25">
      <c r="A16" t="s">
        <v>26</v>
      </c>
      <c r="B16" s="12" t="str">
        <f t="shared" si="0"/>
        <v>20.05.2023</v>
      </c>
      <c r="C16" s="13">
        <v>0.72916666666666663</v>
      </c>
      <c r="D16" s="10" t="s">
        <v>12</v>
      </c>
      <c r="E16" s="10">
        <v>2</v>
      </c>
      <c r="F16" s="10">
        <v>1</v>
      </c>
      <c r="G16" s="11" t="s">
        <v>15</v>
      </c>
      <c r="I16" s="1" t="str">
        <f>IFERROR(INDEX(D$2:D$500,8),"")</f>
        <v>Stal Mielec</v>
      </c>
      <c r="J16" s="1">
        <f>IFERROR(INDEX(E$2:E$500,8),"")</f>
        <v>1</v>
      </c>
      <c r="K16" s="1">
        <f>IFERROR(INDEX(F$2:F$500,8),"")</f>
        <v>0</v>
      </c>
      <c r="L16">
        <f>IF(ISTEXT(I16),COUNTIF(I$2:I16,I16),0)</f>
        <v>1</v>
      </c>
      <c r="N16" t="str" cm="1">
        <f t="array" ref="N16">IFERROR(INDEX($I$2:$I$419, MATCH(SMALL(IF(COUNTIF(N$1:$N15, $I$2:$I$419)=0, COUNTIF($I$2:$I$419, "&lt;"&amp;$I$2:$I$419), ""), 1), COUNTIF($I$2:$I$419, "&lt;"&amp;$I$2:$I$419), 0)),"")</f>
        <v>Warta Poznań</v>
      </c>
      <c r="O16">
        <f t="shared" si="1"/>
        <v>21</v>
      </c>
      <c r="P16">
        <f t="shared" si="2"/>
        <v>17</v>
      </c>
      <c r="Q16">
        <f t="shared" si="3"/>
        <v>18</v>
      </c>
      <c r="R16">
        <f t="shared" si="4"/>
        <v>17</v>
      </c>
      <c r="S16">
        <f t="shared" si="5"/>
        <v>16</v>
      </c>
      <c r="T16">
        <f t="shared" si="6"/>
        <v>17</v>
      </c>
      <c r="U16">
        <f t="shared" si="7"/>
        <v>17</v>
      </c>
      <c r="V16">
        <f t="shared" si="8"/>
        <v>17</v>
      </c>
      <c r="W16">
        <f t="shared" si="29"/>
        <v>4</v>
      </c>
      <c r="X16">
        <f t="shared" si="10"/>
        <v>6</v>
      </c>
      <c r="Y16">
        <f t="shared" si="11"/>
        <v>9</v>
      </c>
      <c r="Z16">
        <f t="shared" si="12"/>
        <v>6</v>
      </c>
      <c r="AA16">
        <f t="shared" si="13"/>
        <v>37</v>
      </c>
      <c r="AB16">
        <f t="shared" si="13"/>
        <v>34</v>
      </c>
      <c r="AC16">
        <f t="shared" si="13"/>
        <v>35</v>
      </c>
      <c r="AD16">
        <f>R16+V16</f>
        <v>34</v>
      </c>
      <c r="AE16" s="2" t="str">
        <f t="shared" si="14"/>
        <v>Warta Poznań</v>
      </c>
      <c r="AF16">
        <f t="shared" si="15"/>
        <v>1.2352941176470589</v>
      </c>
      <c r="AG16">
        <f t="shared" si="16"/>
        <v>1.0588235294117647</v>
      </c>
      <c r="AH16">
        <f t="shared" si="17"/>
        <v>0.94117647058823528</v>
      </c>
      <c r="AI16">
        <f t="shared" si="18"/>
        <v>1</v>
      </c>
      <c r="AJ16">
        <f t="shared" si="19"/>
        <v>0.66666666666666663</v>
      </c>
      <c r="AK16">
        <f t="shared" si="20"/>
        <v>1.5</v>
      </c>
      <c r="AL16">
        <f t="shared" si="21"/>
        <v>1.088235294117647</v>
      </c>
      <c r="AM16">
        <f t="shared" si="22"/>
        <v>1.0294117647058822</v>
      </c>
      <c r="AN16">
        <f t="shared" si="23"/>
        <v>1</v>
      </c>
      <c r="AO16" s="2"/>
      <c r="AR16" s="2" t="str">
        <f t="shared" si="24"/>
        <v>Warta Poznań</v>
      </c>
      <c r="AS16">
        <f t="shared" si="25"/>
        <v>0.6964379947229552</v>
      </c>
      <c r="AT16">
        <f t="shared" si="26"/>
        <v>1.0205490546595681</v>
      </c>
      <c r="AU16">
        <f t="shared" si="27"/>
        <v>0.68046166336200831</v>
      </c>
      <c r="AV16" s="15">
        <f t="shared" si="28"/>
        <v>0.94387957029777614</v>
      </c>
    </row>
    <row r="17" spans="1:48" x14ac:dyDescent="0.25">
      <c r="A17" t="s">
        <v>26</v>
      </c>
      <c r="B17" s="12" t="str">
        <f t="shared" si="0"/>
        <v>20.05.2023</v>
      </c>
      <c r="C17" s="13">
        <v>0.625</v>
      </c>
      <c r="D17" s="10" t="s">
        <v>8</v>
      </c>
      <c r="E17" s="10">
        <v>1</v>
      </c>
      <c r="F17" s="10">
        <v>1</v>
      </c>
      <c r="G17" s="11" t="s">
        <v>5</v>
      </c>
      <c r="I17" s="1" t="str">
        <f>IFERROR(INDEX(G$2:G$500,8),"")</f>
        <v>Warta Poznań</v>
      </c>
      <c r="J17" s="1">
        <f>IFERROR(INDEX(F$2:F$500,8),"")</f>
        <v>0</v>
      </c>
      <c r="K17" s="1">
        <f>IFERROR(INDEX(E$2:E$500,8),"")</f>
        <v>1</v>
      </c>
      <c r="L17">
        <f>IF(ISTEXT(I17),COUNTIF(I$2:I17,I17),0)</f>
        <v>1</v>
      </c>
      <c r="N17" t="str" cm="1">
        <f t="array" ref="N17">IFERROR(INDEX($I$2:$I$419, MATCH(SMALL(IF(COUNTIF(N$1:$N16, $I$2:$I$419)=0, COUNTIF($I$2:$I$419, "&lt;"&amp;$I$2:$I$419), ""), 1), COUNTIF($I$2:$I$419, "&lt;"&amp;$I$2:$I$419), 0)),"")</f>
        <v>Widzew Łódź</v>
      </c>
      <c r="O17">
        <f t="shared" si="1"/>
        <v>22</v>
      </c>
      <c r="P17">
        <f t="shared" si="2"/>
        <v>17</v>
      </c>
      <c r="Q17">
        <f t="shared" si="3"/>
        <v>28</v>
      </c>
      <c r="R17">
        <f t="shared" si="4"/>
        <v>17</v>
      </c>
      <c r="S17">
        <f t="shared" si="5"/>
        <v>16</v>
      </c>
      <c r="T17">
        <f t="shared" si="6"/>
        <v>17</v>
      </c>
      <c r="U17">
        <f t="shared" si="7"/>
        <v>19</v>
      </c>
      <c r="V17">
        <f t="shared" si="8"/>
        <v>17</v>
      </c>
      <c r="W17">
        <f t="shared" si="29"/>
        <v>6</v>
      </c>
      <c r="X17">
        <f t="shared" si="10"/>
        <v>6</v>
      </c>
      <c r="Y17">
        <f t="shared" si="11"/>
        <v>14</v>
      </c>
      <c r="Z17">
        <f t="shared" si="12"/>
        <v>6</v>
      </c>
      <c r="AA17">
        <f t="shared" si="13"/>
        <v>38</v>
      </c>
      <c r="AB17">
        <f t="shared" si="13"/>
        <v>34</v>
      </c>
      <c r="AC17">
        <f t="shared" si="13"/>
        <v>47</v>
      </c>
      <c r="AD17">
        <f t="shared" si="13"/>
        <v>34</v>
      </c>
      <c r="AE17" s="2" t="str">
        <f t="shared" si="14"/>
        <v>Widzew Łódź</v>
      </c>
      <c r="AF17">
        <f t="shared" si="15"/>
        <v>1.2941176470588236</v>
      </c>
      <c r="AG17">
        <f t="shared" si="16"/>
        <v>1.6470588235294117</v>
      </c>
      <c r="AH17">
        <f t="shared" si="17"/>
        <v>0.94117647058823528</v>
      </c>
      <c r="AI17">
        <f t="shared" si="18"/>
        <v>1.1176470588235294</v>
      </c>
      <c r="AJ17">
        <f t="shared" si="19"/>
        <v>1</v>
      </c>
      <c r="AK17">
        <f t="shared" si="20"/>
        <v>2.3333333333333335</v>
      </c>
      <c r="AL17">
        <f t="shared" si="21"/>
        <v>1.1176470588235294</v>
      </c>
      <c r="AM17">
        <f t="shared" si="22"/>
        <v>1.3823529411764706</v>
      </c>
      <c r="AN17">
        <f t="shared" si="23"/>
        <v>1</v>
      </c>
      <c r="AO17" s="2"/>
      <c r="AR17" s="2" t="str">
        <f t="shared" si="24"/>
        <v>Widzew Łódź</v>
      </c>
      <c r="AS17">
        <f t="shared" si="25"/>
        <v>0.83968149264983039</v>
      </c>
      <c r="AT17">
        <f t="shared" si="26"/>
        <v>1.5580572512529078</v>
      </c>
      <c r="AU17">
        <f t="shared" si="27"/>
        <v>0.80941944700316926</v>
      </c>
      <c r="AV17" s="15">
        <f t="shared" si="28"/>
        <v>1.3324444025631361</v>
      </c>
    </row>
    <row r="18" spans="1:48" x14ac:dyDescent="0.25">
      <c r="A18" t="s">
        <v>27</v>
      </c>
      <c r="B18" s="12" t="str">
        <f t="shared" si="0"/>
        <v>19.05.2023</v>
      </c>
      <c r="C18" s="13">
        <v>0.85416666666666663</v>
      </c>
      <c r="D18" s="10" t="s">
        <v>22</v>
      </c>
      <c r="E18" s="10">
        <v>0</v>
      </c>
      <c r="F18" s="10">
        <v>3</v>
      </c>
      <c r="G18" s="11" t="s">
        <v>7</v>
      </c>
      <c r="I18" s="1" t="str">
        <f>IFERROR(INDEX(D$2:D$500,9),"")</f>
        <v>Widzew Łódź</v>
      </c>
      <c r="J18" s="1">
        <f>IFERROR(INDEX(E$2:E$500,9),"")</f>
        <v>0</v>
      </c>
      <c r="K18" s="1">
        <f>IFERROR(INDEX(F$2:F$500,9),"")</f>
        <v>3</v>
      </c>
      <c r="L18">
        <f>IF(ISTEXT(I18),COUNTIF(I$2:I18,I18),0)</f>
        <v>1</v>
      </c>
      <c r="N18" t="str" cm="1">
        <f t="array" ref="N18">IFERROR(INDEX($I$2:$I$419, MATCH(SMALL(IF(COUNTIF(N$1:$N17, $I$2:$I$419)=0, COUNTIF($I$2:$I$419, "&lt;"&amp;$I$2:$I$419), ""), 1), COUNTIF($I$2:$I$419, "&lt;"&amp;$I$2:$I$419), 0)),"")</f>
        <v>Wisła Płock</v>
      </c>
      <c r="O18">
        <f t="shared" si="1"/>
        <v>23</v>
      </c>
      <c r="P18">
        <f t="shared" si="2"/>
        <v>17</v>
      </c>
      <c r="Q18">
        <f t="shared" si="3"/>
        <v>16</v>
      </c>
      <c r="R18">
        <f t="shared" si="4"/>
        <v>17</v>
      </c>
      <c r="S18">
        <f t="shared" si="5"/>
        <v>18</v>
      </c>
      <c r="T18">
        <f t="shared" si="6"/>
        <v>17</v>
      </c>
      <c r="U18">
        <f t="shared" si="7"/>
        <v>34</v>
      </c>
      <c r="V18">
        <f t="shared" si="8"/>
        <v>17</v>
      </c>
      <c r="W18">
        <f t="shared" si="29"/>
        <v>4</v>
      </c>
      <c r="X18">
        <f t="shared" si="10"/>
        <v>6</v>
      </c>
      <c r="Y18">
        <f t="shared" si="11"/>
        <v>14</v>
      </c>
      <c r="Z18">
        <f t="shared" si="12"/>
        <v>6</v>
      </c>
      <c r="AA18">
        <f t="shared" si="13"/>
        <v>41</v>
      </c>
      <c r="AB18">
        <f t="shared" si="13"/>
        <v>34</v>
      </c>
      <c r="AC18">
        <f t="shared" si="13"/>
        <v>50</v>
      </c>
      <c r="AD18">
        <f t="shared" si="13"/>
        <v>34</v>
      </c>
      <c r="AE18" s="2" t="str">
        <f t="shared" si="14"/>
        <v>Wisła Płock</v>
      </c>
      <c r="AF18">
        <f t="shared" si="15"/>
        <v>1.3529411764705883</v>
      </c>
      <c r="AG18">
        <f t="shared" si="16"/>
        <v>0.94117647058823528</v>
      </c>
      <c r="AH18">
        <f t="shared" si="17"/>
        <v>1.0588235294117647</v>
      </c>
      <c r="AI18">
        <f t="shared" si="18"/>
        <v>2</v>
      </c>
      <c r="AJ18">
        <f t="shared" si="19"/>
        <v>0.66666666666666663</v>
      </c>
      <c r="AK18">
        <f t="shared" si="20"/>
        <v>2.3333333333333335</v>
      </c>
      <c r="AL18">
        <f t="shared" si="21"/>
        <v>1.2058823529411764</v>
      </c>
      <c r="AM18">
        <f t="shared" si="22"/>
        <v>1.4705882352941178</v>
      </c>
      <c r="AN18">
        <f t="shared" si="23"/>
        <v>1</v>
      </c>
      <c r="AO18" s="2"/>
      <c r="AR18" s="2" t="str">
        <f t="shared" si="24"/>
        <v>Wisła Płock</v>
      </c>
      <c r="AS18">
        <f t="shared" si="25"/>
        <v>0.74084055785902747</v>
      </c>
      <c r="AT18">
        <f t="shared" si="26"/>
        <v>1.3569128506971009</v>
      </c>
      <c r="AU18">
        <f t="shared" si="27"/>
        <v>0.73179575650653383</v>
      </c>
      <c r="AV18" s="15">
        <f t="shared" si="28"/>
        <v>1.5586034677723333</v>
      </c>
    </row>
    <row r="19" spans="1:48" x14ac:dyDescent="0.25">
      <c r="A19" t="s">
        <v>27</v>
      </c>
      <c r="B19" s="12" t="str">
        <f t="shared" si="0"/>
        <v>19.05.2023</v>
      </c>
      <c r="C19" s="13">
        <v>0.75</v>
      </c>
      <c r="D19" s="10" t="s">
        <v>18</v>
      </c>
      <c r="E19" s="10">
        <v>2</v>
      </c>
      <c r="F19" s="10">
        <v>0</v>
      </c>
      <c r="G19" s="11" t="s">
        <v>19</v>
      </c>
      <c r="I19" s="1" t="str">
        <f>IFERROR(INDEX(G$2:G$500,9),"")</f>
        <v>Korona Kielce</v>
      </c>
      <c r="J19" s="1">
        <f>IFERROR(INDEX(F$2:F$500,9),"")</f>
        <v>3</v>
      </c>
      <c r="K19" s="1">
        <f>IFERROR(INDEX(E$2:E$500,9),"")</f>
        <v>0</v>
      </c>
      <c r="L19">
        <f>IF(ISTEXT(I19),COUNTIF(I$2:I19,I19),0)</f>
        <v>1</v>
      </c>
      <c r="N19" t="str" cm="1">
        <f t="array" ref="N19">IFERROR(INDEX($I$2:$I$419, MATCH(SMALL(IF(COUNTIF(N$1:$N18, $I$2:$I$419)=0, COUNTIF($I$2:$I$419, "&lt;"&amp;$I$2:$I$419), ""), 1), COUNTIF($I$2:$I$419, "&lt;"&amp;$I$2:$I$419), 0)),"")</f>
        <v>Zagłębie Lubin</v>
      </c>
      <c r="O19">
        <f t="shared" si="1"/>
        <v>13</v>
      </c>
      <c r="P19">
        <f t="shared" si="2"/>
        <v>17</v>
      </c>
      <c r="Q19">
        <f t="shared" si="3"/>
        <v>20</v>
      </c>
      <c r="R19">
        <f t="shared" si="4"/>
        <v>17</v>
      </c>
      <c r="S19">
        <f t="shared" si="5"/>
        <v>22</v>
      </c>
      <c r="T19">
        <f t="shared" si="6"/>
        <v>17</v>
      </c>
      <c r="U19">
        <f t="shared" si="7"/>
        <v>24</v>
      </c>
      <c r="V19">
        <f t="shared" si="8"/>
        <v>17</v>
      </c>
      <c r="W19">
        <f t="shared" si="29"/>
        <v>11</v>
      </c>
      <c r="X19">
        <f t="shared" si="10"/>
        <v>6</v>
      </c>
      <c r="Y19">
        <f t="shared" si="11"/>
        <v>4</v>
      </c>
      <c r="Z19">
        <f t="shared" si="12"/>
        <v>6</v>
      </c>
      <c r="AA19">
        <f t="shared" si="13"/>
        <v>35</v>
      </c>
      <c r="AB19">
        <f t="shared" si="13"/>
        <v>34</v>
      </c>
      <c r="AC19">
        <f t="shared" si="13"/>
        <v>44</v>
      </c>
      <c r="AD19">
        <f t="shared" si="13"/>
        <v>34</v>
      </c>
      <c r="AE19" s="2" t="str">
        <f t="shared" si="14"/>
        <v>Zagłębie Lubin</v>
      </c>
      <c r="AF19">
        <f t="shared" si="15"/>
        <v>0.76470588235294112</v>
      </c>
      <c r="AG19">
        <f t="shared" si="16"/>
        <v>1.1764705882352942</v>
      </c>
      <c r="AH19">
        <f t="shared" si="17"/>
        <v>1.2941176470588236</v>
      </c>
      <c r="AI19">
        <f t="shared" si="18"/>
        <v>1.411764705882353</v>
      </c>
      <c r="AJ19">
        <f t="shared" si="19"/>
        <v>1.8333333333333333</v>
      </c>
      <c r="AK19">
        <f t="shared" si="20"/>
        <v>0.66666666666666663</v>
      </c>
      <c r="AL19">
        <f t="shared" si="21"/>
        <v>1.0294117647058822</v>
      </c>
      <c r="AM19">
        <f t="shared" si="22"/>
        <v>1.2941176470588236</v>
      </c>
      <c r="AN19">
        <f t="shared" si="23"/>
        <v>1</v>
      </c>
      <c r="AO19" s="2"/>
      <c r="AR19" s="2" t="str">
        <f t="shared" si="24"/>
        <v>Zagłębie Lubin</v>
      </c>
      <c r="AS19">
        <f t="shared" si="25"/>
        <v>1.0117367131549189</v>
      </c>
      <c r="AT19">
        <f t="shared" si="26"/>
        <v>0.77917206600989841</v>
      </c>
      <c r="AU19">
        <f t="shared" si="27"/>
        <v>1.2165549718193314</v>
      </c>
      <c r="AV19" s="15">
        <f t="shared" si="28"/>
        <v>0.76699962306822478</v>
      </c>
    </row>
    <row r="20" spans="1:48" x14ac:dyDescent="0.25">
      <c r="A20" t="s">
        <v>28</v>
      </c>
      <c r="B20" s="12" t="str">
        <f t="shared" si="0"/>
        <v>15.05.2023</v>
      </c>
      <c r="C20" s="13">
        <v>0.79166666666666663</v>
      </c>
      <c r="D20" s="10" t="s">
        <v>20</v>
      </c>
      <c r="E20" s="10">
        <v>1</v>
      </c>
      <c r="F20" s="10">
        <v>2</v>
      </c>
      <c r="G20" s="11" t="s">
        <v>16</v>
      </c>
      <c r="I20" s="1" t="str">
        <f>IFERROR(INDEX(D$2:D$500,10),"")</f>
        <v>Warta Poznań</v>
      </c>
      <c r="J20" s="1">
        <f>IFERROR(INDEX(E$2:E$500,10),"")</f>
        <v>1</v>
      </c>
      <c r="K20" s="1">
        <f>IFERROR(INDEX(F$2:F$500,10),"")</f>
        <v>1</v>
      </c>
      <c r="L20">
        <f>IF(ISTEXT(I20),COUNTIF(I$2:I20,I20),0)</f>
        <v>2</v>
      </c>
    </row>
    <row r="21" spans="1:48" x14ac:dyDescent="0.25">
      <c r="A21" t="s">
        <v>29</v>
      </c>
      <c r="B21" s="12" t="str">
        <f t="shared" si="0"/>
        <v>14.05.2023</v>
      </c>
      <c r="C21" s="13">
        <v>0.72916666666666663</v>
      </c>
      <c r="D21" s="10" t="s">
        <v>17</v>
      </c>
      <c r="E21" s="10">
        <v>0</v>
      </c>
      <c r="F21" s="10">
        <v>2</v>
      </c>
      <c r="G21" s="11" t="s">
        <v>7</v>
      </c>
      <c r="I21" s="1" t="str">
        <f>IFERROR(INDEX(G$2:G$500,10),"")</f>
        <v>Piast Gliwice</v>
      </c>
      <c r="J21" s="1">
        <f>IFERROR(INDEX(F$2:F$500,10),"")</f>
        <v>1</v>
      </c>
      <c r="K21" s="1">
        <f>IFERROR(INDEX(E$2:E$500,10),"")</f>
        <v>1</v>
      </c>
      <c r="L21">
        <f>IF(ISTEXT(I21),COUNTIF(I$2:I21,I21),0)</f>
        <v>2</v>
      </c>
    </row>
    <row r="22" spans="1:48" x14ac:dyDescent="0.25">
      <c r="A22" t="s">
        <v>29</v>
      </c>
      <c r="B22" s="12" t="str">
        <f t="shared" si="0"/>
        <v>14.05.2023</v>
      </c>
      <c r="C22" s="13">
        <v>0.625</v>
      </c>
      <c r="D22" s="10" t="s">
        <v>15</v>
      </c>
      <c r="E22" s="10">
        <v>3</v>
      </c>
      <c r="F22" s="10">
        <v>2</v>
      </c>
      <c r="G22" s="11" t="s">
        <v>11</v>
      </c>
      <c r="I22" s="1" t="str">
        <f>IFERROR(INDEX(D$2:D$500,11),"")</f>
        <v>Wisła Płock</v>
      </c>
      <c r="J22" s="1">
        <f>IFERROR(INDEX(E$2:E$500,11),"")</f>
        <v>1</v>
      </c>
      <c r="K22" s="1">
        <f>IFERROR(INDEX(F$2:F$500,11),"")</f>
        <v>2</v>
      </c>
      <c r="L22">
        <f>IF(ISTEXT(I22),COUNTIF(I$2:I22,I22),0)</f>
        <v>2</v>
      </c>
    </row>
    <row r="23" spans="1:48" x14ac:dyDescent="0.25">
      <c r="A23" t="s">
        <v>29</v>
      </c>
      <c r="B23" s="12" t="str">
        <f t="shared" si="0"/>
        <v>14.05.2023</v>
      </c>
      <c r="C23" s="13">
        <v>0.52083333333333337</v>
      </c>
      <c r="D23" s="10" t="s">
        <v>19</v>
      </c>
      <c r="E23" s="10">
        <v>0</v>
      </c>
      <c r="F23" s="10">
        <v>0</v>
      </c>
      <c r="G23" s="11" t="s">
        <v>14</v>
      </c>
      <c r="I23" s="1" t="str">
        <f>IFERROR(INDEX(G$2:G$500,11),"")</f>
        <v>Raków Częstochowa</v>
      </c>
      <c r="J23" s="1">
        <f>IFERROR(INDEX(F$2:F$500,11),"")</f>
        <v>2</v>
      </c>
      <c r="K23" s="1">
        <f>IFERROR(INDEX(E$2:E$500,11),"")</f>
        <v>1</v>
      </c>
      <c r="L23">
        <f>IF(ISTEXT(I23),COUNTIF(I$2:I23,I23),0)</f>
        <v>2</v>
      </c>
    </row>
    <row r="24" spans="1:48" x14ac:dyDescent="0.25">
      <c r="A24" t="s">
        <v>30</v>
      </c>
      <c r="B24" s="12" t="str">
        <f t="shared" si="0"/>
        <v>13.05.2023</v>
      </c>
      <c r="C24" s="13">
        <v>0.83333333333333337</v>
      </c>
      <c r="D24" s="10" t="s">
        <v>21</v>
      </c>
      <c r="E24" s="10">
        <v>2</v>
      </c>
      <c r="F24" s="10">
        <v>3</v>
      </c>
      <c r="G24" s="11" t="s">
        <v>12</v>
      </c>
      <c r="I24" s="1" t="str">
        <f>IFERROR(INDEX(D$2:D$500,12),"")</f>
        <v>Radomiak Radom</v>
      </c>
      <c r="J24" s="1">
        <f>IFERROR(INDEX(E$2:E$500,12),"")</f>
        <v>3</v>
      </c>
      <c r="K24" s="1">
        <f>IFERROR(INDEX(F$2:F$500,12),"")</f>
        <v>1</v>
      </c>
      <c r="L24">
        <f>IF(ISTEXT(I24),COUNTIF(I$2:I24,I24),0)</f>
        <v>2</v>
      </c>
    </row>
    <row r="25" spans="1:48" x14ac:dyDescent="0.25">
      <c r="A25" t="s">
        <v>30</v>
      </c>
      <c r="B25" s="12" t="str">
        <f t="shared" si="0"/>
        <v>13.05.2023</v>
      </c>
      <c r="C25" s="13">
        <v>0.72916666666666663</v>
      </c>
      <c r="D25" s="10" t="s">
        <v>5</v>
      </c>
      <c r="E25" s="10">
        <v>0</v>
      </c>
      <c r="F25" s="10">
        <v>1</v>
      </c>
      <c r="G25" s="11" t="s">
        <v>18</v>
      </c>
      <c r="I25" s="1" t="str">
        <f>IFERROR(INDEX(G$2:G$500,12),"")</f>
        <v>Widzew Łódź</v>
      </c>
      <c r="J25" s="1">
        <f>IFERROR(INDEX(F$2:F$500,12),"")</f>
        <v>1</v>
      </c>
      <c r="K25" s="1">
        <f>IFERROR(INDEX(E$2:E$500,12),"")</f>
        <v>3</v>
      </c>
      <c r="L25">
        <f>IF(ISTEXT(I25),COUNTIF(I$2:I25,I25),0)</f>
        <v>2</v>
      </c>
    </row>
    <row r="26" spans="1:48" x14ac:dyDescent="0.25">
      <c r="A26" t="s">
        <v>30</v>
      </c>
      <c r="B26" s="12" t="str">
        <f t="shared" si="0"/>
        <v>13.05.2023</v>
      </c>
      <c r="C26" s="13">
        <v>0.625</v>
      </c>
      <c r="D26" s="10" t="s">
        <v>10</v>
      </c>
      <c r="E26" s="10">
        <v>3</v>
      </c>
      <c r="F26" s="10">
        <v>1</v>
      </c>
      <c r="G26" s="11" t="s">
        <v>6</v>
      </c>
      <c r="I26" s="1" t="str">
        <f>IFERROR(INDEX(D$2:D$500,13),"")</f>
        <v>Śląsk Wrocław</v>
      </c>
      <c r="J26" s="1">
        <f>IFERROR(INDEX(E$2:E$500,13),"")</f>
        <v>4</v>
      </c>
      <c r="K26" s="1">
        <f>IFERROR(INDEX(F$2:F$500,13),"")</f>
        <v>2</v>
      </c>
      <c r="L26">
        <f>IF(ISTEXT(I26),COUNTIF(I$2:I26,I26),0)</f>
        <v>2</v>
      </c>
    </row>
    <row r="27" spans="1:48" x14ac:dyDescent="0.25">
      <c r="A27" t="s">
        <v>31</v>
      </c>
      <c r="B27" s="12" t="str">
        <f t="shared" si="0"/>
        <v>12.05.2023</v>
      </c>
      <c r="C27" s="13">
        <v>0.85416666666666663</v>
      </c>
      <c r="D27" s="10" t="s">
        <v>9</v>
      </c>
      <c r="E27" s="10">
        <v>5</v>
      </c>
      <c r="F27" s="10">
        <v>1</v>
      </c>
      <c r="G27" s="11" t="s">
        <v>8</v>
      </c>
      <c r="I27" s="1" t="str">
        <f>IFERROR(INDEX(G$2:G$500,13),"")</f>
        <v>Miedź Legnica</v>
      </c>
      <c r="J27" s="1">
        <f>IFERROR(INDEX(F$2:F$500,13),"")</f>
        <v>2</v>
      </c>
      <c r="K27" s="1">
        <f>IFERROR(INDEX(E$2:E$500,13),"")</f>
        <v>4</v>
      </c>
      <c r="L27">
        <f>IF(ISTEXT(I27),COUNTIF(I$2:I27,I27),0)</f>
        <v>2</v>
      </c>
    </row>
    <row r="28" spans="1:48" x14ac:dyDescent="0.25">
      <c r="A28" t="s">
        <v>31</v>
      </c>
      <c r="B28" s="12" t="str">
        <f t="shared" si="0"/>
        <v>12.05.2023</v>
      </c>
      <c r="C28" s="13">
        <v>0.75</v>
      </c>
      <c r="D28" s="10" t="s">
        <v>13</v>
      </c>
      <c r="E28" s="10">
        <v>2</v>
      </c>
      <c r="F28" s="10">
        <v>1</v>
      </c>
      <c r="G28" s="11" t="s">
        <v>22</v>
      </c>
      <c r="I28" s="1" t="str">
        <f>IFERROR(INDEX(D$2:D$500,14),"")</f>
        <v>Lechia Gdańsk</v>
      </c>
      <c r="J28" s="1">
        <f>IFERROR(INDEX(E$2:E$500,14),"")</f>
        <v>1</v>
      </c>
      <c r="K28" s="1">
        <f>IFERROR(INDEX(F$2:F$500,14),"")</f>
        <v>0</v>
      </c>
      <c r="L28">
        <f>IF(ISTEXT(I28),COUNTIF(I$2:I28,I28),0)</f>
        <v>2</v>
      </c>
    </row>
    <row r="29" spans="1:48" x14ac:dyDescent="0.25">
      <c r="A29" t="s">
        <v>32</v>
      </c>
      <c r="B29" s="12" t="str">
        <f t="shared" si="0"/>
        <v>08.05.2023</v>
      </c>
      <c r="C29" s="13">
        <v>0.79166666666666663</v>
      </c>
      <c r="D29" s="10" t="s">
        <v>11</v>
      </c>
      <c r="E29" s="10">
        <v>0</v>
      </c>
      <c r="F29" s="10">
        <v>1</v>
      </c>
      <c r="G29" s="11" t="s">
        <v>21</v>
      </c>
      <c r="I29" s="1" t="str">
        <f>IFERROR(INDEX(G$2:G$500,14),"")</f>
        <v>Legia Warszawa</v>
      </c>
      <c r="J29" s="1">
        <f>IFERROR(INDEX(F$2:F$500,14),"")</f>
        <v>0</v>
      </c>
      <c r="K29" s="1">
        <f>IFERROR(INDEX(E$2:E$500,14),"")</f>
        <v>1</v>
      </c>
      <c r="L29">
        <f>IF(ISTEXT(I29),COUNTIF(I$2:I29,I29),0)</f>
        <v>2</v>
      </c>
    </row>
    <row r="30" spans="1:48" x14ac:dyDescent="0.25">
      <c r="A30" t="s">
        <v>33</v>
      </c>
      <c r="B30" s="12" t="str">
        <f t="shared" si="0"/>
        <v>07.05.2023</v>
      </c>
      <c r="C30" s="13">
        <v>0.72916666666666663</v>
      </c>
      <c r="D30" s="10" t="s">
        <v>15</v>
      </c>
      <c r="E30" s="10">
        <v>2</v>
      </c>
      <c r="F30" s="10">
        <v>1</v>
      </c>
      <c r="G30" s="11" t="s">
        <v>9</v>
      </c>
      <c r="I30" s="1" t="str">
        <f>IFERROR(INDEX(D$2:D$500,15),"")</f>
        <v>Górnik Zabrze</v>
      </c>
      <c r="J30" s="1">
        <f>IFERROR(INDEX(E$2:E$500,15),"")</f>
        <v>2</v>
      </c>
      <c r="K30" s="1">
        <f>IFERROR(INDEX(F$2:F$500,15),"")</f>
        <v>1</v>
      </c>
      <c r="L30">
        <f>IF(ISTEXT(I30),COUNTIF(I$2:I30,I30),0)</f>
        <v>2</v>
      </c>
    </row>
    <row r="31" spans="1:48" x14ac:dyDescent="0.25">
      <c r="A31" t="s">
        <v>33</v>
      </c>
      <c r="B31" s="12" t="str">
        <f t="shared" si="0"/>
        <v>07.05.2023</v>
      </c>
      <c r="C31" s="13">
        <v>0.625</v>
      </c>
      <c r="D31" s="10" t="s">
        <v>22</v>
      </c>
      <c r="E31" s="10">
        <v>1</v>
      </c>
      <c r="F31" s="10">
        <v>0</v>
      </c>
      <c r="G31" s="11" t="s">
        <v>17</v>
      </c>
      <c r="I31" s="1" t="str">
        <f>IFERROR(INDEX(G$2:G$500,15),"")</f>
        <v>Pogoń Szczecin</v>
      </c>
      <c r="J31" s="1">
        <f>IFERROR(INDEX(F$2:F$500,15),"")</f>
        <v>1</v>
      </c>
      <c r="K31" s="1">
        <f>IFERROR(INDEX(E$2:E$500,15),"")</f>
        <v>2</v>
      </c>
      <c r="L31">
        <f>IF(ISTEXT(I31),COUNTIF(I$2:I31,I31),0)</f>
        <v>2</v>
      </c>
    </row>
    <row r="32" spans="1:48" x14ac:dyDescent="0.25">
      <c r="A32" t="s">
        <v>33</v>
      </c>
      <c r="B32" s="12" t="str">
        <f t="shared" si="0"/>
        <v>07.05.2023</v>
      </c>
      <c r="C32" s="13">
        <v>0.52083333333333337</v>
      </c>
      <c r="D32" s="10" t="s">
        <v>6</v>
      </c>
      <c r="E32" s="10">
        <v>0</v>
      </c>
      <c r="F32" s="10">
        <v>0</v>
      </c>
      <c r="G32" s="11" t="s">
        <v>19</v>
      </c>
      <c r="I32" s="1" t="str">
        <f>IFERROR(INDEX(D$2:D$500,16),"")</f>
        <v>Jagiellonia Białystok</v>
      </c>
      <c r="J32" s="1">
        <f>IFERROR(INDEX(E$2:E$500,16),"")</f>
        <v>1</v>
      </c>
      <c r="K32" s="1">
        <f>IFERROR(INDEX(F$2:F$500,16),"")</f>
        <v>1</v>
      </c>
      <c r="L32">
        <f>IF(ISTEXT(I32),COUNTIF(I$2:I32,I32),0)</f>
        <v>2</v>
      </c>
    </row>
    <row r="33" spans="1:12" x14ac:dyDescent="0.25">
      <c r="A33" t="s">
        <v>34</v>
      </c>
      <c r="B33" s="12" t="str">
        <f t="shared" si="0"/>
        <v>06.05.2023</v>
      </c>
      <c r="C33" s="13">
        <v>0.83333333333333337</v>
      </c>
      <c r="D33" s="10" t="s">
        <v>14</v>
      </c>
      <c r="E33" s="10">
        <v>1</v>
      </c>
      <c r="F33" s="10">
        <v>3</v>
      </c>
      <c r="G33" s="11" t="s">
        <v>18</v>
      </c>
      <c r="I33" s="1" t="str">
        <f>IFERROR(INDEX(G$2:G$500,16),"")</f>
        <v>Cracovia</v>
      </c>
      <c r="J33" s="1">
        <f>IFERROR(INDEX(F$2:F$500,16),"")</f>
        <v>1</v>
      </c>
      <c r="K33" s="1">
        <f>IFERROR(INDEX(E$2:E$500,16),"")</f>
        <v>1</v>
      </c>
      <c r="L33">
        <f>IF(ISTEXT(I33),COUNTIF(I$2:I33,I33),0)</f>
        <v>2</v>
      </c>
    </row>
    <row r="34" spans="1:12" x14ac:dyDescent="0.25">
      <c r="A34" t="s">
        <v>34</v>
      </c>
      <c r="B34" s="12" t="str">
        <f t="shared" ref="B34:B65" si="30">A34&amp;2023</f>
        <v>06.05.2023</v>
      </c>
      <c r="C34" s="13">
        <v>0.72916666666666663</v>
      </c>
      <c r="D34" s="10" t="s">
        <v>7</v>
      </c>
      <c r="E34" s="10">
        <v>3</v>
      </c>
      <c r="F34" s="10">
        <v>0</v>
      </c>
      <c r="G34" s="11" t="s">
        <v>5</v>
      </c>
      <c r="I34" s="1" t="str">
        <f>IFERROR(INDEX(D$2:D$500,17),"")</f>
        <v>Korona Kielce</v>
      </c>
      <c r="J34" s="1">
        <f>IFERROR(INDEX(E$2:E$500,17),"")</f>
        <v>0</v>
      </c>
      <c r="K34" s="1">
        <f>IFERROR(INDEX(F$2:F$500,17),"")</f>
        <v>3</v>
      </c>
      <c r="L34">
        <f>IF(ISTEXT(I34),COUNTIF(I$2:I34,I34),0)</f>
        <v>2</v>
      </c>
    </row>
    <row r="35" spans="1:12" x14ac:dyDescent="0.25">
      <c r="A35" t="s">
        <v>34</v>
      </c>
      <c r="B35" s="12" t="str">
        <f t="shared" si="30"/>
        <v>06.05.2023</v>
      </c>
      <c r="C35" s="13">
        <v>0.625</v>
      </c>
      <c r="D35" s="10" t="s">
        <v>16</v>
      </c>
      <c r="E35" s="10">
        <v>0</v>
      </c>
      <c r="F35" s="10">
        <v>1</v>
      </c>
      <c r="G35" s="11" t="s">
        <v>13</v>
      </c>
      <c r="I35" s="1" t="str">
        <f>IFERROR(INDEX(G$2:G$500,17),"")</f>
        <v>Lech Poznań</v>
      </c>
      <c r="J35" s="1">
        <f>IFERROR(INDEX(F$2:F$500,17),"")</f>
        <v>3</v>
      </c>
      <c r="K35" s="1">
        <f>IFERROR(INDEX(E$2:E$500,17),"")</f>
        <v>0</v>
      </c>
      <c r="L35">
        <f>IF(ISTEXT(I35),COUNTIF(I$2:I35,I35),0)</f>
        <v>2</v>
      </c>
    </row>
    <row r="36" spans="1:12" x14ac:dyDescent="0.25">
      <c r="A36" t="s">
        <v>35</v>
      </c>
      <c r="B36" s="12" t="str">
        <f t="shared" si="30"/>
        <v>05.05.2023</v>
      </c>
      <c r="C36" s="13">
        <v>0.85416666666666663</v>
      </c>
      <c r="D36" s="10" t="s">
        <v>12</v>
      </c>
      <c r="E36" s="10">
        <v>2</v>
      </c>
      <c r="F36" s="10">
        <v>0</v>
      </c>
      <c r="G36" s="11" t="s">
        <v>20</v>
      </c>
      <c r="I36" s="1" t="str">
        <f>IFERROR(INDEX(D$2:D$500,18),"")</f>
        <v>Zagłębie Lubin</v>
      </c>
      <c r="J36" s="1">
        <f>IFERROR(INDEX(E$2:E$500,18),"")</f>
        <v>2</v>
      </c>
      <c r="K36" s="1">
        <f>IFERROR(INDEX(F$2:F$500,18),"")</f>
        <v>0</v>
      </c>
      <c r="L36">
        <f>IF(ISTEXT(I36),COUNTIF(I$2:I36,I36),0)</f>
        <v>2</v>
      </c>
    </row>
    <row r="37" spans="1:12" x14ac:dyDescent="0.25">
      <c r="A37" t="s">
        <v>35</v>
      </c>
      <c r="B37" s="12" t="str">
        <f t="shared" si="30"/>
        <v>05.05.2023</v>
      </c>
      <c r="C37" s="13">
        <v>0.75</v>
      </c>
      <c r="D37" s="10" t="s">
        <v>8</v>
      </c>
      <c r="E37" s="10">
        <v>1</v>
      </c>
      <c r="F37" s="10">
        <v>1</v>
      </c>
      <c r="G37" s="11" t="s">
        <v>10</v>
      </c>
      <c r="I37" s="1" t="str">
        <f>IFERROR(INDEX(G$2:G$500,18),"")</f>
        <v>Stal Mielec</v>
      </c>
      <c r="J37" s="1">
        <f>IFERROR(INDEX(F$2:F$500,18),"")</f>
        <v>0</v>
      </c>
      <c r="K37" s="1">
        <f>IFERROR(INDEX(E$2:E$500,18),"")</f>
        <v>2</v>
      </c>
      <c r="L37">
        <f>IF(ISTEXT(I37),COUNTIF(I$2:I37,I37),0)</f>
        <v>2</v>
      </c>
    </row>
    <row r="38" spans="1:12" x14ac:dyDescent="0.25">
      <c r="A38" t="s">
        <v>36</v>
      </c>
      <c r="B38" s="12" t="str">
        <f t="shared" si="30"/>
        <v>01.05.2023</v>
      </c>
      <c r="C38" s="13">
        <v>0.79166666666666663</v>
      </c>
      <c r="D38" s="10" t="s">
        <v>5</v>
      </c>
      <c r="E38" s="10">
        <v>1</v>
      </c>
      <c r="F38" s="10">
        <v>1</v>
      </c>
      <c r="G38" s="11" t="s">
        <v>11</v>
      </c>
      <c r="I38" s="1" t="str">
        <f>IFERROR(INDEX(D$2:D$500,19),"")</f>
        <v>Warta Poznań</v>
      </c>
      <c r="J38" s="1">
        <f>IFERROR(INDEX(E$2:E$500,19),"")</f>
        <v>1</v>
      </c>
      <c r="K38" s="1">
        <f>IFERROR(INDEX(F$2:F$500,19),"")</f>
        <v>2</v>
      </c>
      <c r="L38">
        <f>IF(ISTEXT(I38),COUNTIF(I$2:I38,I38),0)</f>
        <v>3</v>
      </c>
    </row>
    <row r="39" spans="1:12" x14ac:dyDescent="0.25">
      <c r="A39" t="s">
        <v>37</v>
      </c>
      <c r="B39" s="12" t="str">
        <f t="shared" si="30"/>
        <v>30.04.2023</v>
      </c>
      <c r="C39" s="13">
        <v>0.72916666666666663</v>
      </c>
      <c r="D39" s="10" t="s">
        <v>7</v>
      </c>
      <c r="E39" s="10">
        <v>0</v>
      </c>
      <c r="F39" s="10">
        <v>1</v>
      </c>
      <c r="G39" s="11" t="s">
        <v>12</v>
      </c>
      <c r="I39" s="1" t="str">
        <f>IFERROR(INDEX(G$2:G$500,19),"")</f>
        <v>Radomiak Radom</v>
      </c>
      <c r="J39" s="1">
        <f>IFERROR(INDEX(F$2:F$500,19),"")</f>
        <v>2</v>
      </c>
      <c r="K39" s="1">
        <f>IFERROR(INDEX(E$2:E$500,19),"")</f>
        <v>1</v>
      </c>
      <c r="L39">
        <f>IF(ISTEXT(I39),COUNTIF(I$2:I39,I39),0)</f>
        <v>3</v>
      </c>
    </row>
    <row r="40" spans="1:12" x14ac:dyDescent="0.25">
      <c r="A40" t="s">
        <v>37</v>
      </c>
      <c r="B40" s="12" t="str">
        <f t="shared" si="30"/>
        <v>30.04.2023</v>
      </c>
      <c r="C40" s="13">
        <v>0.625</v>
      </c>
      <c r="D40" s="10" t="s">
        <v>19</v>
      </c>
      <c r="E40" s="10">
        <v>2</v>
      </c>
      <c r="F40" s="10">
        <v>1</v>
      </c>
      <c r="G40" s="11" t="s">
        <v>22</v>
      </c>
      <c r="I40" s="1" t="str">
        <f>IFERROR(INDEX(D$2:D$500,20),"")</f>
        <v>Raków Częstochowa</v>
      </c>
      <c r="J40" s="1">
        <f>IFERROR(INDEX(E$2:E$500,20),"")</f>
        <v>0</v>
      </c>
      <c r="K40" s="1">
        <f>IFERROR(INDEX(F$2:F$500,20),"")</f>
        <v>2</v>
      </c>
      <c r="L40">
        <f>IF(ISTEXT(I40),COUNTIF(I$2:I40,I40),0)</f>
        <v>3</v>
      </c>
    </row>
    <row r="41" spans="1:12" x14ac:dyDescent="0.25">
      <c r="A41" t="s">
        <v>37</v>
      </c>
      <c r="B41" s="12" t="str">
        <f t="shared" si="30"/>
        <v>30.04.2023</v>
      </c>
      <c r="C41" s="13">
        <v>0.52083333333333337</v>
      </c>
      <c r="D41" s="10" t="s">
        <v>10</v>
      </c>
      <c r="E41" s="10">
        <v>0</v>
      </c>
      <c r="F41" s="10">
        <v>1</v>
      </c>
      <c r="G41" s="11" t="s">
        <v>16</v>
      </c>
      <c r="I41" s="1" t="str">
        <f>IFERROR(INDEX(G$2:G$500,20),"")</f>
        <v>Lech Poznań</v>
      </c>
      <c r="J41" s="1">
        <f>IFERROR(INDEX(F$2:F$500,20),"")</f>
        <v>2</v>
      </c>
      <c r="K41" s="1">
        <f>IFERROR(INDEX(E$2:E$500,20),"")</f>
        <v>0</v>
      </c>
      <c r="L41">
        <f>IF(ISTEXT(I41),COUNTIF(I$2:I41,I41),0)</f>
        <v>3</v>
      </c>
    </row>
    <row r="42" spans="1:12" x14ac:dyDescent="0.25">
      <c r="A42" t="s">
        <v>38</v>
      </c>
      <c r="B42" s="12" t="str">
        <f t="shared" si="30"/>
        <v>29.04.2023</v>
      </c>
      <c r="C42" s="13">
        <v>0.83333333333333337</v>
      </c>
      <c r="D42" s="10" t="s">
        <v>13</v>
      </c>
      <c r="E42" s="10">
        <v>0</v>
      </c>
      <c r="F42" s="10">
        <v>0</v>
      </c>
      <c r="G42" s="11" t="s">
        <v>15</v>
      </c>
      <c r="I42" s="1" t="str">
        <f>IFERROR(INDEX(D$2:D$500,21),"")</f>
        <v>Pogoń Szczecin</v>
      </c>
      <c r="J42" s="1">
        <f>IFERROR(INDEX(E$2:E$500,21),"")</f>
        <v>3</v>
      </c>
      <c r="K42" s="1">
        <f>IFERROR(INDEX(F$2:F$500,21),"")</f>
        <v>2</v>
      </c>
      <c r="L42">
        <f>IF(ISTEXT(I42),COUNTIF(I$2:I42,I42),0)</f>
        <v>3</v>
      </c>
    </row>
    <row r="43" spans="1:12" x14ac:dyDescent="0.25">
      <c r="A43" t="s">
        <v>38</v>
      </c>
      <c r="B43" s="12" t="str">
        <f t="shared" si="30"/>
        <v>29.04.2023</v>
      </c>
      <c r="C43" s="13">
        <v>0.72916666666666663</v>
      </c>
      <c r="D43" s="10" t="s">
        <v>18</v>
      </c>
      <c r="E43" s="10">
        <v>2</v>
      </c>
      <c r="F43" s="10">
        <v>0</v>
      </c>
      <c r="G43" s="11" t="s">
        <v>21</v>
      </c>
      <c r="I43" s="1" t="str">
        <f>IFERROR(INDEX(G$2:G$500,21),"")</f>
        <v>Miedź Legnica</v>
      </c>
      <c r="J43" s="1">
        <f>IFERROR(INDEX(F$2:F$500,21),"")</f>
        <v>2</v>
      </c>
      <c r="K43" s="1">
        <f>IFERROR(INDEX(E$2:E$500,21),"")</f>
        <v>3</v>
      </c>
      <c r="L43">
        <f>IF(ISTEXT(I43),COUNTIF(I$2:I43,I43),0)</f>
        <v>3</v>
      </c>
    </row>
    <row r="44" spans="1:12" x14ac:dyDescent="0.25">
      <c r="A44" t="s">
        <v>38</v>
      </c>
      <c r="B44" s="12" t="str">
        <f t="shared" si="30"/>
        <v>29.04.2023</v>
      </c>
      <c r="C44" s="13">
        <v>0.625</v>
      </c>
      <c r="D44" s="10" t="s">
        <v>8</v>
      </c>
      <c r="E44" s="10">
        <v>3</v>
      </c>
      <c r="F44" s="10">
        <v>1</v>
      </c>
      <c r="G44" s="11" t="s">
        <v>20</v>
      </c>
      <c r="I44" s="1" t="str">
        <f>IFERROR(INDEX(D$2:D$500,22),"")</f>
        <v>Stal Mielec</v>
      </c>
      <c r="J44" s="1">
        <f>IFERROR(INDEX(E$2:E$500,22),"")</f>
        <v>0</v>
      </c>
      <c r="K44" s="1">
        <f>IFERROR(INDEX(F$2:F$500,22),"")</f>
        <v>0</v>
      </c>
      <c r="L44">
        <f>IF(ISTEXT(I44),COUNTIF(I$2:I44,I44),0)</f>
        <v>3</v>
      </c>
    </row>
    <row r="45" spans="1:12" x14ac:dyDescent="0.25">
      <c r="A45" t="s">
        <v>39</v>
      </c>
      <c r="B45" s="12" t="str">
        <f t="shared" si="30"/>
        <v>28.04.2023</v>
      </c>
      <c r="C45" s="13">
        <v>0.85416666666666663</v>
      </c>
      <c r="D45" s="10" t="s">
        <v>17</v>
      </c>
      <c r="E45" s="10">
        <v>4</v>
      </c>
      <c r="F45" s="10">
        <v>0</v>
      </c>
      <c r="G45" s="11" t="s">
        <v>14</v>
      </c>
      <c r="I45" s="1" t="str">
        <f>IFERROR(INDEX(G$2:G$500,22),"")</f>
        <v>Lechia Gdańsk</v>
      </c>
      <c r="J45" s="1">
        <f>IFERROR(INDEX(F$2:F$500,22),"")</f>
        <v>0</v>
      </c>
      <c r="K45" s="1">
        <f>IFERROR(INDEX(E$2:E$500,22),"")</f>
        <v>0</v>
      </c>
      <c r="L45">
        <f>IF(ISTEXT(I45),COUNTIF(I$2:I45,I45),0)</f>
        <v>3</v>
      </c>
    </row>
    <row r="46" spans="1:12" x14ac:dyDescent="0.25">
      <c r="A46" t="s">
        <v>39</v>
      </c>
      <c r="B46" s="12" t="str">
        <f t="shared" si="30"/>
        <v>28.04.2023</v>
      </c>
      <c r="C46" s="13">
        <v>0.75</v>
      </c>
      <c r="D46" s="10" t="s">
        <v>9</v>
      </c>
      <c r="E46" s="10">
        <v>2</v>
      </c>
      <c r="F46" s="10">
        <v>0</v>
      </c>
      <c r="G46" s="11" t="s">
        <v>6</v>
      </c>
      <c r="I46" s="1" t="str">
        <f>IFERROR(INDEX(D$2:D$500,23),"")</f>
        <v>Widzew Łódź</v>
      </c>
      <c r="J46" s="1">
        <f>IFERROR(INDEX(E$2:E$500,23),"")</f>
        <v>2</v>
      </c>
      <c r="K46" s="1">
        <f>IFERROR(INDEX(F$2:F$500,23),"")</f>
        <v>3</v>
      </c>
      <c r="L46">
        <f>IF(ISTEXT(I46),COUNTIF(I$2:I46,I46),0)</f>
        <v>3</v>
      </c>
    </row>
    <row r="47" spans="1:12" x14ac:dyDescent="0.25">
      <c r="A47" t="s">
        <v>40</v>
      </c>
      <c r="B47" s="12" t="str">
        <f t="shared" si="30"/>
        <v>24.04.2023</v>
      </c>
      <c r="C47" s="13">
        <v>0.79166666666666663</v>
      </c>
      <c r="D47" s="10" t="s">
        <v>16</v>
      </c>
      <c r="E47" s="10">
        <v>1</v>
      </c>
      <c r="F47" s="10">
        <v>1</v>
      </c>
      <c r="G47" s="11" t="s">
        <v>7</v>
      </c>
      <c r="I47" s="1" t="str">
        <f>IFERROR(INDEX(G$2:G$500,23),"")</f>
        <v>Górnik Zabrze</v>
      </c>
      <c r="J47" s="1">
        <f>IFERROR(INDEX(F$2:F$500,23),"")</f>
        <v>3</v>
      </c>
      <c r="K47" s="1">
        <f>IFERROR(INDEX(E$2:E$500,23),"")</f>
        <v>2</v>
      </c>
      <c r="L47">
        <f>IF(ISTEXT(I47),COUNTIF(I$2:I47,I47),0)</f>
        <v>3</v>
      </c>
    </row>
    <row r="48" spans="1:12" x14ac:dyDescent="0.25">
      <c r="A48" t="s">
        <v>41</v>
      </c>
      <c r="B48" s="12" t="str">
        <f t="shared" si="30"/>
        <v>23.04.2023</v>
      </c>
      <c r="C48" s="13">
        <v>0.72916666666666663</v>
      </c>
      <c r="D48" s="10" t="s">
        <v>12</v>
      </c>
      <c r="E48" s="10">
        <v>2</v>
      </c>
      <c r="F48" s="10">
        <v>0</v>
      </c>
      <c r="G48" s="11" t="s">
        <v>10</v>
      </c>
      <c r="I48" s="1" t="str">
        <f>IFERROR(INDEX(D$2:D$500,24),"")</f>
        <v>Cracovia</v>
      </c>
      <c r="J48" s="1">
        <f>IFERROR(INDEX(E$2:E$500,24),"")</f>
        <v>0</v>
      </c>
      <c r="K48" s="1">
        <f>IFERROR(INDEX(F$2:F$500,24),"")</f>
        <v>1</v>
      </c>
      <c r="L48">
        <f>IF(ISTEXT(I48),COUNTIF(I$2:I48,I48),0)</f>
        <v>3</v>
      </c>
    </row>
    <row r="49" spans="1:12" x14ac:dyDescent="0.25">
      <c r="A49" t="s">
        <v>41</v>
      </c>
      <c r="B49" s="12" t="str">
        <f t="shared" si="30"/>
        <v>23.04.2023</v>
      </c>
      <c r="C49" s="13">
        <v>0.625</v>
      </c>
      <c r="D49" s="10" t="s">
        <v>21</v>
      </c>
      <c r="E49" s="10">
        <v>2</v>
      </c>
      <c r="F49" s="10">
        <v>3</v>
      </c>
      <c r="G49" s="11" t="s">
        <v>13</v>
      </c>
      <c r="I49" s="1" t="str">
        <f>IFERROR(INDEX(G$2:G$500,24),"")</f>
        <v>Zagłębie Lubin</v>
      </c>
      <c r="J49" s="1">
        <f>IFERROR(INDEX(F$2:F$500,24),"")</f>
        <v>1</v>
      </c>
      <c r="K49" s="1">
        <f>IFERROR(INDEX(E$2:E$500,24),"")</f>
        <v>0</v>
      </c>
      <c r="L49">
        <f>IF(ISTEXT(I49),COUNTIF(I$2:I49,I49),0)</f>
        <v>3</v>
      </c>
    </row>
    <row r="50" spans="1:12" x14ac:dyDescent="0.25">
      <c r="A50" t="s">
        <v>41</v>
      </c>
      <c r="B50" s="12" t="str">
        <f t="shared" si="30"/>
        <v>23.04.2023</v>
      </c>
      <c r="C50" s="13">
        <v>0.52083333333333337</v>
      </c>
      <c r="D50" s="10" t="s">
        <v>22</v>
      </c>
      <c r="E50" s="10">
        <v>2</v>
      </c>
      <c r="F50" s="10">
        <v>2</v>
      </c>
      <c r="G50" s="11" t="s">
        <v>18</v>
      </c>
      <c r="I50" s="1" t="str">
        <f>IFERROR(INDEX(D$2:D$500,25),"")</f>
        <v>Śląsk Wrocław</v>
      </c>
      <c r="J50" s="1">
        <f>IFERROR(INDEX(E$2:E$500,25),"")</f>
        <v>3</v>
      </c>
      <c r="K50" s="1">
        <f>IFERROR(INDEX(F$2:F$500,25),"")</f>
        <v>1</v>
      </c>
      <c r="L50">
        <f>IF(ISTEXT(I50),COUNTIF(I$2:I50,I50),0)</f>
        <v>3</v>
      </c>
    </row>
    <row r="51" spans="1:12" x14ac:dyDescent="0.25">
      <c r="A51" t="s">
        <v>42</v>
      </c>
      <c r="B51" s="12" t="str">
        <f t="shared" si="30"/>
        <v>22.04.2023</v>
      </c>
      <c r="C51" s="13">
        <v>0.83333333333333337</v>
      </c>
      <c r="D51" s="10" t="s">
        <v>15</v>
      </c>
      <c r="E51" s="10">
        <v>4</v>
      </c>
      <c r="F51" s="10">
        <v>2</v>
      </c>
      <c r="G51" s="11" t="s">
        <v>19</v>
      </c>
      <c r="I51" s="1" t="str">
        <f>IFERROR(INDEX(G$2:G$500,25),"")</f>
        <v>Wisła Płock</v>
      </c>
      <c r="J51" s="1">
        <f>IFERROR(INDEX(F$2:F$500,25),"")</f>
        <v>1</v>
      </c>
      <c r="K51" s="1">
        <f>IFERROR(INDEX(E$2:E$500,25),"")</f>
        <v>3</v>
      </c>
      <c r="L51">
        <f>IF(ISTEXT(I51),COUNTIF(I$2:I51,I51),0)</f>
        <v>3</v>
      </c>
    </row>
    <row r="52" spans="1:12" x14ac:dyDescent="0.25">
      <c r="A52" t="s">
        <v>42</v>
      </c>
      <c r="B52" s="12" t="str">
        <f t="shared" si="30"/>
        <v>22.04.2023</v>
      </c>
      <c r="C52" s="13">
        <v>0.72916666666666663</v>
      </c>
      <c r="D52" s="10" t="s">
        <v>11</v>
      </c>
      <c r="E52" s="10">
        <v>0</v>
      </c>
      <c r="F52" s="10">
        <v>2</v>
      </c>
      <c r="G52" s="11" t="s">
        <v>17</v>
      </c>
      <c r="I52" s="1" t="str">
        <f>IFERROR(INDEX(D$2:D$500,26),"")</f>
        <v>Legia Warszawa</v>
      </c>
      <c r="J52" s="1">
        <f>IFERROR(INDEX(E$2:E$500,26),"")</f>
        <v>5</v>
      </c>
      <c r="K52" s="1">
        <f>IFERROR(INDEX(F$2:F$500,26),"")</f>
        <v>1</v>
      </c>
      <c r="L52">
        <f>IF(ISTEXT(I52),COUNTIF(I$2:I52,I52),0)</f>
        <v>3</v>
      </c>
    </row>
    <row r="53" spans="1:12" x14ac:dyDescent="0.25">
      <c r="A53" t="s">
        <v>42</v>
      </c>
      <c r="B53" s="12" t="str">
        <f t="shared" si="30"/>
        <v>22.04.2023</v>
      </c>
      <c r="C53" s="13">
        <v>0.625</v>
      </c>
      <c r="D53" s="10" t="s">
        <v>14</v>
      </c>
      <c r="E53" s="10">
        <v>1</v>
      </c>
      <c r="F53" s="10">
        <v>2</v>
      </c>
      <c r="G53" s="11" t="s">
        <v>5</v>
      </c>
      <c r="I53" s="1" t="str">
        <f>IFERROR(INDEX(G$2:G$500,26),"")</f>
        <v>Jagiellonia Białystok</v>
      </c>
      <c r="J53" s="1">
        <f>IFERROR(INDEX(F$2:F$500,26),"")</f>
        <v>1</v>
      </c>
      <c r="K53" s="1">
        <f>IFERROR(INDEX(E$2:E$500,26),"")</f>
        <v>5</v>
      </c>
      <c r="L53">
        <f>IF(ISTEXT(I53),COUNTIF(I$2:I53,I53),0)</f>
        <v>3</v>
      </c>
    </row>
    <row r="54" spans="1:12" x14ac:dyDescent="0.25">
      <c r="A54" t="s">
        <v>43</v>
      </c>
      <c r="B54" s="12" t="str">
        <f t="shared" si="30"/>
        <v>21.04.2023</v>
      </c>
      <c r="C54" s="13">
        <v>0.85416666666666663</v>
      </c>
      <c r="D54" s="10" t="s">
        <v>20</v>
      </c>
      <c r="E54" s="10">
        <v>1</v>
      </c>
      <c r="F54" s="10">
        <v>0</v>
      </c>
      <c r="G54" s="11" t="s">
        <v>9</v>
      </c>
      <c r="I54" s="1" t="str">
        <f>IFERROR(INDEX(D$2:D$500,27),"")</f>
        <v>Piast Gliwice</v>
      </c>
      <c r="J54" s="1">
        <f>IFERROR(INDEX(E$2:E$500,27),"")</f>
        <v>2</v>
      </c>
      <c r="K54" s="1">
        <f>IFERROR(INDEX(F$2:F$500,27),"")</f>
        <v>1</v>
      </c>
      <c r="L54">
        <f>IF(ISTEXT(I54),COUNTIF(I$2:I54,I54),0)</f>
        <v>3</v>
      </c>
    </row>
    <row r="55" spans="1:12" x14ac:dyDescent="0.25">
      <c r="A55" t="s">
        <v>43</v>
      </c>
      <c r="B55" s="12" t="str">
        <f t="shared" si="30"/>
        <v>21.04.2023</v>
      </c>
      <c r="C55" s="13">
        <v>0.75</v>
      </c>
      <c r="D55" s="10" t="s">
        <v>6</v>
      </c>
      <c r="E55" s="10">
        <v>2</v>
      </c>
      <c r="F55" s="10">
        <v>4</v>
      </c>
      <c r="G55" s="11" t="s">
        <v>8</v>
      </c>
      <c r="I55" s="1" t="str">
        <f>IFERROR(INDEX(G$2:G$500,27),"")</f>
        <v>Korona Kielce</v>
      </c>
      <c r="J55" s="1">
        <f>IFERROR(INDEX(F$2:F$500,27),"")</f>
        <v>1</v>
      </c>
      <c r="K55" s="1">
        <f>IFERROR(INDEX(E$2:E$500,27),"")</f>
        <v>2</v>
      </c>
      <c r="L55">
        <f>IF(ISTEXT(I55),COUNTIF(I$2:I55,I55),0)</f>
        <v>3</v>
      </c>
    </row>
    <row r="56" spans="1:12" x14ac:dyDescent="0.25">
      <c r="A56" t="s">
        <v>44</v>
      </c>
      <c r="B56" s="12" t="str">
        <f t="shared" si="30"/>
        <v>17.04.2023</v>
      </c>
      <c r="C56" s="13">
        <v>0.79166666666666663</v>
      </c>
      <c r="D56" s="10" t="s">
        <v>19</v>
      </c>
      <c r="E56" s="10">
        <v>1</v>
      </c>
      <c r="F56" s="10">
        <v>1</v>
      </c>
      <c r="G56" s="11" t="s">
        <v>11</v>
      </c>
      <c r="I56" s="1" t="str">
        <f>IFERROR(INDEX(D$2:D$500,28),"")</f>
        <v>Miedź Legnica</v>
      </c>
      <c r="J56" s="1">
        <f>IFERROR(INDEX(E$2:E$500,28),"")</f>
        <v>0</v>
      </c>
      <c r="K56" s="1">
        <f>IFERROR(INDEX(F$2:F$500,28),"")</f>
        <v>1</v>
      </c>
      <c r="L56">
        <f>IF(ISTEXT(I56),COUNTIF(I$2:I56,I56),0)</f>
        <v>4</v>
      </c>
    </row>
    <row r="57" spans="1:12" x14ac:dyDescent="0.25">
      <c r="A57" t="s">
        <v>45</v>
      </c>
      <c r="B57" s="12" t="str">
        <f t="shared" si="30"/>
        <v>16.04.2023</v>
      </c>
      <c r="C57" s="13">
        <v>0.72916666666666663</v>
      </c>
      <c r="D57" s="10" t="s">
        <v>9</v>
      </c>
      <c r="E57" s="10">
        <v>2</v>
      </c>
      <c r="F57" s="10">
        <v>2</v>
      </c>
      <c r="G57" s="11" t="s">
        <v>7</v>
      </c>
      <c r="I57" s="1" t="str">
        <f>IFERROR(INDEX(G$2:G$500,28),"")</f>
        <v>Widzew Łódź</v>
      </c>
      <c r="J57" s="1">
        <f>IFERROR(INDEX(F$2:F$500,28),"")</f>
        <v>1</v>
      </c>
      <c r="K57" s="1">
        <f>IFERROR(INDEX(E$2:E$500,28),"")</f>
        <v>0</v>
      </c>
      <c r="L57">
        <f>IF(ISTEXT(I57),COUNTIF(I$2:I57,I57),0)</f>
        <v>4</v>
      </c>
    </row>
    <row r="58" spans="1:12" x14ac:dyDescent="0.25">
      <c r="A58" t="s">
        <v>45</v>
      </c>
      <c r="B58" s="12" t="str">
        <f t="shared" si="30"/>
        <v>16.04.2023</v>
      </c>
      <c r="C58" s="13">
        <v>0.625</v>
      </c>
      <c r="D58" s="10" t="s">
        <v>17</v>
      </c>
      <c r="E58" s="10">
        <v>2</v>
      </c>
      <c r="F58" s="10">
        <v>0</v>
      </c>
      <c r="G58" s="11" t="s">
        <v>21</v>
      </c>
      <c r="I58" s="1" t="str">
        <f>IFERROR(INDEX(D$2:D$500,29),"")</f>
        <v>Pogoń Szczecin</v>
      </c>
      <c r="J58" s="1">
        <f>IFERROR(INDEX(E$2:E$500,29),"")</f>
        <v>2</v>
      </c>
      <c r="K58" s="1">
        <f>IFERROR(INDEX(F$2:F$500,29),"")</f>
        <v>1</v>
      </c>
      <c r="L58">
        <f>IF(ISTEXT(I58),COUNTIF(I$2:I58,I58),0)</f>
        <v>4</v>
      </c>
    </row>
    <row r="59" spans="1:12" x14ac:dyDescent="0.25">
      <c r="A59" t="s">
        <v>45</v>
      </c>
      <c r="B59" s="12" t="str">
        <f t="shared" si="30"/>
        <v>16.04.2023</v>
      </c>
      <c r="C59" s="13">
        <v>0.52083333333333337</v>
      </c>
      <c r="D59" s="10" t="s">
        <v>13</v>
      </c>
      <c r="E59" s="10">
        <v>1</v>
      </c>
      <c r="F59" s="10">
        <v>0</v>
      </c>
      <c r="G59" s="11" t="s">
        <v>6</v>
      </c>
      <c r="I59" s="1" t="str">
        <f>IFERROR(INDEX(G$2:G$500,29),"")</f>
        <v>Legia Warszawa</v>
      </c>
      <c r="J59" s="1">
        <f>IFERROR(INDEX(F$2:F$500,29),"")</f>
        <v>1</v>
      </c>
      <c r="K59" s="1">
        <f>IFERROR(INDEX(E$2:E$500,29),"")</f>
        <v>2</v>
      </c>
      <c r="L59">
        <f>IF(ISTEXT(I59),COUNTIF(I$2:I59,I59),0)</f>
        <v>4</v>
      </c>
    </row>
    <row r="60" spans="1:12" x14ac:dyDescent="0.25">
      <c r="A60" t="s">
        <v>46</v>
      </c>
      <c r="B60" s="12" t="str">
        <f t="shared" si="30"/>
        <v>15.04.2023</v>
      </c>
      <c r="C60" s="13">
        <v>0.83333333333333337</v>
      </c>
      <c r="D60" s="10" t="s">
        <v>14</v>
      </c>
      <c r="E60" s="10">
        <v>0</v>
      </c>
      <c r="F60" s="10">
        <v>1</v>
      </c>
      <c r="G60" s="11" t="s">
        <v>15</v>
      </c>
      <c r="I60" s="1" t="str">
        <f>IFERROR(INDEX(D$2:D$500,30),"")</f>
        <v>Korona Kielce</v>
      </c>
      <c r="J60" s="1">
        <f>IFERROR(INDEX(E$2:E$500,30),"")</f>
        <v>1</v>
      </c>
      <c r="K60" s="1">
        <f>IFERROR(INDEX(F$2:F$500,30),"")</f>
        <v>0</v>
      </c>
      <c r="L60">
        <f>IF(ISTEXT(I60),COUNTIF(I$2:I60,I60),0)</f>
        <v>4</v>
      </c>
    </row>
    <row r="61" spans="1:12" x14ac:dyDescent="0.25">
      <c r="A61" t="s">
        <v>46</v>
      </c>
      <c r="B61" s="12" t="str">
        <f t="shared" si="30"/>
        <v>15.04.2023</v>
      </c>
      <c r="C61" s="13">
        <v>0.72916666666666663</v>
      </c>
      <c r="D61" s="10" t="s">
        <v>22</v>
      </c>
      <c r="E61" s="10">
        <v>2</v>
      </c>
      <c r="F61" s="10">
        <v>1</v>
      </c>
      <c r="G61" s="11" t="s">
        <v>8</v>
      </c>
      <c r="I61" s="1" t="str">
        <f>IFERROR(INDEX(G$2:G$500,30),"")</f>
        <v>Raków Częstochowa</v>
      </c>
      <c r="J61" s="1">
        <f>IFERROR(INDEX(F$2:F$500,30),"")</f>
        <v>0</v>
      </c>
      <c r="K61" s="1">
        <f>IFERROR(INDEX(E$2:E$500,30),"")</f>
        <v>1</v>
      </c>
      <c r="L61">
        <f>IF(ISTEXT(I61),COUNTIF(I$2:I61,I61),0)</f>
        <v>4</v>
      </c>
    </row>
    <row r="62" spans="1:12" x14ac:dyDescent="0.25">
      <c r="A62" t="s">
        <v>46</v>
      </c>
      <c r="B62" s="12" t="str">
        <f t="shared" si="30"/>
        <v>15.04.2023</v>
      </c>
      <c r="C62" s="13">
        <v>0.625</v>
      </c>
      <c r="D62" s="10" t="s">
        <v>5</v>
      </c>
      <c r="E62" s="10">
        <v>3</v>
      </c>
      <c r="F62" s="10">
        <v>0</v>
      </c>
      <c r="G62" s="11" t="s">
        <v>16</v>
      </c>
      <c r="I62" s="1" t="str">
        <f>IFERROR(INDEX(D$2:D$500,31),"")</f>
        <v>Wisła Płock</v>
      </c>
      <c r="J62" s="1">
        <f>IFERROR(INDEX(E$2:E$500,31),"")</f>
        <v>0</v>
      </c>
      <c r="K62" s="1">
        <f>IFERROR(INDEX(F$2:F$500,31),"")</f>
        <v>0</v>
      </c>
      <c r="L62">
        <f>IF(ISTEXT(I62),COUNTIF(I$2:I62,I62),0)</f>
        <v>4</v>
      </c>
    </row>
    <row r="63" spans="1:12" x14ac:dyDescent="0.25">
      <c r="A63" t="s">
        <v>47</v>
      </c>
      <c r="B63" s="12" t="str">
        <f t="shared" si="30"/>
        <v>14.04.2023</v>
      </c>
      <c r="C63" s="13">
        <v>0.85416666666666663</v>
      </c>
      <c r="D63" s="10" t="s">
        <v>18</v>
      </c>
      <c r="E63" s="10">
        <v>0</v>
      </c>
      <c r="F63" s="10">
        <v>2</v>
      </c>
      <c r="G63" s="11" t="s">
        <v>12</v>
      </c>
      <c r="I63" s="1" t="str">
        <f>IFERROR(INDEX(G$2:G$500,31),"")</f>
        <v>Stal Mielec</v>
      </c>
      <c r="J63" s="1">
        <f>IFERROR(INDEX(F$2:F$500,31),"")</f>
        <v>0</v>
      </c>
      <c r="K63" s="1">
        <f>IFERROR(INDEX(E$2:E$500,31),"")</f>
        <v>0</v>
      </c>
      <c r="L63">
        <f>IF(ISTEXT(I63),COUNTIF(I$2:I63,I63),0)</f>
        <v>4</v>
      </c>
    </row>
    <row r="64" spans="1:12" x14ac:dyDescent="0.25">
      <c r="A64" t="s">
        <v>47</v>
      </c>
      <c r="B64" s="12" t="str">
        <f t="shared" si="30"/>
        <v>14.04.2023</v>
      </c>
      <c r="C64" s="13">
        <v>0.75</v>
      </c>
      <c r="D64" s="10" t="s">
        <v>20</v>
      </c>
      <c r="E64" s="10">
        <v>3</v>
      </c>
      <c r="F64" s="10">
        <v>1</v>
      </c>
      <c r="G64" s="11" t="s">
        <v>10</v>
      </c>
      <c r="I64" s="1" t="str">
        <f>IFERROR(INDEX(D$2:D$500,32),"")</f>
        <v>Lechia Gdańsk</v>
      </c>
      <c r="J64" s="1">
        <f>IFERROR(INDEX(E$2:E$500,32),"")</f>
        <v>1</v>
      </c>
      <c r="K64" s="1">
        <f>IFERROR(INDEX(F$2:F$500,32),"")</f>
        <v>3</v>
      </c>
      <c r="L64">
        <f>IF(ISTEXT(I64),COUNTIF(I$2:I64,I64),0)</f>
        <v>4</v>
      </c>
    </row>
    <row r="65" spans="1:12" x14ac:dyDescent="0.25">
      <c r="A65" t="s">
        <v>48</v>
      </c>
      <c r="B65" s="12" t="str">
        <f t="shared" si="30"/>
        <v>10.04.2023</v>
      </c>
      <c r="C65" s="13">
        <v>0.83333333333333337</v>
      </c>
      <c r="D65" s="10" t="s">
        <v>11</v>
      </c>
      <c r="E65" s="10">
        <v>2</v>
      </c>
      <c r="F65" s="10">
        <v>2</v>
      </c>
      <c r="G65" s="11" t="s">
        <v>9</v>
      </c>
      <c r="I65" s="1" t="str">
        <f>IFERROR(INDEX(G$2:G$500,32),"")</f>
        <v>Zagłębie Lubin</v>
      </c>
      <c r="J65" s="1">
        <f>IFERROR(INDEX(F$2:F$500,32),"")</f>
        <v>3</v>
      </c>
      <c r="K65" s="1">
        <f>IFERROR(INDEX(E$2:E$500,32),"")</f>
        <v>1</v>
      </c>
      <c r="L65">
        <f>IF(ISTEXT(I65),COUNTIF(I$2:I65,I65),0)</f>
        <v>4</v>
      </c>
    </row>
    <row r="66" spans="1:12" x14ac:dyDescent="0.25">
      <c r="A66" t="s">
        <v>48</v>
      </c>
      <c r="B66" s="12" t="str">
        <f t="shared" ref="B66:B97" si="31">A66&amp;2023</f>
        <v>10.04.2023</v>
      </c>
      <c r="C66" s="13">
        <v>0.72916666666666663</v>
      </c>
      <c r="D66" s="10" t="s">
        <v>16</v>
      </c>
      <c r="E66" s="10">
        <v>0</v>
      </c>
      <c r="F66" s="10">
        <v>0</v>
      </c>
      <c r="G66" s="11" t="s">
        <v>17</v>
      </c>
      <c r="I66" s="1" t="str">
        <f>IFERROR(INDEX(D$2:D$500,33),"")</f>
        <v>Lech Poznań</v>
      </c>
      <c r="J66" s="1">
        <f>IFERROR(INDEX(E$2:E$500,33),"")</f>
        <v>3</v>
      </c>
      <c r="K66" s="1">
        <f>IFERROR(INDEX(F$2:F$500,33),"")</f>
        <v>0</v>
      </c>
      <c r="L66">
        <f>IF(ISTEXT(I66),COUNTIF(I$2:I66,I66),0)</f>
        <v>4</v>
      </c>
    </row>
    <row r="67" spans="1:12" x14ac:dyDescent="0.25">
      <c r="A67" t="s">
        <v>48</v>
      </c>
      <c r="B67" s="12" t="str">
        <f t="shared" si="31"/>
        <v>10.04.2023</v>
      </c>
      <c r="C67" s="13">
        <v>0.625</v>
      </c>
      <c r="D67" s="10" t="s">
        <v>8</v>
      </c>
      <c r="E67" s="10">
        <v>1</v>
      </c>
      <c r="F67" s="10">
        <v>0</v>
      </c>
      <c r="G67" s="11" t="s">
        <v>14</v>
      </c>
      <c r="I67" s="1" t="str">
        <f>IFERROR(INDEX(G$2:G$500,33),"")</f>
        <v>Cracovia</v>
      </c>
      <c r="J67" s="1">
        <f>IFERROR(INDEX(F$2:F$500,33),"")</f>
        <v>0</v>
      </c>
      <c r="K67" s="1">
        <f>IFERROR(INDEX(E$2:E$500,33),"")</f>
        <v>3</v>
      </c>
      <c r="L67">
        <f>IF(ISTEXT(I67),COUNTIF(I$2:I67,I67),0)</f>
        <v>4</v>
      </c>
    </row>
    <row r="68" spans="1:12" x14ac:dyDescent="0.25">
      <c r="A68" t="s">
        <v>49</v>
      </c>
      <c r="B68" s="12" t="str">
        <f t="shared" si="31"/>
        <v>08.04.2023</v>
      </c>
      <c r="C68" s="13">
        <v>0.83333333333333337</v>
      </c>
      <c r="D68" s="10" t="s">
        <v>7</v>
      </c>
      <c r="E68" s="10">
        <v>2</v>
      </c>
      <c r="F68" s="10">
        <v>0</v>
      </c>
      <c r="G68" s="11" t="s">
        <v>20</v>
      </c>
      <c r="I68" s="1" t="str">
        <f>IFERROR(INDEX(D$2:D$500,34),"")</f>
        <v>Radomiak Radom</v>
      </c>
      <c r="J68" s="1">
        <f>IFERROR(INDEX(E$2:E$500,34),"")</f>
        <v>0</v>
      </c>
      <c r="K68" s="1">
        <f>IFERROR(INDEX(F$2:F$500,34),"")</f>
        <v>1</v>
      </c>
      <c r="L68">
        <f>IF(ISTEXT(I68),COUNTIF(I$2:I68,I68),0)</f>
        <v>4</v>
      </c>
    </row>
    <row r="69" spans="1:12" x14ac:dyDescent="0.25">
      <c r="A69" t="s">
        <v>49</v>
      </c>
      <c r="B69" s="12" t="str">
        <f t="shared" si="31"/>
        <v>08.04.2023</v>
      </c>
      <c r="C69" s="13">
        <v>0.72916666666666663</v>
      </c>
      <c r="D69" s="10" t="s">
        <v>15</v>
      </c>
      <c r="E69" s="10">
        <v>3</v>
      </c>
      <c r="F69" s="10">
        <v>2</v>
      </c>
      <c r="G69" s="11" t="s">
        <v>5</v>
      </c>
      <c r="I69" s="1" t="str">
        <f>IFERROR(INDEX(G$2:G$500,34),"")</f>
        <v>Piast Gliwice</v>
      </c>
      <c r="J69" s="1">
        <f>IFERROR(INDEX(F$2:F$500,34),"")</f>
        <v>1</v>
      </c>
      <c r="K69" s="1">
        <f>IFERROR(INDEX(E$2:E$500,34),"")</f>
        <v>0</v>
      </c>
      <c r="L69">
        <f>IF(ISTEXT(I69),COUNTIF(I$2:I69,I69),0)</f>
        <v>4</v>
      </c>
    </row>
    <row r="70" spans="1:12" x14ac:dyDescent="0.25">
      <c r="A70" t="s">
        <v>49</v>
      </c>
      <c r="B70" s="12" t="str">
        <f t="shared" si="31"/>
        <v>08.04.2023</v>
      </c>
      <c r="C70" s="13">
        <v>0.625</v>
      </c>
      <c r="D70" s="10" t="s">
        <v>21</v>
      </c>
      <c r="E70" s="10">
        <v>0</v>
      </c>
      <c r="F70" s="10">
        <v>2</v>
      </c>
      <c r="G70" s="11" t="s">
        <v>19</v>
      </c>
      <c r="I70" s="1" t="str">
        <f>IFERROR(INDEX(D$2:D$500,35),"")</f>
        <v>Górnik Zabrze</v>
      </c>
      <c r="J70" s="1">
        <f>IFERROR(INDEX(E$2:E$500,35),"")</f>
        <v>2</v>
      </c>
      <c r="K70" s="1">
        <f>IFERROR(INDEX(F$2:F$500,35),"")</f>
        <v>0</v>
      </c>
      <c r="L70">
        <f>IF(ISTEXT(I70),COUNTIF(I$2:I70,I70),0)</f>
        <v>4</v>
      </c>
    </row>
    <row r="71" spans="1:12" x14ac:dyDescent="0.25">
      <c r="A71" t="s">
        <v>49</v>
      </c>
      <c r="B71" s="12" t="str">
        <f t="shared" si="31"/>
        <v>08.04.2023</v>
      </c>
      <c r="C71" s="13">
        <v>0.52083333333333337</v>
      </c>
      <c r="D71" s="10" t="s">
        <v>6</v>
      </c>
      <c r="E71" s="10">
        <v>2</v>
      </c>
      <c r="F71" s="10">
        <v>0</v>
      </c>
      <c r="G71" s="11" t="s">
        <v>18</v>
      </c>
      <c r="I71" s="1" t="str">
        <f>IFERROR(INDEX(G$2:G$500,35),"")</f>
        <v>Warta Poznań</v>
      </c>
      <c r="J71" s="1">
        <f>IFERROR(INDEX(F$2:F$500,35),"")</f>
        <v>0</v>
      </c>
      <c r="K71" s="1">
        <f>IFERROR(INDEX(E$2:E$500,35),"")</f>
        <v>2</v>
      </c>
      <c r="L71">
        <f>IF(ISTEXT(I71),COUNTIF(I$2:I71,I71),0)</f>
        <v>4</v>
      </c>
    </row>
    <row r="72" spans="1:12" x14ac:dyDescent="0.25">
      <c r="A72" t="s">
        <v>50</v>
      </c>
      <c r="B72" s="12" t="str">
        <f t="shared" si="31"/>
        <v>06.04.2023</v>
      </c>
      <c r="C72" s="13">
        <v>0.85416666666666663</v>
      </c>
      <c r="D72" s="10" t="s">
        <v>12</v>
      </c>
      <c r="E72" s="10">
        <v>1</v>
      </c>
      <c r="F72" s="10">
        <v>1</v>
      </c>
      <c r="G72" s="11" t="s">
        <v>22</v>
      </c>
      <c r="I72" s="1" t="str">
        <f>IFERROR(INDEX(D$2:D$500,36),"")</f>
        <v>Jagiellonia Białystok</v>
      </c>
      <c r="J72" s="1">
        <f>IFERROR(INDEX(E$2:E$500,36),"")</f>
        <v>1</v>
      </c>
      <c r="K72" s="1">
        <f>IFERROR(INDEX(F$2:F$500,36),"")</f>
        <v>1</v>
      </c>
      <c r="L72">
        <f>IF(ISTEXT(I72),COUNTIF(I$2:I72,I72),0)</f>
        <v>4</v>
      </c>
    </row>
    <row r="73" spans="1:12" x14ac:dyDescent="0.25">
      <c r="A73" t="s">
        <v>50</v>
      </c>
      <c r="B73" s="12" t="str">
        <f t="shared" si="31"/>
        <v>06.04.2023</v>
      </c>
      <c r="C73" s="13">
        <v>0.75</v>
      </c>
      <c r="D73" s="10" t="s">
        <v>10</v>
      </c>
      <c r="E73" s="10">
        <v>0</v>
      </c>
      <c r="F73" s="10">
        <v>1</v>
      </c>
      <c r="G73" s="11" t="s">
        <v>13</v>
      </c>
      <c r="I73" s="1" t="str">
        <f>IFERROR(INDEX(G$2:G$500,36),"")</f>
        <v>Śląsk Wrocław</v>
      </c>
      <c r="J73" s="1">
        <f>IFERROR(INDEX(F$2:F$500,36),"")</f>
        <v>1</v>
      </c>
      <c r="K73" s="1">
        <f>IFERROR(INDEX(E$2:E$500,36),"")</f>
        <v>1</v>
      </c>
      <c r="L73">
        <f>IF(ISTEXT(I73),COUNTIF(I$2:I73,I73),0)</f>
        <v>4</v>
      </c>
    </row>
    <row r="74" spans="1:12" x14ac:dyDescent="0.25">
      <c r="A74" t="s">
        <v>51</v>
      </c>
      <c r="B74" s="12" t="str">
        <f t="shared" si="31"/>
        <v>03.04.2023</v>
      </c>
      <c r="C74" s="13">
        <v>0.79166666666666663</v>
      </c>
      <c r="D74" s="10" t="s">
        <v>19</v>
      </c>
      <c r="E74" s="10">
        <v>1</v>
      </c>
      <c r="F74" s="10">
        <v>1</v>
      </c>
      <c r="G74" s="11" t="s">
        <v>8</v>
      </c>
      <c r="I74" s="1" t="str">
        <f>IFERROR(INDEX(D$2:D$500,37),"")</f>
        <v>Cracovia</v>
      </c>
      <c r="J74" s="1">
        <f>IFERROR(INDEX(E$2:E$500,37),"")</f>
        <v>1</v>
      </c>
      <c r="K74" s="1">
        <f>IFERROR(INDEX(F$2:F$500,37),"")</f>
        <v>1</v>
      </c>
      <c r="L74">
        <f>IF(ISTEXT(I74),COUNTIF(I$2:I74,I74),0)</f>
        <v>5</v>
      </c>
    </row>
    <row r="75" spans="1:12" x14ac:dyDescent="0.25">
      <c r="A75" t="s">
        <v>52</v>
      </c>
      <c r="B75" s="12" t="str">
        <f t="shared" si="31"/>
        <v>02.04.2023</v>
      </c>
      <c r="C75" s="13">
        <v>0.72916666666666663</v>
      </c>
      <c r="D75" s="10" t="s">
        <v>7</v>
      </c>
      <c r="E75" s="10">
        <v>2</v>
      </c>
      <c r="F75" s="10">
        <v>2</v>
      </c>
      <c r="G75" s="11" t="s">
        <v>15</v>
      </c>
      <c r="I75" s="1" t="str">
        <f>IFERROR(INDEX(G$2:G$500,37),"")</f>
        <v>Miedź Legnica</v>
      </c>
      <c r="J75" s="1">
        <f>IFERROR(INDEX(F$2:F$500,37),"")</f>
        <v>1</v>
      </c>
      <c r="K75" s="1">
        <f>IFERROR(INDEX(E$2:E$500,37),"")</f>
        <v>1</v>
      </c>
      <c r="L75">
        <f>IF(ISTEXT(I75),COUNTIF(I$2:I75,I75),0)</f>
        <v>5</v>
      </c>
    </row>
    <row r="76" spans="1:12" x14ac:dyDescent="0.25">
      <c r="A76" t="s">
        <v>52</v>
      </c>
      <c r="B76" s="12" t="str">
        <f t="shared" si="31"/>
        <v>02.04.2023</v>
      </c>
      <c r="C76" s="13">
        <v>0.625</v>
      </c>
      <c r="D76" s="10" t="s">
        <v>5</v>
      </c>
      <c r="E76" s="10">
        <v>1</v>
      </c>
      <c r="F76" s="10">
        <v>1</v>
      </c>
      <c r="G76" s="11" t="s">
        <v>21</v>
      </c>
      <c r="I76" s="1" t="str">
        <f>IFERROR(INDEX(D$2:D$500,38),"")</f>
        <v>Lech Poznań</v>
      </c>
      <c r="J76" s="1">
        <f>IFERROR(INDEX(E$2:E$500,38),"")</f>
        <v>0</v>
      </c>
      <c r="K76" s="1">
        <f>IFERROR(INDEX(F$2:F$500,38),"")</f>
        <v>1</v>
      </c>
      <c r="L76">
        <f>IF(ISTEXT(I76),COUNTIF(I$2:I76,I76),0)</f>
        <v>5</v>
      </c>
    </row>
    <row r="77" spans="1:12" x14ac:dyDescent="0.25">
      <c r="A77" t="s">
        <v>52</v>
      </c>
      <c r="B77" s="12" t="str">
        <f t="shared" si="31"/>
        <v>02.04.2023</v>
      </c>
      <c r="C77" s="13">
        <v>0.52083333333333337</v>
      </c>
      <c r="D77" s="10" t="s">
        <v>6</v>
      </c>
      <c r="E77" s="10">
        <v>1</v>
      </c>
      <c r="F77" s="10">
        <v>1</v>
      </c>
      <c r="G77" s="11" t="s">
        <v>16</v>
      </c>
      <c r="I77" s="1" t="str">
        <f>IFERROR(INDEX(G$2:G$500,38),"")</f>
        <v>Górnik Zabrze</v>
      </c>
      <c r="J77" s="1">
        <f>IFERROR(INDEX(F$2:F$500,38),"")</f>
        <v>1</v>
      </c>
      <c r="K77" s="1">
        <f>IFERROR(INDEX(E$2:E$500,38),"")</f>
        <v>0</v>
      </c>
      <c r="L77">
        <f>IF(ISTEXT(I77),COUNTIF(I$2:I77,I77),0)</f>
        <v>5</v>
      </c>
    </row>
    <row r="78" spans="1:12" x14ac:dyDescent="0.25">
      <c r="A78" t="s">
        <v>53</v>
      </c>
      <c r="B78" s="12" t="str">
        <f t="shared" si="31"/>
        <v>01.04.2023</v>
      </c>
      <c r="C78" s="13">
        <v>0.83333333333333337</v>
      </c>
      <c r="D78" s="10" t="s">
        <v>14</v>
      </c>
      <c r="E78" s="10">
        <v>0</v>
      </c>
      <c r="F78" s="10">
        <v>0</v>
      </c>
      <c r="G78" s="11" t="s">
        <v>10</v>
      </c>
      <c r="I78" s="1" t="str">
        <f>IFERROR(INDEX(D$2:D$500,39),"")</f>
        <v>Stal Mielec</v>
      </c>
      <c r="J78" s="1">
        <f>IFERROR(INDEX(E$2:E$500,39),"")</f>
        <v>2</v>
      </c>
      <c r="K78" s="1">
        <f>IFERROR(INDEX(F$2:F$500,39),"")</f>
        <v>1</v>
      </c>
      <c r="L78">
        <f>IF(ISTEXT(I78),COUNTIF(I$2:I78,I78),0)</f>
        <v>5</v>
      </c>
    </row>
    <row r="79" spans="1:12" x14ac:dyDescent="0.25">
      <c r="A79" t="s">
        <v>53</v>
      </c>
      <c r="B79" s="12" t="str">
        <f t="shared" si="31"/>
        <v>01.04.2023</v>
      </c>
      <c r="C79" s="13">
        <v>0.72916666666666663</v>
      </c>
      <c r="D79" s="10" t="s">
        <v>9</v>
      </c>
      <c r="E79" s="10">
        <v>3</v>
      </c>
      <c r="F79" s="10">
        <v>1</v>
      </c>
      <c r="G79" s="11" t="s">
        <v>17</v>
      </c>
      <c r="I79" s="1" t="str">
        <f>IFERROR(INDEX(G$2:G$500,39),"")</f>
        <v>Korona Kielce</v>
      </c>
      <c r="J79" s="1">
        <f>IFERROR(INDEX(F$2:F$500,39),"")</f>
        <v>1</v>
      </c>
      <c r="K79" s="1">
        <f>IFERROR(INDEX(E$2:E$500,39),"")</f>
        <v>2</v>
      </c>
      <c r="L79">
        <f>IF(ISTEXT(I79),COUNTIF(I$2:I79,I79),0)</f>
        <v>5</v>
      </c>
    </row>
    <row r="80" spans="1:12" x14ac:dyDescent="0.25">
      <c r="A80" t="s">
        <v>53</v>
      </c>
      <c r="B80" s="12" t="str">
        <f t="shared" si="31"/>
        <v>01.04.2023</v>
      </c>
      <c r="C80" s="13">
        <v>0.625</v>
      </c>
      <c r="D80" s="10" t="s">
        <v>22</v>
      </c>
      <c r="E80" s="10">
        <v>1</v>
      </c>
      <c r="F80" s="10">
        <v>0</v>
      </c>
      <c r="G80" s="11" t="s">
        <v>11</v>
      </c>
      <c r="I80" s="1" t="str">
        <f>IFERROR(INDEX(D$2:D$500,40),"")</f>
        <v>Śląsk Wrocław</v>
      </c>
      <c r="J80" s="1">
        <f>IFERROR(INDEX(E$2:E$500,40),"")</f>
        <v>0</v>
      </c>
      <c r="K80" s="1">
        <f>IFERROR(INDEX(F$2:F$500,40),"")</f>
        <v>1</v>
      </c>
      <c r="L80">
        <f>IF(ISTEXT(I80),COUNTIF(I$2:I80,I80),0)</f>
        <v>5</v>
      </c>
    </row>
    <row r="81" spans="1:12" x14ac:dyDescent="0.25">
      <c r="A81" t="s">
        <v>54</v>
      </c>
      <c r="B81" s="12" t="str">
        <f t="shared" si="31"/>
        <v>31.03.2023</v>
      </c>
      <c r="C81" s="13">
        <v>0.85416666666666663</v>
      </c>
      <c r="D81" s="10" t="s">
        <v>13</v>
      </c>
      <c r="E81" s="10">
        <v>1</v>
      </c>
      <c r="F81" s="10">
        <v>0</v>
      </c>
      <c r="G81" s="11" t="s">
        <v>12</v>
      </c>
      <c r="I81" s="1" t="str">
        <f>IFERROR(INDEX(G$2:G$500,40),"")</f>
        <v>Radomiak Radom</v>
      </c>
      <c r="J81" s="1">
        <f>IFERROR(INDEX(F$2:F$500,40),"")</f>
        <v>1</v>
      </c>
      <c r="K81" s="1">
        <f>IFERROR(INDEX(E$2:E$500,40),"")</f>
        <v>0</v>
      </c>
      <c r="L81">
        <f>IF(ISTEXT(I81),COUNTIF(I$2:I81,I81),0)</f>
        <v>5</v>
      </c>
    </row>
    <row r="82" spans="1:12" x14ac:dyDescent="0.25">
      <c r="A82" t="s">
        <v>54</v>
      </c>
      <c r="B82" s="12" t="str">
        <f t="shared" si="31"/>
        <v>31.03.2023</v>
      </c>
      <c r="C82" s="13">
        <v>0.75</v>
      </c>
      <c r="D82" s="10" t="s">
        <v>18</v>
      </c>
      <c r="E82" s="10">
        <v>0</v>
      </c>
      <c r="F82" s="10">
        <v>0</v>
      </c>
      <c r="G82" s="11" t="s">
        <v>20</v>
      </c>
      <c r="I82" s="1" t="str">
        <f>IFERROR(INDEX(D$2:D$500,41),"")</f>
        <v>Piast Gliwice</v>
      </c>
      <c r="J82" s="1">
        <f>IFERROR(INDEX(E$2:E$500,41),"")</f>
        <v>0</v>
      </c>
      <c r="K82" s="1">
        <f>IFERROR(INDEX(F$2:F$500,41),"")</f>
        <v>0</v>
      </c>
      <c r="L82">
        <f>IF(ISTEXT(I82),COUNTIF(I$2:I82,I82),0)</f>
        <v>5</v>
      </c>
    </row>
    <row r="83" spans="1:12" x14ac:dyDescent="0.25">
      <c r="A83" t="s">
        <v>55</v>
      </c>
      <c r="B83" s="12" t="str">
        <f t="shared" si="31"/>
        <v>19.03.2023</v>
      </c>
      <c r="C83" s="13">
        <v>0.72916666666666663</v>
      </c>
      <c r="D83" s="10" t="s">
        <v>21</v>
      </c>
      <c r="E83" s="10">
        <v>1</v>
      </c>
      <c r="F83" s="10">
        <v>2</v>
      </c>
      <c r="G83" s="11" t="s">
        <v>7</v>
      </c>
      <c r="I83" s="1" t="str">
        <f>IFERROR(INDEX(G$2:G$500,41),"")</f>
        <v>Pogoń Szczecin</v>
      </c>
      <c r="J83" s="1">
        <f>IFERROR(INDEX(F$2:F$500,41),"")</f>
        <v>0</v>
      </c>
      <c r="K83" s="1">
        <f>IFERROR(INDEX(E$2:E$500,41),"")</f>
        <v>0</v>
      </c>
      <c r="L83">
        <f>IF(ISTEXT(I83),COUNTIF(I$2:I83,I83),0)</f>
        <v>5</v>
      </c>
    </row>
    <row r="84" spans="1:12" x14ac:dyDescent="0.25">
      <c r="A84" t="s">
        <v>55</v>
      </c>
      <c r="B84" s="12" t="str">
        <f t="shared" si="31"/>
        <v>19.03.2023</v>
      </c>
      <c r="C84" s="13">
        <v>0.625</v>
      </c>
      <c r="D84" s="10" t="s">
        <v>11</v>
      </c>
      <c r="E84" s="10">
        <v>0</v>
      </c>
      <c r="F84" s="10">
        <v>1</v>
      </c>
      <c r="G84" s="11" t="s">
        <v>13</v>
      </c>
      <c r="I84" s="1" t="str">
        <f>IFERROR(INDEX(D$2:D$500,42),"")</f>
        <v>Zagłębie Lubin</v>
      </c>
      <c r="J84" s="1">
        <f>IFERROR(INDEX(E$2:E$500,42),"")</f>
        <v>2</v>
      </c>
      <c r="K84" s="1">
        <f>IFERROR(INDEX(F$2:F$500,42),"")</f>
        <v>0</v>
      </c>
      <c r="L84">
        <f>IF(ISTEXT(I84),COUNTIF(I$2:I84,I84),0)</f>
        <v>5</v>
      </c>
    </row>
    <row r="85" spans="1:12" x14ac:dyDescent="0.25">
      <c r="A85" t="s">
        <v>55</v>
      </c>
      <c r="B85" s="12" t="str">
        <f t="shared" si="31"/>
        <v>19.03.2023</v>
      </c>
      <c r="C85" s="13">
        <v>0.52083333333333337</v>
      </c>
      <c r="D85" s="10" t="s">
        <v>20</v>
      </c>
      <c r="E85" s="10">
        <v>2</v>
      </c>
      <c r="F85" s="10">
        <v>0</v>
      </c>
      <c r="G85" s="11" t="s">
        <v>14</v>
      </c>
      <c r="I85" s="1" t="str">
        <f>IFERROR(INDEX(G$2:G$500,42),"")</f>
        <v>Widzew Łódź</v>
      </c>
      <c r="J85" s="1">
        <f>IFERROR(INDEX(F$2:F$500,42),"")</f>
        <v>0</v>
      </c>
      <c r="K85" s="1">
        <f>IFERROR(INDEX(E$2:E$500,42),"")</f>
        <v>2</v>
      </c>
      <c r="L85">
        <f>IF(ISTEXT(I85),COUNTIF(I$2:I85,I85),0)</f>
        <v>5</v>
      </c>
    </row>
    <row r="86" spans="1:12" x14ac:dyDescent="0.25">
      <c r="A86" t="s">
        <v>56</v>
      </c>
      <c r="B86" s="12" t="str">
        <f t="shared" si="31"/>
        <v>18.03.2023</v>
      </c>
      <c r="C86" s="13">
        <v>0.83333333333333337</v>
      </c>
      <c r="D86" s="10" t="s">
        <v>17</v>
      </c>
      <c r="E86" s="10">
        <v>4</v>
      </c>
      <c r="F86" s="10">
        <v>1</v>
      </c>
      <c r="G86" s="11" t="s">
        <v>5</v>
      </c>
      <c r="I86" s="1" t="str">
        <f>IFERROR(INDEX(D$2:D$500,43),"")</f>
        <v>Jagiellonia Białystok</v>
      </c>
      <c r="J86" s="1">
        <f>IFERROR(INDEX(E$2:E$500,43),"")</f>
        <v>3</v>
      </c>
      <c r="K86" s="1">
        <f>IFERROR(INDEX(F$2:F$500,43),"")</f>
        <v>1</v>
      </c>
      <c r="L86">
        <f>IF(ISTEXT(I86),COUNTIF(I$2:I86,I86),0)</f>
        <v>5</v>
      </c>
    </row>
    <row r="87" spans="1:12" x14ac:dyDescent="0.25">
      <c r="A87" t="s">
        <v>56</v>
      </c>
      <c r="B87" s="12" t="str">
        <f t="shared" si="31"/>
        <v>18.03.2023</v>
      </c>
      <c r="C87" s="13">
        <v>0.72916666666666663</v>
      </c>
      <c r="D87" s="10" t="s">
        <v>15</v>
      </c>
      <c r="E87" s="10">
        <v>0</v>
      </c>
      <c r="F87" s="10">
        <v>0</v>
      </c>
      <c r="G87" s="11" t="s">
        <v>22</v>
      </c>
      <c r="I87" s="1" t="str">
        <f>IFERROR(INDEX(G$2:G$500,43),"")</f>
        <v>Warta Poznań</v>
      </c>
      <c r="J87" s="1">
        <f>IFERROR(INDEX(F$2:F$500,43),"")</f>
        <v>1</v>
      </c>
      <c r="K87" s="1">
        <f>IFERROR(INDEX(E$2:E$500,43),"")</f>
        <v>3</v>
      </c>
      <c r="L87">
        <f>IF(ISTEXT(I87),COUNTIF(I$2:I87,I87),0)</f>
        <v>5</v>
      </c>
    </row>
    <row r="88" spans="1:12" x14ac:dyDescent="0.25">
      <c r="A88" t="s">
        <v>56</v>
      </c>
      <c r="B88" s="12" t="str">
        <f t="shared" si="31"/>
        <v>18.03.2023</v>
      </c>
      <c r="C88" s="13">
        <v>0.625</v>
      </c>
      <c r="D88" s="10" t="s">
        <v>8</v>
      </c>
      <c r="E88" s="10">
        <v>2</v>
      </c>
      <c r="F88" s="10">
        <v>2</v>
      </c>
      <c r="G88" s="11" t="s">
        <v>18</v>
      </c>
      <c r="I88" s="1" t="str">
        <f>IFERROR(INDEX(D$2:D$500,44),"")</f>
        <v>Raków Częstochowa</v>
      </c>
      <c r="J88" s="1">
        <f>IFERROR(INDEX(E$2:E$500,44),"")</f>
        <v>4</v>
      </c>
      <c r="K88" s="1">
        <f>IFERROR(INDEX(F$2:F$500,44),"")</f>
        <v>0</v>
      </c>
      <c r="L88">
        <f>IF(ISTEXT(I88),COUNTIF(I$2:I88,I88),0)</f>
        <v>5</v>
      </c>
    </row>
    <row r="89" spans="1:12" x14ac:dyDescent="0.25">
      <c r="A89" t="s">
        <v>56</v>
      </c>
      <c r="B89" s="12" t="str">
        <f t="shared" si="31"/>
        <v>18.03.2023</v>
      </c>
      <c r="C89" s="13">
        <v>0.52083333333333337</v>
      </c>
      <c r="D89" s="10" t="s">
        <v>10</v>
      </c>
      <c r="E89" s="10">
        <v>1</v>
      </c>
      <c r="F89" s="10">
        <v>1</v>
      </c>
      <c r="G89" s="11" t="s">
        <v>19</v>
      </c>
      <c r="I89" s="1" t="str">
        <f>IFERROR(INDEX(G$2:G$500,44),"")</f>
        <v>Lechia Gdańsk</v>
      </c>
      <c r="J89" s="1">
        <f>IFERROR(INDEX(F$2:F$500,44),"")</f>
        <v>0</v>
      </c>
      <c r="K89" s="1">
        <f>IFERROR(INDEX(E$2:E$500,44),"")</f>
        <v>4</v>
      </c>
      <c r="L89">
        <f>IF(ISTEXT(I89),COUNTIF(I$2:I89,I89),0)</f>
        <v>5</v>
      </c>
    </row>
    <row r="90" spans="1:12" x14ac:dyDescent="0.25">
      <c r="A90" t="s">
        <v>57</v>
      </c>
      <c r="B90" s="12" t="str">
        <f t="shared" si="31"/>
        <v>17.03.2023</v>
      </c>
      <c r="C90" s="13">
        <v>0.85416666666666663</v>
      </c>
      <c r="D90" s="10" t="s">
        <v>16</v>
      </c>
      <c r="E90" s="10">
        <v>0</v>
      </c>
      <c r="F90" s="10">
        <v>2</v>
      </c>
      <c r="G90" s="11" t="s">
        <v>9</v>
      </c>
      <c r="I90" s="1" t="str">
        <f>IFERROR(INDEX(D$2:D$500,45),"")</f>
        <v>Legia Warszawa</v>
      </c>
      <c r="J90" s="1">
        <f>IFERROR(INDEX(E$2:E$500,45),"")</f>
        <v>2</v>
      </c>
      <c r="K90" s="1">
        <f>IFERROR(INDEX(F$2:F$500,45),"")</f>
        <v>0</v>
      </c>
      <c r="L90">
        <f>IF(ISTEXT(I90),COUNTIF(I$2:I90,I90),0)</f>
        <v>5</v>
      </c>
    </row>
    <row r="91" spans="1:12" x14ac:dyDescent="0.25">
      <c r="A91" t="s">
        <v>57</v>
      </c>
      <c r="B91" s="12" t="str">
        <f t="shared" si="31"/>
        <v>17.03.2023</v>
      </c>
      <c r="C91" s="13">
        <v>0.75</v>
      </c>
      <c r="D91" s="10" t="s">
        <v>12</v>
      </c>
      <c r="E91" s="10">
        <v>3</v>
      </c>
      <c r="F91" s="10">
        <v>2</v>
      </c>
      <c r="G91" s="11" t="s">
        <v>6</v>
      </c>
      <c r="I91" s="1" t="str">
        <f>IFERROR(INDEX(G$2:G$500,45),"")</f>
        <v>Wisła Płock</v>
      </c>
      <c r="J91" s="1">
        <f>IFERROR(INDEX(F$2:F$500,45),"")</f>
        <v>0</v>
      </c>
      <c r="K91" s="1">
        <f>IFERROR(INDEX(E$2:E$500,45),"")</f>
        <v>2</v>
      </c>
      <c r="L91">
        <f>IF(ISTEXT(I91),COUNTIF(I$2:I91,I91),0)</f>
        <v>5</v>
      </c>
    </row>
    <row r="92" spans="1:12" x14ac:dyDescent="0.25">
      <c r="A92" t="s">
        <v>58</v>
      </c>
      <c r="B92" s="12" t="str">
        <f t="shared" si="31"/>
        <v>13.03.2023</v>
      </c>
      <c r="C92" s="13">
        <v>0.79166666666666663</v>
      </c>
      <c r="D92" s="10" t="s">
        <v>6</v>
      </c>
      <c r="E92" s="10">
        <v>1</v>
      </c>
      <c r="F92" s="10">
        <v>1</v>
      </c>
      <c r="G92" s="11" t="s">
        <v>21</v>
      </c>
      <c r="I92" s="1" t="str">
        <f>IFERROR(INDEX(D$2:D$500,46),"")</f>
        <v>Radomiak Radom</v>
      </c>
      <c r="J92" s="1">
        <f>IFERROR(INDEX(E$2:E$500,46),"")</f>
        <v>1</v>
      </c>
      <c r="K92" s="1">
        <f>IFERROR(INDEX(F$2:F$500,46),"")</f>
        <v>1</v>
      </c>
      <c r="L92">
        <f>IF(ISTEXT(I92),COUNTIF(I$2:I92,I92),0)</f>
        <v>6</v>
      </c>
    </row>
    <row r="93" spans="1:12" x14ac:dyDescent="0.25">
      <c r="A93" t="s">
        <v>59</v>
      </c>
      <c r="B93" s="12" t="str">
        <f t="shared" si="31"/>
        <v>12.03.2023</v>
      </c>
      <c r="C93" s="13">
        <v>0.72916666666666663</v>
      </c>
      <c r="D93" s="10" t="s">
        <v>9</v>
      </c>
      <c r="E93" s="10">
        <v>2</v>
      </c>
      <c r="F93" s="10">
        <v>0</v>
      </c>
      <c r="G93" s="11" t="s">
        <v>19</v>
      </c>
      <c r="I93" s="1" t="str">
        <f>IFERROR(INDEX(G$2:G$500,46),"")</f>
        <v>Lech Poznań</v>
      </c>
      <c r="J93" s="1">
        <f>IFERROR(INDEX(F$2:F$500,46),"")</f>
        <v>1</v>
      </c>
      <c r="K93" s="1">
        <f>IFERROR(INDEX(E$2:E$500,46),"")</f>
        <v>1</v>
      </c>
      <c r="L93">
        <f>IF(ISTEXT(I93),COUNTIF(I$2:I93,I93),0)</f>
        <v>6</v>
      </c>
    </row>
    <row r="94" spans="1:12" x14ac:dyDescent="0.25">
      <c r="A94" t="s">
        <v>59</v>
      </c>
      <c r="B94" s="12" t="str">
        <f t="shared" si="31"/>
        <v>12.03.2023</v>
      </c>
      <c r="C94" s="13">
        <v>0.625</v>
      </c>
      <c r="D94" s="10" t="s">
        <v>13</v>
      </c>
      <c r="E94" s="10">
        <v>1</v>
      </c>
      <c r="F94" s="10">
        <v>1</v>
      </c>
      <c r="G94" s="11" t="s">
        <v>7</v>
      </c>
      <c r="I94" s="1" t="str">
        <f>IFERROR(INDEX(D$2:D$500,47),"")</f>
        <v>Górnik Zabrze</v>
      </c>
      <c r="J94" s="1">
        <f>IFERROR(INDEX(E$2:E$500,47),"")</f>
        <v>2</v>
      </c>
      <c r="K94" s="1">
        <f>IFERROR(INDEX(F$2:F$500,47),"")</f>
        <v>0</v>
      </c>
      <c r="L94">
        <f>IF(ISTEXT(I94),COUNTIF(I$2:I94,I94),0)</f>
        <v>6</v>
      </c>
    </row>
    <row r="95" spans="1:12" x14ac:dyDescent="0.25">
      <c r="A95" t="s">
        <v>59</v>
      </c>
      <c r="B95" s="12" t="str">
        <f t="shared" si="31"/>
        <v>12.03.2023</v>
      </c>
      <c r="C95" s="13">
        <v>0.52083333333333337</v>
      </c>
      <c r="D95" s="10" t="s">
        <v>20</v>
      </c>
      <c r="E95" s="10">
        <v>0</v>
      </c>
      <c r="F95" s="10">
        <v>0</v>
      </c>
      <c r="G95" s="11" t="s">
        <v>5</v>
      </c>
      <c r="I95" s="1" t="str">
        <f>IFERROR(INDEX(G$2:G$500,47),"")</f>
        <v>Śląsk Wrocław</v>
      </c>
      <c r="J95" s="1">
        <f>IFERROR(INDEX(F$2:F$500,47),"")</f>
        <v>0</v>
      </c>
      <c r="K95" s="1">
        <f>IFERROR(INDEX(E$2:E$500,47),"")</f>
        <v>2</v>
      </c>
      <c r="L95">
        <f>IF(ISTEXT(I95),COUNTIF(I$2:I95,I95),0)</f>
        <v>6</v>
      </c>
    </row>
    <row r="96" spans="1:12" x14ac:dyDescent="0.25">
      <c r="A96" t="s">
        <v>60</v>
      </c>
      <c r="B96" s="12" t="str">
        <f t="shared" si="31"/>
        <v>11.03.2023</v>
      </c>
      <c r="C96" s="13">
        <v>0.83333333333333337</v>
      </c>
      <c r="D96" s="10" t="s">
        <v>8</v>
      </c>
      <c r="E96" s="10">
        <v>2</v>
      </c>
      <c r="F96" s="10">
        <v>1</v>
      </c>
      <c r="G96" s="11" t="s">
        <v>12</v>
      </c>
      <c r="I96" s="1" t="str">
        <f>IFERROR(INDEX(D$2:D$500,48),"")</f>
        <v>Widzew Łódź</v>
      </c>
      <c r="J96" s="1">
        <f>IFERROR(INDEX(E$2:E$500,48),"")</f>
        <v>2</v>
      </c>
      <c r="K96" s="1">
        <f>IFERROR(INDEX(F$2:F$500,48),"")</f>
        <v>3</v>
      </c>
      <c r="L96">
        <f>IF(ISTEXT(I96),COUNTIF(I$2:I96,I96),0)</f>
        <v>6</v>
      </c>
    </row>
    <row r="97" spans="1:12" x14ac:dyDescent="0.25">
      <c r="A97" t="s">
        <v>60</v>
      </c>
      <c r="B97" s="12" t="str">
        <f t="shared" si="31"/>
        <v>11.03.2023</v>
      </c>
      <c r="C97" s="13">
        <v>0.72916666666666663</v>
      </c>
      <c r="D97" s="10" t="s">
        <v>18</v>
      </c>
      <c r="E97" s="10">
        <v>0</v>
      </c>
      <c r="F97" s="10">
        <v>1</v>
      </c>
      <c r="G97" s="11" t="s">
        <v>15</v>
      </c>
      <c r="I97" s="1" t="str">
        <f>IFERROR(INDEX(G$2:G$500,48),"")</f>
        <v>Piast Gliwice</v>
      </c>
      <c r="J97" s="1">
        <f>IFERROR(INDEX(F$2:F$500,48),"")</f>
        <v>3</v>
      </c>
      <c r="K97" s="1">
        <f>IFERROR(INDEX(E$2:E$500,48),"")</f>
        <v>2</v>
      </c>
      <c r="L97">
        <f>IF(ISTEXT(I97),COUNTIF(I$2:I97,I97),0)</f>
        <v>6</v>
      </c>
    </row>
    <row r="98" spans="1:12" x14ac:dyDescent="0.25">
      <c r="A98" t="s">
        <v>60</v>
      </c>
      <c r="B98" s="12" t="str">
        <f t="shared" ref="B98:B129" si="32">A98&amp;2023</f>
        <v>11.03.2023</v>
      </c>
      <c r="C98" s="13">
        <v>0.625</v>
      </c>
      <c r="D98" s="10" t="s">
        <v>22</v>
      </c>
      <c r="E98" s="10">
        <v>2</v>
      </c>
      <c r="F98" s="10">
        <v>1</v>
      </c>
      <c r="G98" s="11" t="s">
        <v>16</v>
      </c>
      <c r="I98" s="1" t="str">
        <f>IFERROR(INDEX(D$2:D$500,49),"")</f>
        <v>Korona Kielce</v>
      </c>
      <c r="J98" s="1">
        <f>IFERROR(INDEX(E$2:E$500,49),"")</f>
        <v>2</v>
      </c>
      <c r="K98" s="1">
        <f>IFERROR(INDEX(F$2:F$500,49),"")</f>
        <v>2</v>
      </c>
      <c r="L98">
        <f>IF(ISTEXT(I98),COUNTIF(I$2:I98,I98),0)</f>
        <v>6</v>
      </c>
    </row>
    <row r="99" spans="1:12" x14ac:dyDescent="0.25">
      <c r="A99" t="s">
        <v>61</v>
      </c>
      <c r="B99" s="12" t="str">
        <f t="shared" si="32"/>
        <v>10.03.2023</v>
      </c>
      <c r="C99" s="13">
        <v>0.85416666666666663</v>
      </c>
      <c r="D99" s="10" t="s">
        <v>17</v>
      </c>
      <c r="E99" s="10">
        <v>4</v>
      </c>
      <c r="F99" s="10">
        <v>1</v>
      </c>
      <c r="G99" s="11" t="s">
        <v>10</v>
      </c>
      <c r="I99" s="1" t="str">
        <f>IFERROR(INDEX(G$2:G$500,49),"")</f>
        <v>Zagłębie Lubin</v>
      </c>
      <c r="J99" s="1">
        <f>IFERROR(INDEX(F$2:F$500,49),"")</f>
        <v>2</v>
      </c>
      <c r="K99" s="1">
        <f>IFERROR(INDEX(E$2:E$500,49),"")</f>
        <v>2</v>
      </c>
      <c r="L99">
        <f>IF(ISTEXT(I99),COUNTIF(I$2:I99,I99),0)</f>
        <v>6</v>
      </c>
    </row>
    <row r="100" spans="1:12" x14ac:dyDescent="0.25">
      <c r="A100" t="s">
        <v>61</v>
      </c>
      <c r="B100" s="12" t="str">
        <f t="shared" si="32"/>
        <v>10.03.2023</v>
      </c>
      <c r="C100" s="13">
        <v>0.75</v>
      </c>
      <c r="D100" s="10" t="s">
        <v>14</v>
      </c>
      <c r="E100" s="10">
        <v>4</v>
      </c>
      <c r="F100" s="10">
        <v>0</v>
      </c>
      <c r="G100" s="11" t="s">
        <v>11</v>
      </c>
      <c r="I100" s="1" t="str">
        <f>IFERROR(INDEX(D$2:D$500,50),"")</f>
        <v>Pogoń Szczecin</v>
      </c>
      <c r="J100" s="1">
        <f>IFERROR(INDEX(E$2:E$500,50),"")</f>
        <v>4</v>
      </c>
      <c r="K100" s="1">
        <f>IFERROR(INDEX(F$2:F$500,50),"")</f>
        <v>2</v>
      </c>
      <c r="L100">
        <f>IF(ISTEXT(I100),COUNTIF(I$2:I100,I100),0)</f>
        <v>6</v>
      </c>
    </row>
    <row r="101" spans="1:12" x14ac:dyDescent="0.25">
      <c r="A101" t="s">
        <v>62</v>
      </c>
      <c r="B101" s="12" t="str">
        <f t="shared" si="32"/>
        <v>08.03.2023</v>
      </c>
      <c r="C101" s="13">
        <v>0.78125</v>
      </c>
      <c r="D101" s="10" t="s">
        <v>6</v>
      </c>
      <c r="E101" s="10">
        <v>1</v>
      </c>
      <c r="F101" s="10">
        <v>0</v>
      </c>
      <c r="G101" s="11" t="s">
        <v>20</v>
      </c>
      <c r="I101" s="1" t="str">
        <f>IFERROR(INDEX(G$2:G$500,50),"")</f>
        <v>Stal Mielec</v>
      </c>
      <c r="J101" s="1">
        <f>IFERROR(INDEX(F$2:F$500,50),"")</f>
        <v>2</v>
      </c>
      <c r="K101" s="1">
        <f>IFERROR(INDEX(E$2:E$500,50),"")</f>
        <v>4</v>
      </c>
      <c r="L101">
        <f>IF(ISTEXT(I101),COUNTIF(I$2:I101,I101),0)</f>
        <v>6</v>
      </c>
    </row>
    <row r="102" spans="1:12" x14ac:dyDescent="0.25">
      <c r="A102" t="s">
        <v>63</v>
      </c>
      <c r="B102" s="12" t="str">
        <f t="shared" si="32"/>
        <v>06.03.2023</v>
      </c>
      <c r="C102" s="13">
        <v>0.79166666666666663</v>
      </c>
      <c r="D102" s="10" t="s">
        <v>16</v>
      </c>
      <c r="E102" s="10">
        <v>0</v>
      </c>
      <c r="F102" s="10">
        <v>1</v>
      </c>
      <c r="G102" s="11" t="s">
        <v>18</v>
      </c>
      <c r="I102" s="1" t="str">
        <f>IFERROR(INDEX(D$2:D$500,51),"")</f>
        <v>Miedź Legnica</v>
      </c>
      <c r="J102" s="1">
        <f>IFERROR(INDEX(E$2:E$500,51),"")</f>
        <v>0</v>
      </c>
      <c r="K102" s="1">
        <f>IFERROR(INDEX(F$2:F$500,51),"")</f>
        <v>2</v>
      </c>
      <c r="L102">
        <f>IF(ISTEXT(I102),COUNTIF(I$2:I102,I102),0)</f>
        <v>6</v>
      </c>
    </row>
    <row r="103" spans="1:12" x14ac:dyDescent="0.25">
      <c r="A103" t="s">
        <v>64</v>
      </c>
      <c r="B103" s="12" t="str">
        <f t="shared" si="32"/>
        <v>05.03.2023</v>
      </c>
      <c r="C103" s="13">
        <v>0.72916666666666663</v>
      </c>
      <c r="D103" s="10" t="s">
        <v>5</v>
      </c>
      <c r="E103" s="10">
        <v>1</v>
      </c>
      <c r="F103" s="10">
        <v>1</v>
      </c>
      <c r="G103" s="11" t="s">
        <v>10</v>
      </c>
      <c r="I103" s="1" t="str">
        <f>IFERROR(INDEX(G$2:G$500,51),"")</f>
        <v>Raków Częstochowa</v>
      </c>
      <c r="J103" s="1">
        <f>IFERROR(INDEX(F$2:F$500,51),"")</f>
        <v>2</v>
      </c>
      <c r="K103" s="1">
        <f>IFERROR(INDEX(E$2:E$500,51),"")</f>
        <v>0</v>
      </c>
      <c r="L103">
        <f>IF(ISTEXT(I103),COUNTIF(I$2:I103,I103),0)</f>
        <v>6</v>
      </c>
    </row>
    <row r="104" spans="1:12" x14ac:dyDescent="0.25">
      <c r="A104" t="s">
        <v>64</v>
      </c>
      <c r="B104" s="12" t="str">
        <f t="shared" si="32"/>
        <v>05.03.2023</v>
      </c>
      <c r="C104" s="13">
        <v>0.625</v>
      </c>
      <c r="D104" s="10" t="s">
        <v>15</v>
      </c>
      <c r="E104" s="10">
        <v>0</v>
      </c>
      <c r="F104" s="10">
        <v>2</v>
      </c>
      <c r="G104" s="11" t="s">
        <v>17</v>
      </c>
      <c r="I104" s="1" t="str">
        <f>IFERROR(INDEX(D$2:D$500,52),"")</f>
        <v>Lechia Gdańsk</v>
      </c>
      <c r="J104" s="1">
        <f>IFERROR(INDEX(E$2:E$500,52),"")</f>
        <v>1</v>
      </c>
      <c r="K104" s="1">
        <f>IFERROR(INDEX(F$2:F$500,52),"")</f>
        <v>2</v>
      </c>
      <c r="L104">
        <f>IF(ISTEXT(I104),COUNTIF(I$2:I104,I104),0)</f>
        <v>6</v>
      </c>
    </row>
    <row r="105" spans="1:12" x14ac:dyDescent="0.25">
      <c r="A105" t="s">
        <v>64</v>
      </c>
      <c r="B105" s="12" t="str">
        <f t="shared" si="32"/>
        <v>05.03.2023</v>
      </c>
      <c r="C105" s="13">
        <v>0.52083333333333337</v>
      </c>
      <c r="D105" s="10" t="s">
        <v>11</v>
      </c>
      <c r="E105" s="10">
        <v>1</v>
      </c>
      <c r="F105" s="10">
        <v>1</v>
      </c>
      <c r="G105" s="11" t="s">
        <v>8</v>
      </c>
      <c r="I105" s="1" t="str">
        <f>IFERROR(INDEX(G$2:G$500,52),"")</f>
        <v>Cracovia</v>
      </c>
      <c r="J105" s="1">
        <f>IFERROR(INDEX(F$2:F$500,52),"")</f>
        <v>2</v>
      </c>
      <c r="K105" s="1">
        <f>IFERROR(INDEX(E$2:E$500,52),"")</f>
        <v>1</v>
      </c>
      <c r="L105">
        <f>IF(ISTEXT(I105),COUNTIF(I$2:I105,I105),0)</f>
        <v>6</v>
      </c>
    </row>
    <row r="106" spans="1:12" x14ac:dyDescent="0.25">
      <c r="A106" t="s">
        <v>65</v>
      </c>
      <c r="B106" s="12" t="str">
        <f t="shared" si="32"/>
        <v>04.03.2023</v>
      </c>
      <c r="C106" s="13">
        <v>0.83333333333333337</v>
      </c>
      <c r="D106" s="10" t="s">
        <v>12</v>
      </c>
      <c r="E106" s="10">
        <v>0</v>
      </c>
      <c r="F106" s="10">
        <v>1</v>
      </c>
      <c r="G106" s="11" t="s">
        <v>9</v>
      </c>
      <c r="I106" s="1" t="str">
        <f>IFERROR(INDEX(D$2:D$500,53),"")</f>
        <v>Warta Poznań</v>
      </c>
      <c r="J106" s="1">
        <f>IFERROR(INDEX(E$2:E$500,53),"")</f>
        <v>1</v>
      </c>
      <c r="K106" s="1">
        <f>IFERROR(INDEX(F$2:F$500,53),"")</f>
        <v>0</v>
      </c>
      <c r="L106">
        <f>IF(ISTEXT(I106),COUNTIF(I$2:I106,I106),0)</f>
        <v>6</v>
      </c>
    </row>
    <row r="107" spans="1:12" x14ac:dyDescent="0.25">
      <c r="A107" t="s">
        <v>65</v>
      </c>
      <c r="B107" s="12" t="str">
        <f t="shared" si="32"/>
        <v>04.03.2023</v>
      </c>
      <c r="C107" s="13">
        <v>0.72916666666666663</v>
      </c>
      <c r="D107" s="10" t="s">
        <v>22</v>
      </c>
      <c r="E107" s="10">
        <v>1</v>
      </c>
      <c r="F107" s="10">
        <v>0</v>
      </c>
      <c r="G107" s="11" t="s">
        <v>6</v>
      </c>
      <c r="I107" s="1" t="str">
        <f>IFERROR(INDEX(G$2:G$500,53),"")</f>
        <v>Legia Warszawa</v>
      </c>
      <c r="J107" s="1">
        <f>IFERROR(INDEX(F$2:F$500,53),"")</f>
        <v>0</v>
      </c>
      <c r="K107" s="1">
        <f>IFERROR(INDEX(E$2:E$500,53),"")</f>
        <v>1</v>
      </c>
      <c r="L107">
        <f>IF(ISTEXT(I107),COUNTIF(I$2:I107,I107),0)</f>
        <v>6</v>
      </c>
    </row>
    <row r="108" spans="1:12" x14ac:dyDescent="0.25">
      <c r="A108" t="s">
        <v>65</v>
      </c>
      <c r="B108" s="12" t="str">
        <f t="shared" si="32"/>
        <v>04.03.2023</v>
      </c>
      <c r="C108" s="13">
        <v>0.625</v>
      </c>
      <c r="D108" s="10" t="s">
        <v>21</v>
      </c>
      <c r="E108" s="10">
        <v>0</v>
      </c>
      <c r="F108" s="10">
        <v>2</v>
      </c>
      <c r="G108" s="11" t="s">
        <v>20</v>
      </c>
      <c r="I108" s="1" t="str">
        <f>IFERROR(INDEX(D$2:D$500,54),"")</f>
        <v>Wisła Płock</v>
      </c>
      <c r="J108" s="1">
        <f>IFERROR(INDEX(E$2:E$500,54),"")</f>
        <v>2</v>
      </c>
      <c r="K108" s="1">
        <f>IFERROR(INDEX(F$2:F$500,54),"")</f>
        <v>4</v>
      </c>
      <c r="L108">
        <f>IF(ISTEXT(I108),COUNTIF(I$2:I108,I108),0)</f>
        <v>6</v>
      </c>
    </row>
    <row r="109" spans="1:12" x14ac:dyDescent="0.25">
      <c r="A109" t="s">
        <v>66</v>
      </c>
      <c r="B109" s="12" t="str">
        <f t="shared" si="32"/>
        <v>03.03.2023</v>
      </c>
      <c r="C109" s="13">
        <v>0.85416666666666663</v>
      </c>
      <c r="D109" s="10" t="s">
        <v>7</v>
      </c>
      <c r="E109" s="10">
        <v>5</v>
      </c>
      <c r="F109" s="10">
        <v>0</v>
      </c>
      <c r="G109" s="11" t="s">
        <v>14</v>
      </c>
      <c r="I109" s="1" t="str">
        <f>IFERROR(INDEX(G$2:G$500,54),"")</f>
        <v>Jagiellonia Białystok</v>
      </c>
      <c r="J109" s="1">
        <f>IFERROR(INDEX(F$2:F$500,54),"")</f>
        <v>4</v>
      </c>
      <c r="K109" s="1">
        <f>IFERROR(INDEX(E$2:E$500,54),"")</f>
        <v>2</v>
      </c>
      <c r="L109">
        <f>IF(ISTEXT(I109),COUNTIF(I$2:I109,I109),0)</f>
        <v>6</v>
      </c>
    </row>
    <row r="110" spans="1:12" x14ac:dyDescent="0.25">
      <c r="A110" t="s">
        <v>66</v>
      </c>
      <c r="B110" s="12" t="str">
        <f t="shared" si="32"/>
        <v>03.03.2023</v>
      </c>
      <c r="C110" s="13">
        <v>0.75</v>
      </c>
      <c r="D110" s="10" t="s">
        <v>19</v>
      </c>
      <c r="E110" s="10">
        <v>0</v>
      </c>
      <c r="F110" s="10">
        <v>2</v>
      </c>
      <c r="G110" s="11" t="s">
        <v>13</v>
      </c>
      <c r="I110" s="1" t="str">
        <f>IFERROR(INDEX(D$2:D$500,55),"")</f>
        <v>Stal Mielec</v>
      </c>
      <c r="J110" s="1">
        <f>IFERROR(INDEX(E$2:E$500,55),"")</f>
        <v>1</v>
      </c>
      <c r="K110" s="1">
        <f>IFERROR(INDEX(F$2:F$500,55),"")</f>
        <v>1</v>
      </c>
      <c r="L110">
        <f>IF(ISTEXT(I110),COUNTIF(I$2:I110,I110),0)</f>
        <v>7</v>
      </c>
    </row>
    <row r="111" spans="1:12" x14ac:dyDescent="0.25">
      <c r="A111" t="s">
        <v>67</v>
      </c>
      <c r="B111" s="12" t="str">
        <f t="shared" si="32"/>
        <v>27.02.2023</v>
      </c>
      <c r="C111" s="13">
        <v>0.79166666666666663</v>
      </c>
      <c r="D111" s="10" t="s">
        <v>18</v>
      </c>
      <c r="E111" s="10">
        <v>2</v>
      </c>
      <c r="F111" s="10">
        <v>1</v>
      </c>
      <c r="G111" s="11" t="s">
        <v>11</v>
      </c>
      <c r="I111" s="1" t="str">
        <f>IFERROR(INDEX(G$2:G$500,55),"")</f>
        <v>Miedź Legnica</v>
      </c>
      <c r="J111" s="1">
        <f>IFERROR(INDEX(F$2:F$500,55),"")</f>
        <v>1</v>
      </c>
      <c r="K111" s="1">
        <f>IFERROR(INDEX(E$2:E$500,55),"")</f>
        <v>1</v>
      </c>
      <c r="L111">
        <f>IF(ISTEXT(I111),COUNTIF(I$2:I111,I111),0)</f>
        <v>7</v>
      </c>
    </row>
    <row r="112" spans="1:12" x14ac:dyDescent="0.25">
      <c r="A112" t="s">
        <v>68</v>
      </c>
      <c r="B112" s="12" t="str">
        <f t="shared" si="32"/>
        <v>26.02.2023</v>
      </c>
      <c r="C112" s="13">
        <v>0.72916666666666663</v>
      </c>
      <c r="D112" s="10" t="s">
        <v>10</v>
      </c>
      <c r="E112" s="10">
        <v>2</v>
      </c>
      <c r="F112" s="10">
        <v>1</v>
      </c>
      <c r="G112" s="11" t="s">
        <v>7</v>
      </c>
      <c r="I112" s="1" t="str">
        <f>IFERROR(INDEX(D$2:D$500,56),"")</f>
        <v>Legia Warszawa</v>
      </c>
      <c r="J112" s="1">
        <f>IFERROR(INDEX(E$2:E$500,56),"")</f>
        <v>2</v>
      </c>
      <c r="K112" s="1">
        <f>IFERROR(INDEX(F$2:F$500,56),"")</f>
        <v>2</v>
      </c>
      <c r="L112">
        <f>IF(ISTEXT(I112),COUNTIF(I$2:I112,I112),0)</f>
        <v>7</v>
      </c>
    </row>
    <row r="113" spans="1:12" x14ac:dyDescent="0.25">
      <c r="A113" t="s">
        <v>68</v>
      </c>
      <c r="B113" s="12" t="str">
        <f t="shared" si="32"/>
        <v>26.02.2023</v>
      </c>
      <c r="C113" s="13">
        <v>0.625</v>
      </c>
      <c r="D113" s="10" t="s">
        <v>6</v>
      </c>
      <c r="E113" s="10">
        <v>0</v>
      </c>
      <c r="F113" s="10">
        <v>1</v>
      </c>
      <c r="G113" s="11" t="s">
        <v>15</v>
      </c>
      <c r="I113" s="1" t="str">
        <f>IFERROR(INDEX(G$2:G$500,56),"")</f>
        <v>Lech Poznań</v>
      </c>
      <c r="J113" s="1">
        <f>IFERROR(INDEX(F$2:F$500,56),"")</f>
        <v>2</v>
      </c>
      <c r="K113" s="1">
        <f>IFERROR(INDEX(E$2:E$500,56),"")</f>
        <v>2</v>
      </c>
      <c r="L113">
        <f>IF(ISTEXT(I113),COUNTIF(I$2:I113,I113),0)</f>
        <v>7</v>
      </c>
    </row>
    <row r="114" spans="1:12" x14ac:dyDescent="0.25">
      <c r="A114" t="s">
        <v>68</v>
      </c>
      <c r="B114" s="12" t="str">
        <f t="shared" si="32"/>
        <v>26.02.2023</v>
      </c>
      <c r="C114" s="13">
        <v>0.52083333333333337</v>
      </c>
      <c r="D114" s="10" t="s">
        <v>19</v>
      </c>
      <c r="E114" s="10">
        <v>0</v>
      </c>
      <c r="F114" s="10">
        <v>1</v>
      </c>
      <c r="G114" s="11" t="s">
        <v>12</v>
      </c>
      <c r="I114" s="1" t="str">
        <f>IFERROR(INDEX(D$2:D$500,57),"")</f>
        <v>Raków Częstochowa</v>
      </c>
      <c r="J114" s="1">
        <f>IFERROR(INDEX(E$2:E$500,57),"")</f>
        <v>2</v>
      </c>
      <c r="K114" s="1">
        <f>IFERROR(INDEX(F$2:F$500,57),"")</f>
        <v>0</v>
      </c>
      <c r="L114">
        <f>IF(ISTEXT(I114),COUNTIF(I$2:I114,I114),0)</f>
        <v>7</v>
      </c>
    </row>
    <row r="115" spans="1:12" x14ac:dyDescent="0.25">
      <c r="A115" t="s">
        <v>69</v>
      </c>
      <c r="B115" s="12" t="str">
        <f t="shared" si="32"/>
        <v>25.02.2023</v>
      </c>
      <c r="C115" s="13">
        <v>0.83333333333333337</v>
      </c>
      <c r="D115" s="10" t="s">
        <v>14</v>
      </c>
      <c r="E115" s="10">
        <v>1</v>
      </c>
      <c r="F115" s="10">
        <v>3</v>
      </c>
      <c r="G115" s="11" t="s">
        <v>16</v>
      </c>
      <c r="I115" s="1" t="str">
        <f>IFERROR(INDEX(G$2:G$500,57),"")</f>
        <v>Widzew Łódź</v>
      </c>
      <c r="J115" s="1">
        <f>IFERROR(INDEX(F$2:F$500,57),"")</f>
        <v>0</v>
      </c>
      <c r="K115" s="1">
        <f>IFERROR(INDEX(E$2:E$500,57),"")</f>
        <v>2</v>
      </c>
      <c r="L115">
        <f>IF(ISTEXT(I115),COUNTIF(I$2:I115,I115),0)</f>
        <v>7</v>
      </c>
    </row>
    <row r="116" spans="1:12" x14ac:dyDescent="0.25">
      <c r="A116" t="s">
        <v>69</v>
      </c>
      <c r="B116" s="12" t="str">
        <f t="shared" si="32"/>
        <v>25.02.2023</v>
      </c>
      <c r="C116" s="13">
        <v>0.72916666666666663</v>
      </c>
      <c r="D116" s="10" t="s">
        <v>20</v>
      </c>
      <c r="E116" s="10">
        <v>5</v>
      </c>
      <c r="F116" s="10">
        <v>1</v>
      </c>
      <c r="G116" s="11" t="s">
        <v>22</v>
      </c>
      <c r="I116" s="1" t="str">
        <f>IFERROR(INDEX(D$2:D$500,58),"")</f>
        <v>Piast Gliwice</v>
      </c>
      <c r="J116" s="1">
        <f>IFERROR(INDEX(E$2:E$500,58),"")</f>
        <v>1</v>
      </c>
      <c r="K116" s="1">
        <f>IFERROR(INDEX(F$2:F$500,58),"")</f>
        <v>0</v>
      </c>
      <c r="L116">
        <f>IF(ISTEXT(I116),COUNTIF(I$2:I116,I116),0)</f>
        <v>7</v>
      </c>
    </row>
    <row r="117" spans="1:12" x14ac:dyDescent="0.25">
      <c r="A117" t="s">
        <v>69</v>
      </c>
      <c r="B117" s="12" t="str">
        <f t="shared" si="32"/>
        <v>25.02.2023</v>
      </c>
      <c r="C117" s="13">
        <v>0.625</v>
      </c>
      <c r="D117" s="10" t="s">
        <v>13</v>
      </c>
      <c r="E117" s="10">
        <v>2</v>
      </c>
      <c r="F117" s="10">
        <v>1</v>
      </c>
      <c r="G117" s="11" t="s">
        <v>5</v>
      </c>
      <c r="I117" s="1" t="str">
        <f>IFERROR(INDEX(G$2:G$500,58),"")</f>
        <v>Wisła Płock</v>
      </c>
      <c r="J117" s="1">
        <f>IFERROR(INDEX(F$2:F$500,58),"")</f>
        <v>0</v>
      </c>
      <c r="K117" s="1">
        <f>IFERROR(INDEX(E$2:E$500,58),"")</f>
        <v>1</v>
      </c>
      <c r="L117">
        <f>IF(ISTEXT(I117),COUNTIF(I$2:I117,I117),0)</f>
        <v>7</v>
      </c>
    </row>
    <row r="118" spans="1:12" x14ac:dyDescent="0.25">
      <c r="A118" t="s">
        <v>70</v>
      </c>
      <c r="B118" s="12" t="str">
        <f t="shared" si="32"/>
        <v>24.02.2023</v>
      </c>
      <c r="C118" s="13">
        <v>0.85416666666666663</v>
      </c>
      <c r="D118" s="10" t="s">
        <v>9</v>
      </c>
      <c r="E118" s="10">
        <v>2</v>
      </c>
      <c r="F118" s="10">
        <v>2</v>
      </c>
      <c r="G118" s="11" t="s">
        <v>21</v>
      </c>
      <c r="I118" s="1" t="str">
        <f>IFERROR(INDEX(D$2:D$500,59),"")</f>
        <v>Lechia Gdańsk</v>
      </c>
      <c r="J118" s="1">
        <f>IFERROR(INDEX(E$2:E$500,59),"")</f>
        <v>0</v>
      </c>
      <c r="K118" s="1">
        <f>IFERROR(INDEX(F$2:F$500,59),"")</f>
        <v>1</v>
      </c>
      <c r="L118">
        <f>IF(ISTEXT(I118),COUNTIF(I$2:I118,I118),0)</f>
        <v>7</v>
      </c>
    </row>
    <row r="119" spans="1:12" x14ac:dyDescent="0.25">
      <c r="A119" t="s">
        <v>70</v>
      </c>
      <c r="B119" s="12" t="str">
        <f t="shared" si="32"/>
        <v>24.02.2023</v>
      </c>
      <c r="C119" s="13">
        <v>0.75</v>
      </c>
      <c r="D119" s="10" t="s">
        <v>8</v>
      </c>
      <c r="E119" s="10">
        <v>1</v>
      </c>
      <c r="F119" s="10">
        <v>2</v>
      </c>
      <c r="G119" s="11" t="s">
        <v>17</v>
      </c>
      <c r="I119" s="1" t="str">
        <f>IFERROR(INDEX(G$2:G$500,59),"")</f>
        <v>Pogoń Szczecin</v>
      </c>
      <c r="J119" s="1">
        <f>IFERROR(INDEX(F$2:F$500,59),"")</f>
        <v>1</v>
      </c>
      <c r="K119" s="1">
        <f>IFERROR(INDEX(E$2:E$500,59),"")</f>
        <v>0</v>
      </c>
      <c r="L119">
        <f>IF(ISTEXT(I119),COUNTIF(I$2:I119,I119),0)</f>
        <v>7</v>
      </c>
    </row>
    <row r="120" spans="1:12" x14ac:dyDescent="0.25">
      <c r="A120" t="s">
        <v>71</v>
      </c>
      <c r="B120" s="12" t="str">
        <f t="shared" si="32"/>
        <v>20.02.2023</v>
      </c>
      <c r="C120" s="13">
        <v>0.79166666666666663</v>
      </c>
      <c r="D120" s="10" t="s">
        <v>16</v>
      </c>
      <c r="E120" s="10">
        <v>0</v>
      </c>
      <c r="F120" s="10">
        <v>0</v>
      </c>
      <c r="G120" s="11" t="s">
        <v>8</v>
      </c>
      <c r="I120" s="1" t="str">
        <f>IFERROR(INDEX(D$2:D$500,60),"")</f>
        <v>Korona Kielce</v>
      </c>
      <c r="J120" s="1">
        <f>IFERROR(INDEX(E$2:E$500,60),"")</f>
        <v>2</v>
      </c>
      <c r="K120" s="1">
        <f>IFERROR(INDEX(F$2:F$500,60),"")</f>
        <v>1</v>
      </c>
      <c r="L120">
        <f>IF(ISTEXT(I120),COUNTIF(I$2:I120,I120),0)</f>
        <v>7</v>
      </c>
    </row>
    <row r="121" spans="1:12" x14ac:dyDescent="0.25">
      <c r="A121" t="s">
        <v>72</v>
      </c>
      <c r="B121" s="12" t="str">
        <f t="shared" si="32"/>
        <v>19.02.2023</v>
      </c>
      <c r="C121" s="13">
        <v>0.72916666666666663</v>
      </c>
      <c r="D121" s="10" t="s">
        <v>13</v>
      </c>
      <c r="E121" s="10">
        <v>0</v>
      </c>
      <c r="F121" s="10">
        <v>1</v>
      </c>
      <c r="G121" s="11" t="s">
        <v>9</v>
      </c>
      <c r="I121" s="1" t="str">
        <f>IFERROR(INDEX(G$2:G$500,60),"")</f>
        <v>Jagiellonia Białystok</v>
      </c>
      <c r="J121" s="1">
        <f>IFERROR(INDEX(F$2:F$500,60),"")</f>
        <v>1</v>
      </c>
      <c r="K121" s="1">
        <f>IFERROR(INDEX(E$2:E$500,60),"")</f>
        <v>2</v>
      </c>
      <c r="L121">
        <f>IF(ISTEXT(I121),COUNTIF(I$2:I121,I121),0)</f>
        <v>7</v>
      </c>
    </row>
    <row r="122" spans="1:12" x14ac:dyDescent="0.25">
      <c r="A122" t="s">
        <v>72</v>
      </c>
      <c r="B122" s="12" t="str">
        <f t="shared" si="32"/>
        <v>19.02.2023</v>
      </c>
      <c r="C122" s="13">
        <v>0.625</v>
      </c>
      <c r="D122" s="10" t="s">
        <v>7</v>
      </c>
      <c r="E122" s="10">
        <v>1</v>
      </c>
      <c r="F122" s="10">
        <v>2</v>
      </c>
      <c r="G122" s="11" t="s">
        <v>18</v>
      </c>
      <c r="I122" s="1" t="str">
        <f>IFERROR(INDEX(D$2:D$500,61),"")</f>
        <v>Cracovia</v>
      </c>
      <c r="J122" s="1">
        <f>IFERROR(INDEX(E$2:E$500,61),"")</f>
        <v>3</v>
      </c>
      <c r="K122" s="1">
        <f>IFERROR(INDEX(F$2:F$500,61),"")</f>
        <v>0</v>
      </c>
      <c r="L122">
        <f>IF(ISTEXT(I122),COUNTIF(I$2:I122,I122),0)</f>
        <v>7</v>
      </c>
    </row>
    <row r="123" spans="1:12" x14ac:dyDescent="0.25">
      <c r="A123" t="s">
        <v>72</v>
      </c>
      <c r="B123" s="12" t="str">
        <f t="shared" si="32"/>
        <v>19.02.2023</v>
      </c>
      <c r="C123" s="13">
        <v>0.52083333333333337</v>
      </c>
      <c r="D123" s="10" t="s">
        <v>11</v>
      </c>
      <c r="E123" s="10">
        <v>2</v>
      </c>
      <c r="F123" s="10">
        <v>1</v>
      </c>
      <c r="G123" s="11" t="s">
        <v>6</v>
      </c>
      <c r="I123" s="1" t="str">
        <f>IFERROR(INDEX(G$2:G$500,61),"")</f>
        <v>Radomiak Radom</v>
      </c>
      <c r="J123" s="1">
        <f>IFERROR(INDEX(F$2:F$500,61),"")</f>
        <v>0</v>
      </c>
      <c r="K123" s="1">
        <f>IFERROR(INDEX(E$2:E$500,61),"")</f>
        <v>3</v>
      </c>
      <c r="L123">
        <f>IF(ISTEXT(I123),COUNTIF(I$2:I123,I123),0)</f>
        <v>7</v>
      </c>
    </row>
    <row r="124" spans="1:12" x14ac:dyDescent="0.25">
      <c r="A124" t="s">
        <v>73</v>
      </c>
      <c r="B124" s="12" t="str">
        <f t="shared" si="32"/>
        <v>18.02.2023</v>
      </c>
      <c r="C124" s="13">
        <v>0.83333333333333337</v>
      </c>
      <c r="D124" s="10" t="s">
        <v>15</v>
      </c>
      <c r="E124" s="10">
        <v>3</v>
      </c>
      <c r="F124" s="10">
        <v>1</v>
      </c>
      <c r="G124" s="11" t="s">
        <v>20</v>
      </c>
      <c r="I124" s="1" t="str">
        <f>IFERROR(INDEX(D$2:D$500,62),"")</f>
        <v>Zagłębie Lubin</v>
      </c>
      <c r="J124" s="1">
        <f>IFERROR(INDEX(E$2:E$500,62),"")</f>
        <v>0</v>
      </c>
      <c r="K124" s="1">
        <f>IFERROR(INDEX(F$2:F$500,62),"")</f>
        <v>2</v>
      </c>
      <c r="L124">
        <f>IF(ISTEXT(I124),COUNTIF(I$2:I124,I124),0)</f>
        <v>7</v>
      </c>
    </row>
    <row r="125" spans="1:12" x14ac:dyDescent="0.25">
      <c r="A125" t="s">
        <v>73</v>
      </c>
      <c r="B125" s="12" t="str">
        <f t="shared" si="32"/>
        <v>18.02.2023</v>
      </c>
      <c r="C125" s="13">
        <v>0.72916666666666663</v>
      </c>
      <c r="D125" s="10" t="s">
        <v>17</v>
      </c>
      <c r="E125" s="10">
        <v>2</v>
      </c>
      <c r="F125" s="10">
        <v>0</v>
      </c>
      <c r="G125" s="11" t="s">
        <v>12</v>
      </c>
      <c r="I125" s="1" t="str">
        <f>IFERROR(INDEX(G$2:G$500,62),"")</f>
        <v>Górnik Zabrze</v>
      </c>
      <c r="J125" s="1">
        <f>IFERROR(INDEX(F$2:F$500,62),"")</f>
        <v>2</v>
      </c>
      <c r="K125" s="1">
        <f>IFERROR(INDEX(E$2:E$500,62),"")</f>
        <v>0</v>
      </c>
      <c r="L125">
        <f>IF(ISTEXT(I125),COUNTIF(I$2:I125,I125),0)</f>
        <v>7</v>
      </c>
    </row>
    <row r="126" spans="1:12" x14ac:dyDescent="0.25">
      <c r="A126" t="s">
        <v>73</v>
      </c>
      <c r="B126" s="12" t="str">
        <f t="shared" si="32"/>
        <v>18.02.2023</v>
      </c>
      <c r="C126" s="13">
        <v>0.625</v>
      </c>
      <c r="D126" s="10" t="s">
        <v>22</v>
      </c>
      <c r="E126" s="10">
        <v>1</v>
      </c>
      <c r="F126" s="10">
        <v>0</v>
      </c>
      <c r="G126" s="11" t="s">
        <v>14</v>
      </c>
      <c r="I126" s="1" t="str">
        <f>IFERROR(INDEX(D$2:D$500,63),"")</f>
        <v>Warta Poznań</v>
      </c>
      <c r="J126" s="1">
        <f>IFERROR(INDEX(E$2:E$500,63),"")</f>
        <v>3</v>
      </c>
      <c r="K126" s="1">
        <f>IFERROR(INDEX(F$2:F$500,63),"")</f>
        <v>1</v>
      </c>
      <c r="L126">
        <f>IF(ISTEXT(I126),COUNTIF(I$2:I126,I126),0)</f>
        <v>7</v>
      </c>
    </row>
    <row r="127" spans="1:12" x14ac:dyDescent="0.25">
      <c r="A127" t="s">
        <v>74</v>
      </c>
      <c r="B127" s="12" t="str">
        <f t="shared" si="32"/>
        <v>17.02.2023</v>
      </c>
      <c r="C127" s="13">
        <v>0.85416666666666663</v>
      </c>
      <c r="D127" s="10" t="s">
        <v>21</v>
      </c>
      <c r="E127" s="10">
        <v>1</v>
      </c>
      <c r="F127" s="10">
        <v>0</v>
      </c>
      <c r="G127" s="11" t="s">
        <v>10</v>
      </c>
      <c r="I127" s="1" t="str">
        <f>IFERROR(INDEX(G$2:G$500,63),"")</f>
        <v>Śląsk Wrocław</v>
      </c>
      <c r="J127" s="1">
        <f>IFERROR(INDEX(F$2:F$500,63),"")</f>
        <v>1</v>
      </c>
      <c r="K127" s="1">
        <f>IFERROR(INDEX(E$2:E$500,63),"")</f>
        <v>3</v>
      </c>
      <c r="L127">
        <f>IF(ISTEXT(I127),COUNTIF(I$2:I127,I127),0)</f>
        <v>7</v>
      </c>
    </row>
    <row r="128" spans="1:12" x14ac:dyDescent="0.25">
      <c r="A128" t="s">
        <v>74</v>
      </c>
      <c r="B128" s="12" t="str">
        <f t="shared" si="32"/>
        <v>17.02.2023</v>
      </c>
      <c r="C128" s="13">
        <v>0.75</v>
      </c>
      <c r="D128" s="10" t="s">
        <v>5</v>
      </c>
      <c r="E128" s="10">
        <v>2</v>
      </c>
      <c r="F128" s="10">
        <v>1</v>
      </c>
      <c r="G128" s="11" t="s">
        <v>19</v>
      </c>
      <c r="I128" s="1" t="str">
        <f>IFERROR(INDEX(D$2:D$500,64),"")</f>
        <v>Miedź Legnica</v>
      </c>
      <c r="J128" s="1">
        <f>IFERROR(INDEX(E$2:E$500,64),"")</f>
        <v>2</v>
      </c>
      <c r="K128" s="1">
        <f>IFERROR(INDEX(F$2:F$500,64),"")</f>
        <v>2</v>
      </c>
      <c r="L128">
        <f>IF(ISTEXT(I128),COUNTIF(I$2:I128,I128),0)</f>
        <v>8</v>
      </c>
    </row>
    <row r="129" spans="1:12" x14ac:dyDescent="0.25">
      <c r="A129" t="s">
        <v>75</v>
      </c>
      <c r="B129" s="12" t="str">
        <f t="shared" si="32"/>
        <v>13.02.2023</v>
      </c>
      <c r="C129" s="13">
        <v>0.79166666666666663</v>
      </c>
      <c r="D129" s="10" t="s">
        <v>20</v>
      </c>
      <c r="E129" s="10">
        <v>1</v>
      </c>
      <c r="F129" s="10">
        <v>1</v>
      </c>
      <c r="G129" s="11" t="s">
        <v>11</v>
      </c>
      <c r="I129" s="1" t="str">
        <f>IFERROR(INDEX(G$2:G$500,64),"")</f>
        <v>Legia Warszawa</v>
      </c>
      <c r="J129" s="1">
        <f>IFERROR(INDEX(F$2:F$500,64),"")</f>
        <v>2</v>
      </c>
      <c r="K129" s="1">
        <f>IFERROR(INDEX(E$2:E$500,64),"")</f>
        <v>2</v>
      </c>
      <c r="L129">
        <f>IF(ISTEXT(I129),COUNTIF(I$2:I129,I129),0)</f>
        <v>8</v>
      </c>
    </row>
    <row r="130" spans="1:12" x14ac:dyDescent="0.25">
      <c r="A130" t="s">
        <v>76</v>
      </c>
      <c r="B130" s="12" t="str">
        <f t="shared" ref="B130:B155" si="33">A130&amp;2023</f>
        <v>12.02.2023</v>
      </c>
      <c r="C130" s="13">
        <v>0.72916666666666663</v>
      </c>
      <c r="D130" s="10" t="s">
        <v>9</v>
      </c>
      <c r="E130" s="10">
        <v>2</v>
      </c>
      <c r="F130" s="10">
        <v>2</v>
      </c>
      <c r="G130" s="11" t="s">
        <v>5</v>
      </c>
      <c r="I130" s="1" t="str">
        <f>IFERROR(INDEX(D$2:D$500,65),"")</f>
        <v>Radomiak Radom</v>
      </c>
      <c r="J130" s="1">
        <f>IFERROR(INDEX(E$2:E$500,65),"")</f>
        <v>0</v>
      </c>
      <c r="K130" s="1">
        <f>IFERROR(INDEX(F$2:F$500,65),"")</f>
        <v>0</v>
      </c>
      <c r="L130">
        <f>IF(ISTEXT(I130),COUNTIF(I$2:I130,I130),0)</f>
        <v>8</v>
      </c>
    </row>
    <row r="131" spans="1:12" x14ac:dyDescent="0.25">
      <c r="A131" t="s">
        <v>76</v>
      </c>
      <c r="B131" s="12" t="str">
        <f t="shared" si="33"/>
        <v>12.02.2023</v>
      </c>
      <c r="C131" s="13">
        <v>0.625</v>
      </c>
      <c r="D131" s="10" t="s">
        <v>12</v>
      </c>
      <c r="E131" s="10">
        <v>0</v>
      </c>
      <c r="F131" s="10">
        <v>0</v>
      </c>
      <c r="G131" s="11" t="s">
        <v>16</v>
      </c>
      <c r="I131" s="1" t="str">
        <f>IFERROR(INDEX(G$2:G$500,65),"")</f>
        <v>Raków Częstochowa</v>
      </c>
      <c r="J131" s="1">
        <f>IFERROR(INDEX(F$2:F$500,65),"")</f>
        <v>0</v>
      </c>
      <c r="K131" s="1">
        <f>IFERROR(INDEX(E$2:E$500,65),"")</f>
        <v>0</v>
      </c>
      <c r="L131">
        <f>IF(ISTEXT(I131),COUNTIF(I$2:I131,I131),0)</f>
        <v>8</v>
      </c>
    </row>
    <row r="132" spans="1:12" x14ac:dyDescent="0.25">
      <c r="A132" t="s">
        <v>76</v>
      </c>
      <c r="B132" s="12" t="str">
        <f t="shared" si="33"/>
        <v>12.02.2023</v>
      </c>
      <c r="C132" s="13">
        <v>0.52083333333333337</v>
      </c>
      <c r="D132" s="10" t="s">
        <v>18</v>
      </c>
      <c r="E132" s="10">
        <v>0</v>
      </c>
      <c r="F132" s="10">
        <v>2</v>
      </c>
      <c r="G132" s="11" t="s">
        <v>13</v>
      </c>
      <c r="I132" s="1" t="str">
        <f>IFERROR(INDEX(D$2:D$500,66),"")</f>
        <v>Jagiellonia Białystok</v>
      </c>
      <c r="J132" s="1">
        <f>IFERROR(INDEX(E$2:E$500,66),"")</f>
        <v>1</v>
      </c>
      <c r="K132" s="1">
        <f>IFERROR(INDEX(F$2:F$500,66),"")</f>
        <v>0</v>
      </c>
      <c r="L132">
        <f>IF(ISTEXT(I132),COUNTIF(I$2:I132,I132),0)</f>
        <v>8</v>
      </c>
    </row>
    <row r="133" spans="1:12" x14ac:dyDescent="0.25">
      <c r="A133" t="s">
        <v>77</v>
      </c>
      <c r="B133" s="12" t="str">
        <f t="shared" si="33"/>
        <v>11.02.2023</v>
      </c>
      <c r="C133" s="13">
        <v>0.83333333333333337</v>
      </c>
      <c r="D133" s="10" t="s">
        <v>8</v>
      </c>
      <c r="E133" s="10">
        <v>2</v>
      </c>
      <c r="F133" s="10">
        <v>0</v>
      </c>
      <c r="G133" s="11" t="s">
        <v>15</v>
      </c>
      <c r="I133" s="1" t="str">
        <f>IFERROR(INDEX(G$2:G$500,66),"")</f>
        <v>Lechia Gdańsk</v>
      </c>
      <c r="J133" s="1">
        <f>IFERROR(INDEX(F$2:F$500,66),"")</f>
        <v>0</v>
      </c>
      <c r="K133" s="1">
        <f>IFERROR(INDEX(E$2:E$500,66),"")</f>
        <v>1</v>
      </c>
      <c r="L133">
        <f>IF(ISTEXT(I133),COUNTIF(I$2:I133,I133),0)</f>
        <v>8</v>
      </c>
    </row>
    <row r="134" spans="1:12" x14ac:dyDescent="0.25">
      <c r="A134" t="s">
        <v>77</v>
      </c>
      <c r="B134" s="12" t="str">
        <f t="shared" si="33"/>
        <v>11.02.2023</v>
      </c>
      <c r="C134" s="13">
        <v>0.72916666666666663</v>
      </c>
      <c r="D134" s="10" t="s">
        <v>6</v>
      </c>
      <c r="E134" s="10">
        <v>0</v>
      </c>
      <c r="F134" s="10">
        <v>1</v>
      </c>
      <c r="G134" s="11" t="s">
        <v>7</v>
      </c>
      <c r="I134" s="1" t="str">
        <f>IFERROR(INDEX(D$2:D$500,67),"")</f>
        <v>Lech Poznań</v>
      </c>
      <c r="J134" s="1">
        <f>IFERROR(INDEX(E$2:E$500,67),"")</f>
        <v>2</v>
      </c>
      <c r="K134" s="1">
        <f>IFERROR(INDEX(F$2:F$500,67),"")</f>
        <v>0</v>
      </c>
      <c r="L134">
        <f>IF(ISTEXT(I134),COUNTIF(I$2:I134,I134),0)</f>
        <v>8</v>
      </c>
    </row>
    <row r="135" spans="1:12" x14ac:dyDescent="0.25">
      <c r="A135" t="s">
        <v>77</v>
      </c>
      <c r="B135" s="12" t="str">
        <f t="shared" si="33"/>
        <v>11.02.2023</v>
      </c>
      <c r="C135" s="13">
        <v>0.625</v>
      </c>
      <c r="D135" s="10" t="s">
        <v>10</v>
      </c>
      <c r="E135" s="10">
        <v>1</v>
      </c>
      <c r="F135" s="10">
        <v>1</v>
      </c>
      <c r="G135" s="11" t="s">
        <v>22</v>
      </c>
      <c r="I135" s="1" t="str">
        <f>IFERROR(INDEX(G$2:G$500,67),"")</f>
        <v>Warta Poznań</v>
      </c>
      <c r="J135" s="1">
        <f>IFERROR(INDEX(F$2:F$500,67),"")</f>
        <v>0</v>
      </c>
      <c r="K135" s="1">
        <f>IFERROR(INDEX(E$2:E$500,67),"")</f>
        <v>2</v>
      </c>
      <c r="L135">
        <f>IF(ISTEXT(I135),COUNTIF(I$2:I135,I135),0)</f>
        <v>8</v>
      </c>
    </row>
    <row r="136" spans="1:12" x14ac:dyDescent="0.25">
      <c r="A136" t="s">
        <v>78</v>
      </c>
      <c r="B136" s="12" t="str">
        <f t="shared" si="33"/>
        <v>10.02.2023</v>
      </c>
      <c r="C136" s="13">
        <v>0.85416666666666663</v>
      </c>
      <c r="D136" s="10" t="s">
        <v>14</v>
      </c>
      <c r="E136" s="10">
        <v>0</v>
      </c>
      <c r="F136" s="10">
        <v>0</v>
      </c>
      <c r="G136" s="11" t="s">
        <v>21</v>
      </c>
      <c r="I136" s="1" t="str">
        <f>IFERROR(INDEX(D$2:D$500,68),"")</f>
        <v>Pogoń Szczecin</v>
      </c>
      <c r="J136" s="1">
        <f>IFERROR(INDEX(E$2:E$500,68),"")</f>
        <v>3</v>
      </c>
      <c r="K136" s="1">
        <f>IFERROR(INDEX(F$2:F$500,68),"")</f>
        <v>2</v>
      </c>
      <c r="L136">
        <f>IF(ISTEXT(I136),COUNTIF(I$2:I136,I136),0)</f>
        <v>8</v>
      </c>
    </row>
    <row r="137" spans="1:12" x14ac:dyDescent="0.25">
      <c r="A137" t="s">
        <v>78</v>
      </c>
      <c r="B137" s="12" t="str">
        <f t="shared" si="33"/>
        <v>10.02.2023</v>
      </c>
      <c r="C137" s="13">
        <v>0.75</v>
      </c>
      <c r="D137" s="10" t="s">
        <v>19</v>
      </c>
      <c r="E137" s="10">
        <v>0</v>
      </c>
      <c r="F137" s="10">
        <v>0</v>
      </c>
      <c r="G137" s="11" t="s">
        <v>17</v>
      </c>
      <c r="I137" s="1" t="str">
        <f>IFERROR(INDEX(G$2:G$500,68),"")</f>
        <v>Cracovia</v>
      </c>
      <c r="J137" s="1">
        <f>IFERROR(INDEX(F$2:F$500,68),"")</f>
        <v>2</v>
      </c>
      <c r="K137" s="1">
        <f>IFERROR(INDEX(E$2:E$500,68),"")</f>
        <v>3</v>
      </c>
      <c r="L137">
        <f>IF(ISTEXT(I137),COUNTIF(I$2:I137,I137),0)</f>
        <v>8</v>
      </c>
    </row>
    <row r="138" spans="1:12" x14ac:dyDescent="0.25">
      <c r="A138" t="s">
        <v>79</v>
      </c>
      <c r="B138" s="12" t="str">
        <f t="shared" si="33"/>
        <v>06.02.2023</v>
      </c>
      <c r="C138" s="13">
        <v>0.79166666666666663</v>
      </c>
      <c r="D138" s="10" t="s">
        <v>22</v>
      </c>
      <c r="E138" s="10">
        <v>2</v>
      </c>
      <c r="F138" s="10">
        <v>1</v>
      </c>
      <c r="G138" s="11" t="s">
        <v>5</v>
      </c>
      <c r="I138" s="1" t="str">
        <f>IFERROR(INDEX(D$2:D$500,69),"")</f>
        <v>Widzew Łódź</v>
      </c>
      <c r="J138" s="1">
        <f>IFERROR(INDEX(E$2:E$500,69),"")</f>
        <v>0</v>
      </c>
      <c r="K138" s="1">
        <f>IFERROR(INDEX(F$2:F$500,69),"")</f>
        <v>2</v>
      </c>
      <c r="L138">
        <f>IF(ISTEXT(I138),COUNTIF(I$2:I138,I138),0)</f>
        <v>8</v>
      </c>
    </row>
    <row r="139" spans="1:12" x14ac:dyDescent="0.25">
      <c r="A139" t="s">
        <v>80</v>
      </c>
      <c r="B139" s="12" t="str">
        <f t="shared" si="33"/>
        <v>05.02.2023</v>
      </c>
      <c r="C139" s="13">
        <v>0.72916666666666663</v>
      </c>
      <c r="D139" s="10" t="s">
        <v>15</v>
      </c>
      <c r="E139" s="10">
        <v>0</v>
      </c>
      <c r="F139" s="10">
        <v>2</v>
      </c>
      <c r="G139" s="11" t="s">
        <v>10</v>
      </c>
      <c r="I139" s="1" t="str">
        <f>IFERROR(INDEX(G$2:G$500,69),"")</f>
        <v>Stal Mielec</v>
      </c>
      <c r="J139" s="1">
        <f>IFERROR(INDEX(F$2:F$500,69),"")</f>
        <v>2</v>
      </c>
      <c r="K139" s="1">
        <f>IFERROR(INDEX(E$2:E$500,69),"")</f>
        <v>0</v>
      </c>
      <c r="L139">
        <f>IF(ISTEXT(I139),COUNTIF(I$2:I139,I139),0)</f>
        <v>8</v>
      </c>
    </row>
    <row r="140" spans="1:12" x14ac:dyDescent="0.25">
      <c r="A140" t="s">
        <v>80</v>
      </c>
      <c r="B140" s="12" t="str">
        <f t="shared" si="33"/>
        <v>05.02.2023</v>
      </c>
      <c r="C140" s="13">
        <v>0.625</v>
      </c>
      <c r="D140" s="10" t="s">
        <v>7</v>
      </c>
      <c r="E140" s="10">
        <v>1</v>
      </c>
      <c r="F140" s="10">
        <v>0</v>
      </c>
      <c r="G140" s="11" t="s">
        <v>11</v>
      </c>
      <c r="I140" s="1" t="str">
        <f>IFERROR(INDEX(D$2:D$500,70),"")</f>
        <v>Wisła Płock</v>
      </c>
      <c r="J140" s="1">
        <f>IFERROR(INDEX(E$2:E$500,70),"")</f>
        <v>2</v>
      </c>
      <c r="K140" s="1">
        <f>IFERROR(INDEX(F$2:F$500,70),"")</f>
        <v>0</v>
      </c>
      <c r="L140">
        <f>IF(ISTEXT(I140),COUNTIF(I$2:I140,I140),0)</f>
        <v>8</v>
      </c>
    </row>
    <row r="141" spans="1:12" x14ac:dyDescent="0.25">
      <c r="A141" t="s">
        <v>80</v>
      </c>
      <c r="B141" s="12" t="str">
        <f t="shared" si="33"/>
        <v>05.02.2023</v>
      </c>
      <c r="C141" s="13">
        <v>0.52083333333333337</v>
      </c>
      <c r="D141" s="10" t="s">
        <v>16</v>
      </c>
      <c r="E141" s="10">
        <v>1</v>
      </c>
      <c r="F141" s="10">
        <v>0</v>
      </c>
      <c r="G141" s="11" t="s">
        <v>19</v>
      </c>
      <c r="I141" s="1" t="str">
        <f>IFERROR(INDEX(G$2:G$500,70),"")</f>
        <v>Zagłębie Lubin</v>
      </c>
      <c r="J141" s="1">
        <f>IFERROR(INDEX(F$2:F$500,70),"")</f>
        <v>0</v>
      </c>
      <c r="K141" s="1">
        <f>IFERROR(INDEX(E$2:E$500,70),"")</f>
        <v>2</v>
      </c>
      <c r="L141">
        <f>IF(ISTEXT(I141),COUNTIF(I$2:I141,I141),0)</f>
        <v>8</v>
      </c>
    </row>
    <row r="142" spans="1:12" x14ac:dyDescent="0.25">
      <c r="A142" t="s">
        <v>81</v>
      </c>
      <c r="B142" s="12" t="str">
        <f t="shared" si="33"/>
        <v>04.02.2023</v>
      </c>
      <c r="C142" s="13">
        <v>0.83333333333333337</v>
      </c>
      <c r="D142" s="10" t="s">
        <v>18</v>
      </c>
      <c r="E142" s="10">
        <v>1</v>
      </c>
      <c r="F142" s="10">
        <v>2</v>
      </c>
      <c r="G142" s="11" t="s">
        <v>9</v>
      </c>
      <c r="I142" s="1" t="str">
        <f>IFERROR(INDEX(D$2:D$500,71),"")</f>
        <v>Górnik Zabrze</v>
      </c>
      <c r="J142" s="1">
        <f>IFERROR(INDEX(E$2:E$500,71),"")</f>
        <v>1</v>
      </c>
      <c r="K142" s="1">
        <f>IFERROR(INDEX(F$2:F$500,71),"")</f>
        <v>1</v>
      </c>
      <c r="L142">
        <f>IF(ISTEXT(I142),COUNTIF(I$2:I142,I142),0)</f>
        <v>8</v>
      </c>
    </row>
    <row r="143" spans="1:12" x14ac:dyDescent="0.25">
      <c r="A143" t="s">
        <v>81</v>
      </c>
      <c r="B143" s="12" t="str">
        <f t="shared" si="33"/>
        <v>04.02.2023</v>
      </c>
      <c r="C143" s="13">
        <v>0.72916666666666663</v>
      </c>
      <c r="D143" s="10" t="s">
        <v>12</v>
      </c>
      <c r="E143" s="10">
        <v>1</v>
      </c>
      <c r="F143" s="10">
        <v>1</v>
      </c>
      <c r="G143" s="11" t="s">
        <v>14</v>
      </c>
      <c r="I143" s="1" t="str">
        <f>IFERROR(INDEX(G$2:G$500,71),"")</f>
        <v>Korona Kielce</v>
      </c>
      <c r="J143" s="1">
        <f>IFERROR(INDEX(F$2:F$500,71),"")</f>
        <v>1</v>
      </c>
      <c r="K143" s="1">
        <f>IFERROR(INDEX(E$2:E$500,71),"")</f>
        <v>1</v>
      </c>
      <c r="L143">
        <f>IF(ISTEXT(I143),COUNTIF(I$2:I143,I143),0)</f>
        <v>8</v>
      </c>
    </row>
    <row r="144" spans="1:12" x14ac:dyDescent="0.25">
      <c r="A144" t="s">
        <v>81</v>
      </c>
      <c r="B144" s="12" t="str">
        <f t="shared" si="33"/>
        <v>04.02.2023</v>
      </c>
      <c r="C144" s="13">
        <v>0.625</v>
      </c>
      <c r="D144" s="10" t="s">
        <v>17</v>
      </c>
      <c r="E144" s="10">
        <v>1</v>
      </c>
      <c r="F144" s="10">
        <v>0</v>
      </c>
      <c r="G144" s="11" t="s">
        <v>13</v>
      </c>
      <c r="I144" s="1" t="str">
        <f>IFERROR(INDEX(D$2:D$500,72),"")</f>
        <v>Śląsk Wrocław</v>
      </c>
      <c r="J144" s="1">
        <f>IFERROR(INDEX(E$2:E$500,72),"")</f>
        <v>0</v>
      </c>
      <c r="K144" s="1">
        <f>IFERROR(INDEX(F$2:F$500,72),"")</f>
        <v>1</v>
      </c>
      <c r="L144">
        <f>IF(ISTEXT(I144),COUNTIF(I$2:I144,I144),0)</f>
        <v>8</v>
      </c>
    </row>
    <row r="145" spans="1:12" x14ac:dyDescent="0.25">
      <c r="A145" t="s">
        <v>82</v>
      </c>
      <c r="B145" s="12" t="str">
        <f t="shared" si="33"/>
        <v>03.02.2023</v>
      </c>
      <c r="C145" s="13">
        <v>0.85416666666666663</v>
      </c>
      <c r="D145" s="10" t="s">
        <v>21</v>
      </c>
      <c r="E145" s="10">
        <v>1</v>
      </c>
      <c r="F145" s="10">
        <v>1</v>
      </c>
      <c r="G145" s="11" t="s">
        <v>8</v>
      </c>
      <c r="I145" s="1" t="str">
        <f>IFERROR(INDEX(G$2:G$500,72),"")</f>
        <v>Piast Gliwice</v>
      </c>
      <c r="J145" s="1">
        <f>IFERROR(INDEX(F$2:F$500,72),"")</f>
        <v>1</v>
      </c>
      <c r="K145" s="1">
        <f>IFERROR(INDEX(E$2:E$500,72),"")</f>
        <v>0</v>
      </c>
      <c r="L145">
        <f>IF(ISTEXT(I145),COUNTIF(I$2:I145,I145),0)</f>
        <v>8</v>
      </c>
    </row>
    <row r="146" spans="1:12" x14ac:dyDescent="0.25">
      <c r="A146" t="s">
        <v>83</v>
      </c>
      <c r="B146" s="12" t="str">
        <f t="shared" si="33"/>
        <v>01.02.2023</v>
      </c>
      <c r="C146" s="13">
        <v>0.79166666666666663</v>
      </c>
      <c r="D146" s="10" t="s">
        <v>11</v>
      </c>
      <c r="E146" s="10">
        <v>2</v>
      </c>
      <c r="F146" s="10">
        <v>2</v>
      </c>
      <c r="G146" s="11" t="s">
        <v>7</v>
      </c>
      <c r="I146" s="1" t="str">
        <f>IFERROR(INDEX(D$2:D$500,73),"")</f>
        <v>Stal Mielec</v>
      </c>
      <c r="J146" s="1">
        <f>IFERROR(INDEX(E$2:E$500,73),"")</f>
        <v>1</v>
      </c>
      <c r="K146" s="1">
        <f>IFERROR(INDEX(F$2:F$500,73),"")</f>
        <v>1</v>
      </c>
      <c r="L146">
        <f>IF(ISTEXT(I146),COUNTIF(I$2:I146,I146),0)</f>
        <v>9</v>
      </c>
    </row>
    <row r="147" spans="1:12" x14ac:dyDescent="0.25">
      <c r="A147" t="s">
        <v>84</v>
      </c>
      <c r="B147" s="12" t="str">
        <f t="shared" si="33"/>
        <v>30.01.2023</v>
      </c>
      <c r="C147" s="13">
        <v>0.79166666666666663</v>
      </c>
      <c r="D147" s="10" t="s">
        <v>5</v>
      </c>
      <c r="E147" s="10">
        <v>2</v>
      </c>
      <c r="F147" s="10">
        <v>0</v>
      </c>
      <c r="G147" s="11" t="s">
        <v>12</v>
      </c>
      <c r="I147" s="1" t="str">
        <f>IFERROR(INDEX(G$2:G$500,73),"")</f>
        <v>Jagiellonia Białystok</v>
      </c>
      <c r="J147" s="1">
        <f>IFERROR(INDEX(F$2:F$500,73),"")</f>
        <v>1</v>
      </c>
      <c r="K147" s="1">
        <f>IFERROR(INDEX(E$2:E$500,73),"")</f>
        <v>1</v>
      </c>
      <c r="L147">
        <f>IF(ISTEXT(I147),COUNTIF(I$2:I147,I147),0)</f>
        <v>9</v>
      </c>
    </row>
    <row r="148" spans="1:12" x14ac:dyDescent="0.25">
      <c r="A148" t="s">
        <v>85</v>
      </c>
      <c r="B148" s="12" t="str">
        <f t="shared" si="33"/>
        <v>29.01.2023</v>
      </c>
      <c r="C148" s="13">
        <v>0.72916666666666663</v>
      </c>
      <c r="D148" s="10" t="s">
        <v>14</v>
      </c>
      <c r="E148" s="10">
        <v>1</v>
      </c>
      <c r="F148" s="10">
        <v>0</v>
      </c>
      <c r="G148" s="11" t="s">
        <v>6</v>
      </c>
      <c r="I148" s="1" t="str">
        <f>IFERROR(INDEX(D$2:D$500,74),"")</f>
        <v>Lech Poznań</v>
      </c>
      <c r="J148" s="1">
        <f>IFERROR(INDEX(E$2:E$500,74),"")</f>
        <v>2</v>
      </c>
      <c r="K148" s="1">
        <f>IFERROR(INDEX(F$2:F$500,74),"")</f>
        <v>2</v>
      </c>
      <c r="L148">
        <f>IF(ISTEXT(I148),COUNTIF(I$2:I148,I148),0)</f>
        <v>9</v>
      </c>
    </row>
    <row r="149" spans="1:12" x14ac:dyDescent="0.25">
      <c r="A149" t="s">
        <v>85</v>
      </c>
      <c r="B149" s="12" t="str">
        <f t="shared" si="33"/>
        <v>29.01.2023</v>
      </c>
      <c r="C149" s="13">
        <v>0.625</v>
      </c>
      <c r="D149" s="10" t="s">
        <v>9</v>
      </c>
      <c r="E149" s="10">
        <v>3</v>
      </c>
      <c r="F149" s="10">
        <v>2</v>
      </c>
      <c r="G149" s="11" t="s">
        <v>22</v>
      </c>
      <c r="I149" s="1" t="str">
        <f>IFERROR(INDEX(G$2:G$500,74),"")</f>
        <v>Pogoń Szczecin</v>
      </c>
      <c r="J149" s="1">
        <f>IFERROR(INDEX(F$2:F$500,74),"")</f>
        <v>2</v>
      </c>
      <c r="K149" s="1">
        <f>IFERROR(INDEX(E$2:E$500,74),"")</f>
        <v>2</v>
      </c>
      <c r="L149">
        <f>IF(ISTEXT(I149),COUNTIF(I$2:I149,I149),0)</f>
        <v>9</v>
      </c>
    </row>
    <row r="150" spans="1:12" x14ac:dyDescent="0.25">
      <c r="A150" t="s">
        <v>85</v>
      </c>
      <c r="B150" s="12" t="str">
        <f t="shared" si="33"/>
        <v>29.01.2023</v>
      </c>
      <c r="C150" s="13">
        <v>0.52083333333333337</v>
      </c>
      <c r="D150" s="10" t="s">
        <v>13</v>
      </c>
      <c r="E150" s="10">
        <v>1</v>
      </c>
      <c r="F150" s="10">
        <v>1</v>
      </c>
      <c r="G150" s="11" t="s">
        <v>8</v>
      </c>
      <c r="I150" s="1" t="str">
        <f>IFERROR(INDEX(D$2:D$500,75),"")</f>
        <v>Cracovia</v>
      </c>
      <c r="J150" s="1">
        <f>IFERROR(INDEX(E$2:E$500,75),"")</f>
        <v>1</v>
      </c>
      <c r="K150" s="1">
        <f>IFERROR(INDEX(F$2:F$500,75),"")</f>
        <v>1</v>
      </c>
      <c r="L150">
        <f>IF(ISTEXT(I150),COUNTIF(I$2:I150,I150),0)</f>
        <v>9</v>
      </c>
    </row>
    <row r="151" spans="1:12" x14ac:dyDescent="0.25">
      <c r="A151" t="s">
        <v>86</v>
      </c>
      <c r="B151" s="12" t="str">
        <f t="shared" si="33"/>
        <v>28.01.2023</v>
      </c>
      <c r="C151" s="13">
        <v>0.83333333333333337</v>
      </c>
      <c r="D151" s="10" t="s">
        <v>10</v>
      </c>
      <c r="E151" s="10">
        <v>0</v>
      </c>
      <c r="F151" s="10">
        <v>3</v>
      </c>
      <c r="G151" s="11" t="s">
        <v>18</v>
      </c>
      <c r="I151" s="1" t="str">
        <f>IFERROR(INDEX(G$2:G$500,75),"")</f>
        <v>Widzew Łódź</v>
      </c>
      <c r="J151" s="1">
        <f>IFERROR(INDEX(F$2:F$500,75),"")</f>
        <v>1</v>
      </c>
      <c r="K151" s="1">
        <f>IFERROR(INDEX(E$2:E$500,75),"")</f>
        <v>1</v>
      </c>
      <c r="L151">
        <f>IF(ISTEXT(I151),COUNTIF(I$2:I151,I151),0)</f>
        <v>9</v>
      </c>
    </row>
    <row r="152" spans="1:12" x14ac:dyDescent="0.25">
      <c r="A152" t="s">
        <v>86</v>
      </c>
      <c r="B152" s="12" t="str">
        <f t="shared" si="33"/>
        <v>28.01.2023</v>
      </c>
      <c r="C152" s="13">
        <v>0.72916666666666663</v>
      </c>
      <c r="D152" s="10" t="s">
        <v>21</v>
      </c>
      <c r="E152" s="10">
        <v>3</v>
      </c>
      <c r="F152" s="10">
        <v>3</v>
      </c>
      <c r="G152" s="11" t="s">
        <v>15</v>
      </c>
      <c r="I152" s="1" t="str">
        <f>IFERROR(INDEX(D$2:D$500,76),"")</f>
        <v>Wisła Płock</v>
      </c>
      <c r="J152" s="1">
        <f>IFERROR(INDEX(E$2:E$500,76),"")</f>
        <v>1</v>
      </c>
      <c r="K152" s="1">
        <f>IFERROR(INDEX(F$2:F$500,76),"")</f>
        <v>1</v>
      </c>
      <c r="L152">
        <f>IF(ISTEXT(I152),COUNTIF(I$2:I152,I152),0)</f>
        <v>9</v>
      </c>
    </row>
    <row r="153" spans="1:12" x14ac:dyDescent="0.25">
      <c r="A153" t="s">
        <v>86</v>
      </c>
      <c r="B153" s="12" t="str">
        <f t="shared" si="33"/>
        <v>28.01.2023</v>
      </c>
      <c r="C153" s="13">
        <v>0.625</v>
      </c>
      <c r="D153" s="10" t="s">
        <v>20</v>
      </c>
      <c r="E153" s="10">
        <v>1</v>
      </c>
      <c r="F153" s="10">
        <v>1</v>
      </c>
      <c r="G153" s="11" t="s">
        <v>17</v>
      </c>
      <c r="I153" s="1" t="str">
        <f>IFERROR(INDEX(G$2:G$500,76),"")</f>
        <v>Radomiak Radom</v>
      </c>
      <c r="J153" s="1">
        <f>IFERROR(INDEX(F$2:F$500,76),"")</f>
        <v>1</v>
      </c>
      <c r="K153" s="1">
        <f>IFERROR(INDEX(E$2:E$500,76),"")</f>
        <v>1</v>
      </c>
      <c r="L153">
        <f>IF(ISTEXT(I153),COUNTIF(I$2:I153,I153),0)</f>
        <v>9</v>
      </c>
    </row>
    <row r="154" spans="1:12" x14ac:dyDescent="0.25">
      <c r="A154" t="s">
        <v>87</v>
      </c>
      <c r="B154" s="12" t="str">
        <f t="shared" si="33"/>
        <v>27.01.2023</v>
      </c>
      <c r="C154" s="13">
        <v>0.85416666666666663</v>
      </c>
      <c r="D154" s="10" t="s">
        <v>19</v>
      </c>
      <c r="E154" s="10">
        <v>0</v>
      </c>
      <c r="F154" s="10">
        <v>0</v>
      </c>
      <c r="G154" s="11" t="s">
        <v>7</v>
      </c>
      <c r="I154" s="1" t="str">
        <f>IFERROR(INDEX(D$2:D$500,77),"")</f>
        <v>Lechia Gdańsk</v>
      </c>
      <c r="J154" s="1">
        <f>IFERROR(INDEX(E$2:E$500,77),"")</f>
        <v>0</v>
      </c>
      <c r="K154" s="1">
        <f>IFERROR(INDEX(F$2:F$500,77),"")</f>
        <v>0</v>
      </c>
      <c r="L154">
        <f>IF(ISTEXT(I154),COUNTIF(I$2:I154,I154),0)</f>
        <v>9</v>
      </c>
    </row>
    <row r="155" spans="1:12" x14ac:dyDescent="0.25">
      <c r="A155" t="s">
        <v>87</v>
      </c>
      <c r="B155" s="12" t="str">
        <f t="shared" si="33"/>
        <v>27.01.2023</v>
      </c>
      <c r="C155" s="13">
        <v>0.75</v>
      </c>
      <c r="D155" s="10" t="s">
        <v>11</v>
      </c>
      <c r="E155" s="10">
        <v>0</v>
      </c>
      <c r="F155" s="10">
        <v>0</v>
      </c>
      <c r="G155" s="11" t="s">
        <v>16</v>
      </c>
      <c r="I155" s="1" t="str">
        <f>IFERROR(INDEX(G$2:G$500,77),"")</f>
        <v>Śląsk Wrocław</v>
      </c>
      <c r="J155" s="1">
        <f>IFERROR(INDEX(F$2:F$500,77),"")</f>
        <v>0</v>
      </c>
      <c r="K155" s="1">
        <f>IFERROR(INDEX(E$2:E$500,77),"")</f>
        <v>0</v>
      </c>
      <c r="L155">
        <f>IF(ISTEXT(I155),COUNTIF(I$2:I155,I155),0)</f>
        <v>9</v>
      </c>
    </row>
    <row r="156" spans="1:12" x14ac:dyDescent="0.25">
      <c r="A156" t="s">
        <v>88</v>
      </c>
      <c r="B156" s="12" t="str">
        <f t="shared" ref="B156:B187" si="34">A156&amp;2022</f>
        <v>18.11.2022</v>
      </c>
      <c r="C156" s="13">
        <v>0.85416666666666663</v>
      </c>
      <c r="D156" s="10" t="s">
        <v>14</v>
      </c>
      <c r="E156" s="10">
        <v>2</v>
      </c>
      <c r="F156" s="10">
        <v>1</v>
      </c>
      <c r="G156" s="11" t="s">
        <v>12</v>
      </c>
      <c r="I156" s="1" t="str">
        <f>IFERROR(INDEX(D$2:D$500,78),"")</f>
        <v>Legia Warszawa</v>
      </c>
      <c r="J156" s="1">
        <f>IFERROR(INDEX(E$2:E$500,78),"")</f>
        <v>3</v>
      </c>
      <c r="K156" s="1">
        <f>IFERROR(INDEX(F$2:F$500,78),"")</f>
        <v>1</v>
      </c>
      <c r="L156">
        <f>IF(ISTEXT(I156),COUNTIF(I$2:I156,I156),0)</f>
        <v>9</v>
      </c>
    </row>
    <row r="157" spans="1:12" x14ac:dyDescent="0.25">
      <c r="A157" t="s">
        <v>89</v>
      </c>
      <c r="B157" s="12" t="str">
        <f t="shared" si="34"/>
        <v>13.11.2022</v>
      </c>
      <c r="C157" s="13">
        <v>0.72916666666666663</v>
      </c>
      <c r="D157" s="10" t="s">
        <v>10</v>
      </c>
      <c r="E157" s="10">
        <v>0</v>
      </c>
      <c r="F157" s="10">
        <v>0</v>
      </c>
      <c r="G157" s="11" t="s">
        <v>9</v>
      </c>
      <c r="I157" s="1" t="str">
        <f>IFERROR(INDEX(G$2:G$500,78),"")</f>
        <v>Raków Częstochowa</v>
      </c>
      <c r="J157" s="1">
        <f>IFERROR(INDEX(F$2:F$500,78),"")</f>
        <v>1</v>
      </c>
      <c r="K157" s="1">
        <f>IFERROR(INDEX(E$2:E$500,78),"")</f>
        <v>3</v>
      </c>
      <c r="L157">
        <f>IF(ISTEXT(I157),COUNTIF(I$2:I157,I157),0)</f>
        <v>9</v>
      </c>
    </row>
    <row r="158" spans="1:12" x14ac:dyDescent="0.25">
      <c r="A158" t="s">
        <v>89</v>
      </c>
      <c r="B158" s="12" t="str">
        <f t="shared" si="34"/>
        <v>13.11.2022</v>
      </c>
      <c r="C158" s="13">
        <v>0.625</v>
      </c>
      <c r="D158" s="10" t="s">
        <v>14</v>
      </c>
      <c r="E158" s="10">
        <v>1</v>
      </c>
      <c r="F158" s="10">
        <v>3</v>
      </c>
      <c r="G158" s="11" t="s">
        <v>13</v>
      </c>
      <c r="I158" s="1" t="str">
        <f>IFERROR(INDEX(D$2:D$500,79),"")</f>
        <v>Korona Kielce</v>
      </c>
      <c r="J158" s="1">
        <f>IFERROR(INDEX(E$2:E$500,79),"")</f>
        <v>1</v>
      </c>
      <c r="K158" s="1">
        <f>IFERROR(INDEX(F$2:F$500,79),"")</f>
        <v>0</v>
      </c>
      <c r="L158">
        <f>IF(ISTEXT(I158),COUNTIF(I$2:I158,I158),0)</f>
        <v>9</v>
      </c>
    </row>
    <row r="159" spans="1:12" x14ac:dyDescent="0.25">
      <c r="A159" t="s">
        <v>89</v>
      </c>
      <c r="B159" s="12" t="str">
        <f t="shared" si="34"/>
        <v>13.11.2022</v>
      </c>
      <c r="C159" s="13">
        <v>0.52083333333333337</v>
      </c>
      <c r="D159" s="10" t="s">
        <v>16</v>
      </c>
      <c r="E159" s="10">
        <v>1</v>
      </c>
      <c r="F159" s="10">
        <v>2</v>
      </c>
      <c r="G159" s="11" t="s">
        <v>15</v>
      </c>
      <c r="I159" s="1" t="str">
        <f>IFERROR(INDEX(G$2:G$500,79),"")</f>
        <v>Miedź Legnica</v>
      </c>
      <c r="J159" s="1">
        <f>IFERROR(INDEX(F$2:F$500,79),"")</f>
        <v>0</v>
      </c>
      <c r="K159" s="1">
        <f>IFERROR(INDEX(E$2:E$500,79),"")</f>
        <v>1</v>
      </c>
      <c r="L159">
        <f>IF(ISTEXT(I159),COUNTIF(I$2:I159,I159),0)</f>
        <v>9</v>
      </c>
    </row>
    <row r="160" spans="1:12" x14ac:dyDescent="0.25">
      <c r="A160" t="s">
        <v>90</v>
      </c>
      <c r="B160" s="12" t="str">
        <f t="shared" si="34"/>
        <v>12.11.2022</v>
      </c>
      <c r="C160" s="13">
        <v>0.83333333333333337</v>
      </c>
      <c r="D160" s="10" t="s">
        <v>18</v>
      </c>
      <c r="E160" s="10">
        <v>1</v>
      </c>
      <c r="F160" s="10">
        <v>2</v>
      </c>
      <c r="G160" s="11" t="s">
        <v>17</v>
      </c>
      <c r="I160" s="1" t="str">
        <f>IFERROR(INDEX(D$2:D$500,80),"")</f>
        <v>Piast Gliwice</v>
      </c>
      <c r="J160" s="1">
        <f>IFERROR(INDEX(E$2:E$500,80),"")</f>
        <v>1</v>
      </c>
      <c r="K160" s="1">
        <f>IFERROR(INDEX(F$2:F$500,80),"")</f>
        <v>0</v>
      </c>
      <c r="L160">
        <f>IF(ISTEXT(I160),COUNTIF(I$2:I160,I160),0)</f>
        <v>9</v>
      </c>
    </row>
    <row r="161" spans="1:12" x14ac:dyDescent="0.25">
      <c r="A161" t="s">
        <v>90</v>
      </c>
      <c r="B161" s="12" t="str">
        <f t="shared" si="34"/>
        <v>12.11.2022</v>
      </c>
      <c r="C161" s="13">
        <v>0.72916666666666663</v>
      </c>
      <c r="D161" s="10" t="s">
        <v>8</v>
      </c>
      <c r="E161" s="10">
        <v>1</v>
      </c>
      <c r="F161" s="10">
        <v>2</v>
      </c>
      <c r="G161" s="11" t="s">
        <v>7</v>
      </c>
      <c r="I161" s="1" t="str">
        <f>IFERROR(INDEX(G$2:G$500,80),"")</f>
        <v>Górnik Zabrze</v>
      </c>
      <c r="J161" s="1">
        <f>IFERROR(INDEX(F$2:F$500,80),"")</f>
        <v>0</v>
      </c>
      <c r="K161" s="1">
        <f>IFERROR(INDEX(E$2:E$500,80),"")</f>
        <v>1</v>
      </c>
      <c r="L161">
        <f>IF(ISTEXT(I161),COUNTIF(I$2:I161,I161),0)</f>
        <v>9</v>
      </c>
    </row>
    <row r="162" spans="1:12" x14ac:dyDescent="0.25">
      <c r="A162" t="s">
        <v>90</v>
      </c>
      <c r="B162" s="12" t="str">
        <f t="shared" si="34"/>
        <v>12.11.2022</v>
      </c>
      <c r="C162" s="13">
        <v>0.625</v>
      </c>
      <c r="D162" s="10" t="s">
        <v>12</v>
      </c>
      <c r="E162" s="10">
        <v>0</v>
      </c>
      <c r="F162" s="10">
        <v>3</v>
      </c>
      <c r="G162" s="11" t="s">
        <v>11</v>
      </c>
      <c r="I162" s="1" t="str">
        <f>IFERROR(INDEX(D$2:D$500,81),"")</f>
        <v>Zagłębie Lubin</v>
      </c>
      <c r="J162" s="1">
        <f>IFERROR(INDEX(E$2:E$500,81),"")</f>
        <v>0</v>
      </c>
      <c r="K162" s="1">
        <f>IFERROR(INDEX(F$2:F$500,81),"")</f>
        <v>0</v>
      </c>
      <c r="L162">
        <f>IF(ISTEXT(I162),COUNTIF(I$2:I162,I162),0)</f>
        <v>9</v>
      </c>
    </row>
    <row r="163" spans="1:12" x14ac:dyDescent="0.25">
      <c r="A163" t="s">
        <v>90</v>
      </c>
      <c r="B163" s="12" t="str">
        <f t="shared" si="34"/>
        <v>12.11.2022</v>
      </c>
      <c r="C163" s="13">
        <v>0.52083333333333337</v>
      </c>
      <c r="D163" s="10" t="s">
        <v>22</v>
      </c>
      <c r="E163" s="10">
        <v>0</v>
      </c>
      <c r="F163" s="10">
        <v>1</v>
      </c>
      <c r="G163" s="11" t="s">
        <v>21</v>
      </c>
      <c r="I163" s="1" t="str">
        <f>IFERROR(INDEX(G$2:G$500,81),"")</f>
        <v>Warta Poznań</v>
      </c>
      <c r="J163" s="1">
        <f>IFERROR(INDEX(F$2:F$500,81),"")</f>
        <v>0</v>
      </c>
      <c r="K163" s="1">
        <f>IFERROR(INDEX(E$2:E$500,81),"")</f>
        <v>0</v>
      </c>
      <c r="L163">
        <f>IF(ISTEXT(I163),COUNTIF(I$2:I163,I163),0)</f>
        <v>9</v>
      </c>
    </row>
    <row r="164" spans="1:12" x14ac:dyDescent="0.25">
      <c r="A164" t="s">
        <v>91</v>
      </c>
      <c r="B164" s="12" t="str">
        <f t="shared" si="34"/>
        <v>11.11.2022</v>
      </c>
      <c r="C164" s="13">
        <v>0.85416666666666663</v>
      </c>
      <c r="D164" s="10" t="s">
        <v>6</v>
      </c>
      <c r="E164" s="10">
        <v>1</v>
      </c>
      <c r="F164" s="10">
        <v>0</v>
      </c>
      <c r="G164" s="11" t="s">
        <v>5</v>
      </c>
      <c r="I164" s="1" t="str">
        <f>IFERROR(INDEX(D$2:D$500,82),"")</f>
        <v>Widzew Łódź</v>
      </c>
      <c r="J164" s="1">
        <f>IFERROR(INDEX(E$2:E$500,82),"")</f>
        <v>1</v>
      </c>
      <c r="K164" s="1">
        <f>IFERROR(INDEX(F$2:F$500,82),"")</f>
        <v>2</v>
      </c>
      <c r="L164">
        <f>IF(ISTEXT(I164),COUNTIF(I$2:I164,I164),0)</f>
        <v>10</v>
      </c>
    </row>
    <row r="165" spans="1:12" x14ac:dyDescent="0.25">
      <c r="A165" t="s">
        <v>91</v>
      </c>
      <c r="B165" s="12" t="str">
        <f t="shared" si="34"/>
        <v>11.11.2022</v>
      </c>
      <c r="C165" s="13">
        <v>0.75</v>
      </c>
      <c r="D165" s="10" t="s">
        <v>20</v>
      </c>
      <c r="E165" s="10">
        <v>1</v>
      </c>
      <c r="F165" s="10">
        <v>1</v>
      </c>
      <c r="G165" s="11" t="s">
        <v>19</v>
      </c>
      <c r="I165" s="1" t="str">
        <f>IFERROR(INDEX(G$2:G$500,82),"")</f>
        <v>Lech Poznań</v>
      </c>
      <c r="J165" s="1">
        <f>IFERROR(INDEX(F$2:F$500,82),"")</f>
        <v>2</v>
      </c>
      <c r="K165" s="1">
        <f>IFERROR(INDEX(E$2:E$500,82),"")</f>
        <v>1</v>
      </c>
      <c r="L165">
        <f>IF(ISTEXT(I165),COUNTIF(I$2:I165,I165),0)</f>
        <v>10</v>
      </c>
    </row>
    <row r="166" spans="1:12" x14ac:dyDescent="0.25">
      <c r="A166" t="s">
        <v>92</v>
      </c>
      <c r="B166" s="12" t="str">
        <f t="shared" si="34"/>
        <v>06.11.2022</v>
      </c>
      <c r="C166" s="13">
        <v>0.72916666666666663</v>
      </c>
      <c r="D166" s="10" t="s">
        <v>7</v>
      </c>
      <c r="E166" s="10">
        <v>3</v>
      </c>
      <c r="F166" s="10">
        <v>2</v>
      </c>
      <c r="G166" s="11" t="s">
        <v>22</v>
      </c>
      <c r="I166" s="1" t="str">
        <f>IFERROR(INDEX(D$2:D$500,83),"")</f>
        <v>Miedź Legnica</v>
      </c>
      <c r="J166" s="1">
        <f>IFERROR(INDEX(E$2:E$500,83),"")</f>
        <v>0</v>
      </c>
      <c r="K166" s="1">
        <f>IFERROR(INDEX(F$2:F$500,83),"")</f>
        <v>1</v>
      </c>
      <c r="L166">
        <f>IF(ISTEXT(I166),COUNTIF(I$2:I166,I166),0)</f>
        <v>10</v>
      </c>
    </row>
    <row r="167" spans="1:12" x14ac:dyDescent="0.25">
      <c r="A167" t="s">
        <v>92</v>
      </c>
      <c r="B167" s="12" t="str">
        <f t="shared" si="34"/>
        <v>06.11.2022</v>
      </c>
      <c r="C167" s="13">
        <v>0.625</v>
      </c>
      <c r="D167" s="10" t="s">
        <v>21</v>
      </c>
      <c r="E167" s="10">
        <v>1</v>
      </c>
      <c r="F167" s="10">
        <v>3</v>
      </c>
      <c r="G167" s="11" t="s">
        <v>16</v>
      </c>
      <c r="I167" s="1" t="str">
        <f>IFERROR(INDEX(G$2:G$500,83),"")</f>
        <v>Piast Gliwice</v>
      </c>
      <c r="J167" s="1">
        <f>IFERROR(INDEX(F$2:F$500,83),"")</f>
        <v>1</v>
      </c>
      <c r="K167" s="1">
        <f>IFERROR(INDEX(E$2:E$500,83),"")</f>
        <v>0</v>
      </c>
      <c r="L167">
        <f>IF(ISTEXT(I167),COUNTIF(I$2:I167,I167),0)</f>
        <v>10</v>
      </c>
    </row>
    <row r="168" spans="1:12" x14ac:dyDescent="0.25">
      <c r="A168" t="s">
        <v>92</v>
      </c>
      <c r="B168" s="12" t="str">
        <f t="shared" si="34"/>
        <v>06.11.2022</v>
      </c>
      <c r="C168" s="13">
        <v>0.52083333333333337</v>
      </c>
      <c r="D168" s="10" t="s">
        <v>11</v>
      </c>
      <c r="E168" s="10">
        <v>1</v>
      </c>
      <c r="F168" s="10">
        <v>0</v>
      </c>
      <c r="G168" s="11" t="s">
        <v>10</v>
      </c>
      <c r="I168" s="1" t="str">
        <f>IFERROR(INDEX(D$2:D$500,84),"")</f>
        <v>Warta Poznań</v>
      </c>
      <c r="J168" s="1">
        <f>IFERROR(INDEX(E$2:E$500,84),"")</f>
        <v>2</v>
      </c>
      <c r="K168" s="1">
        <f>IFERROR(INDEX(F$2:F$500,84),"")</f>
        <v>0</v>
      </c>
      <c r="L168">
        <f>IF(ISTEXT(I168),COUNTIF(I$2:I168,I168),0)</f>
        <v>10</v>
      </c>
    </row>
    <row r="169" spans="1:12" x14ac:dyDescent="0.25">
      <c r="A169" t="s">
        <v>93</v>
      </c>
      <c r="B169" s="12" t="str">
        <f t="shared" si="34"/>
        <v>05.11.2022</v>
      </c>
      <c r="C169" s="13">
        <v>0.83333333333333337</v>
      </c>
      <c r="D169" s="10" t="s">
        <v>17</v>
      </c>
      <c r="E169" s="10">
        <v>7</v>
      </c>
      <c r="F169" s="10">
        <v>1</v>
      </c>
      <c r="G169" s="11" t="s">
        <v>6</v>
      </c>
      <c r="I169" s="1" t="str">
        <f>IFERROR(INDEX(G$2:G$500,84),"")</f>
        <v>Lechia Gdańsk</v>
      </c>
      <c r="J169" s="1">
        <f>IFERROR(INDEX(F$2:F$500,84),"")</f>
        <v>0</v>
      </c>
      <c r="K169" s="1">
        <f>IFERROR(INDEX(E$2:E$500,84),"")</f>
        <v>2</v>
      </c>
      <c r="L169">
        <f>IF(ISTEXT(I169),COUNTIF(I$2:I169,I169),0)</f>
        <v>10</v>
      </c>
    </row>
    <row r="170" spans="1:12" x14ac:dyDescent="0.25">
      <c r="A170" t="s">
        <v>93</v>
      </c>
      <c r="B170" s="12" t="str">
        <f t="shared" si="34"/>
        <v>05.11.2022</v>
      </c>
      <c r="C170" s="13">
        <v>0.72916666666666663</v>
      </c>
      <c r="D170" s="10" t="s">
        <v>15</v>
      </c>
      <c r="E170" s="10">
        <v>1</v>
      </c>
      <c r="F170" s="10">
        <v>4</v>
      </c>
      <c r="G170" s="11" t="s">
        <v>12</v>
      </c>
      <c r="I170" s="1" t="str">
        <f>IFERROR(INDEX(D$2:D$500,85),"")</f>
        <v>Raków Częstochowa</v>
      </c>
      <c r="J170" s="1">
        <f>IFERROR(INDEX(E$2:E$500,85),"")</f>
        <v>4</v>
      </c>
      <c r="K170" s="1">
        <f>IFERROR(INDEX(F$2:F$500,85),"")</f>
        <v>1</v>
      </c>
      <c r="L170">
        <f>IF(ISTEXT(I170),COUNTIF(I$2:I170,I170),0)</f>
        <v>10</v>
      </c>
    </row>
    <row r="171" spans="1:12" x14ac:dyDescent="0.25">
      <c r="A171" t="s">
        <v>93</v>
      </c>
      <c r="B171" s="12" t="str">
        <f t="shared" si="34"/>
        <v>05.11.2022</v>
      </c>
      <c r="C171" s="13">
        <v>0.625</v>
      </c>
      <c r="D171" s="10" t="s">
        <v>5</v>
      </c>
      <c r="E171" s="10">
        <v>1</v>
      </c>
      <c r="F171" s="10">
        <v>0</v>
      </c>
      <c r="G171" s="11" t="s">
        <v>8</v>
      </c>
      <c r="I171" s="1" t="str">
        <f>IFERROR(INDEX(G$2:G$500,85),"")</f>
        <v>Cracovia</v>
      </c>
      <c r="J171" s="1">
        <f>IFERROR(INDEX(F$2:F$500,85),"")</f>
        <v>1</v>
      </c>
      <c r="K171" s="1">
        <f>IFERROR(INDEX(E$2:E$500,85),"")</f>
        <v>4</v>
      </c>
      <c r="L171">
        <f>IF(ISTEXT(I171),COUNTIF(I$2:I171,I171),0)</f>
        <v>10</v>
      </c>
    </row>
    <row r="172" spans="1:12" x14ac:dyDescent="0.25">
      <c r="A172" t="s">
        <v>93</v>
      </c>
      <c r="B172" s="12" t="str">
        <f t="shared" si="34"/>
        <v>05.11.2022</v>
      </c>
      <c r="C172" s="13">
        <v>0.52083333333333337</v>
      </c>
      <c r="D172" s="10" t="s">
        <v>13</v>
      </c>
      <c r="E172" s="10">
        <v>0</v>
      </c>
      <c r="F172" s="10">
        <v>2</v>
      </c>
      <c r="G172" s="11" t="s">
        <v>20</v>
      </c>
      <c r="I172" s="1" t="str">
        <f>IFERROR(INDEX(D$2:D$500,86),"")</f>
        <v>Pogoń Szczecin</v>
      </c>
      <c r="J172" s="1">
        <f>IFERROR(INDEX(E$2:E$500,86),"")</f>
        <v>0</v>
      </c>
      <c r="K172" s="1">
        <f>IFERROR(INDEX(F$2:F$500,86),"")</f>
        <v>0</v>
      </c>
      <c r="L172">
        <f>IF(ISTEXT(I172),COUNTIF(I$2:I172,I172),0)</f>
        <v>10</v>
      </c>
    </row>
    <row r="173" spans="1:12" x14ac:dyDescent="0.25">
      <c r="A173" t="s">
        <v>94</v>
      </c>
      <c r="B173" s="12" t="str">
        <f t="shared" si="34"/>
        <v>04.11.2022</v>
      </c>
      <c r="C173" s="13">
        <v>0.85416666666666663</v>
      </c>
      <c r="D173" s="10" t="s">
        <v>9</v>
      </c>
      <c r="E173" s="10">
        <v>2</v>
      </c>
      <c r="F173" s="10">
        <v>1</v>
      </c>
      <c r="G173" s="11" t="s">
        <v>14</v>
      </c>
      <c r="I173" s="1" t="str">
        <f>IFERROR(INDEX(G$2:G$500,86),"")</f>
        <v>Korona Kielce</v>
      </c>
      <c r="J173" s="1">
        <f>IFERROR(INDEX(F$2:F$500,86),"")</f>
        <v>0</v>
      </c>
      <c r="K173" s="1">
        <f>IFERROR(INDEX(E$2:E$500,86),"")</f>
        <v>0</v>
      </c>
      <c r="L173">
        <f>IF(ISTEXT(I173),COUNTIF(I$2:I173,I173),0)</f>
        <v>10</v>
      </c>
    </row>
    <row r="174" spans="1:12" x14ac:dyDescent="0.25">
      <c r="A174" t="s">
        <v>94</v>
      </c>
      <c r="B174" s="12" t="str">
        <f t="shared" si="34"/>
        <v>04.11.2022</v>
      </c>
      <c r="C174" s="13">
        <v>0.75</v>
      </c>
      <c r="D174" s="10" t="s">
        <v>19</v>
      </c>
      <c r="E174" s="10">
        <v>3</v>
      </c>
      <c r="F174" s="10">
        <v>0</v>
      </c>
      <c r="G174" s="11" t="s">
        <v>18</v>
      </c>
      <c r="I174" s="1" t="str">
        <f>IFERROR(INDEX(D$2:D$500,87),"")</f>
        <v>Jagiellonia Białystok</v>
      </c>
      <c r="J174" s="1">
        <f>IFERROR(INDEX(E$2:E$500,87),"")</f>
        <v>2</v>
      </c>
      <c r="K174" s="1">
        <f>IFERROR(INDEX(F$2:F$500,87),"")</f>
        <v>2</v>
      </c>
      <c r="L174">
        <f>IF(ISTEXT(I174),COUNTIF(I$2:I174,I174),0)</f>
        <v>10</v>
      </c>
    </row>
    <row r="175" spans="1:12" x14ac:dyDescent="0.25">
      <c r="A175" t="s">
        <v>95</v>
      </c>
      <c r="B175" s="12" t="str">
        <f t="shared" si="34"/>
        <v>31.10.2022</v>
      </c>
      <c r="C175" s="13">
        <v>0.79166666666666663</v>
      </c>
      <c r="D175" s="10" t="s">
        <v>16</v>
      </c>
      <c r="E175" s="10">
        <v>2</v>
      </c>
      <c r="F175" s="10">
        <v>3</v>
      </c>
      <c r="G175" s="11" t="s">
        <v>20</v>
      </c>
      <c r="I175" s="1" t="str">
        <f>IFERROR(INDEX(G$2:G$500,87),"")</f>
        <v>Zagłębie Lubin</v>
      </c>
      <c r="J175" s="1">
        <f>IFERROR(INDEX(F$2:F$500,87),"")</f>
        <v>2</v>
      </c>
      <c r="K175" s="1">
        <f>IFERROR(INDEX(E$2:E$500,87),"")</f>
        <v>2</v>
      </c>
      <c r="L175">
        <f>IF(ISTEXT(I175),COUNTIF(I$2:I175,I175),0)</f>
        <v>10</v>
      </c>
    </row>
    <row r="176" spans="1:12" x14ac:dyDescent="0.25">
      <c r="A176" t="s">
        <v>96</v>
      </c>
      <c r="B176" s="12" t="str">
        <f t="shared" si="34"/>
        <v>30.10.2022</v>
      </c>
      <c r="C176" s="13">
        <v>0.72916666666666663</v>
      </c>
      <c r="D176" s="10" t="s">
        <v>7</v>
      </c>
      <c r="E176" s="10">
        <v>1</v>
      </c>
      <c r="F176" s="10">
        <v>2</v>
      </c>
      <c r="G176" s="11" t="s">
        <v>17</v>
      </c>
      <c r="I176" s="1" t="str">
        <f>IFERROR(INDEX(D$2:D$500,88),"")</f>
        <v>Śląsk Wrocław</v>
      </c>
      <c r="J176" s="1">
        <f>IFERROR(INDEX(E$2:E$500,88),"")</f>
        <v>1</v>
      </c>
      <c r="K176" s="1">
        <f>IFERROR(INDEX(F$2:F$500,88),"")</f>
        <v>1</v>
      </c>
      <c r="L176">
        <f>IF(ISTEXT(I176),COUNTIF(I$2:I176,I176),0)</f>
        <v>10</v>
      </c>
    </row>
    <row r="177" spans="1:12" x14ac:dyDescent="0.25">
      <c r="A177" t="s">
        <v>96</v>
      </c>
      <c r="B177" s="12" t="str">
        <f t="shared" si="34"/>
        <v>30.10.2022</v>
      </c>
      <c r="C177" s="13">
        <v>0.625</v>
      </c>
      <c r="D177" s="10" t="s">
        <v>14</v>
      </c>
      <c r="E177" s="10">
        <v>1</v>
      </c>
      <c r="F177" s="10">
        <v>0</v>
      </c>
      <c r="G177" s="11" t="s">
        <v>19</v>
      </c>
      <c r="I177" s="1" t="str">
        <f>IFERROR(INDEX(G$2:G$500,88),"")</f>
        <v>Stal Mielec</v>
      </c>
      <c r="J177" s="1">
        <f>IFERROR(INDEX(F$2:F$500,88),"")</f>
        <v>1</v>
      </c>
      <c r="K177" s="1">
        <f>IFERROR(INDEX(E$2:E$500,88),"")</f>
        <v>1</v>
      </c>
      <c r="L177">
        <f>IF(ISTEXT(I177),COUNTIF(I$2:I177,I177),0)</f>
        <v>10</v>
      </c>
    </row>
    <row r="178" spans="1:12" x14ac:dyDescent="0.25">
      <c r="A178" t="s">
        <v>96</v>
      </c>
      <c r="B178" s="12" t="str">
        <f t="shared" si="34"/>
        <v>30.10.2022</v>
      </c>
      <c r="C178" s="13">
        <v>0.52083333333333337</v>
      </c>
      <c r="D178" s="10" t="s">
        <v>18</v>
      </c>
      <c r="E178" s="10">
        <v>0</v>
      </c>
      <c r="F178" s="10">
        <v>2</v>
      </c>
      <c r="G178" s="11" t="s">
        <v>5</v>
      </c>
      <c r="I178" s="1" t="str">
        <f>IFERROR(INDEX(D$2:D$500,89),"")</f>
        <v>Radomiak Radom</v>
      </c>
      <c r="J178" s="1">
        <f>IFERROR(INDEX(E$2:E$500,89),"")</f>
        <v>0</v>
      </c>
      <c r="K178" s="1">
        <f>IFERROR(INDEX(F$2:F$500,89),"")</f>
        <v>2</v>
      </c>
      <c r="L178">
        <f>IF(ISTEXT(I178),COUNTIF(I$2:I178,I178),0)</f>
        <v>10</v>
      </c>
    </row>
    <row r="179" spans="1:12" x14ac:dyDescent="0.25">
      <c r="A179" t="s">
        <v>97</v>
      </c>
      <c r="B179" s="12" t="str">
        <f t="shared" si="34"/>
        <v>29.10.2022</v>
      </c>
      <c r="C179" s="13">
        <v>0.83333333333333337</v>
      </c>
      <c r="D179" s="10" t="s">
        <v>6</v>
      </c>
      <c r="E179" s="10">
        <v>1</v>
      </c>
      <c r="F179" s="10">
        <v>2</v>
      </c>
      <c r="G179" s="11" t="s">
        <v>10</v>
      </c>
      <c r="I179" s="1" t="str">
        <f>IFERROR(INDEX(G$2:G$500,89),"")</f>
        <v>Legia Warszawa</v>
      </c>
      <c r="J179" s="1">
        <f>IFERROR(INDEX(F$2:F$500,89),"")</f>
        <v>2</v>
      </c>
      <c r="K179" s="1">
        <f>IFERROR(INDEX(E$2:E$500,89),"")</f>
        <v>0</v>
      </c>
      <c r="L179">
        <f>IF(ISTEXT(I179),COUNTIF(I$2:I179,I179),0)</f>
        <v>10</v>
      </c>
    </row>
    <row r="180" spans="1:12" x14ac:dyDescent="0.25">
      <c r="A180" t="s">
        <v>97</v>
      </c>
      <c r="B180" s="12" t="str">
        <f t="shared" si="34"/>
        <v>29.10.2022</v>
      </c>
      <c r="C180" s="13">
        <v>0.72916666666666663</v>
      </c>
      <c r="D180" s="10" t="s">
        <v>8</v>
      </c>
      <c r="E180" s="10">
        <v>2</v>
      </c>
      <c r="F180" s="10">
        <v>5</v>
      </c>
      <c r="G180" s="11" t="s">
        <v>9</v>
      </c>
      <c r="I180" s="1" t="str">
        <f>IFERROR(INDEX(D$2:D$500,90),"")</f>
        <v>Górnik Zabrze</v>
      </c>
      <c r="J180" s="1">
        <f>IFERROR(INDEX(E$2:E$500,90),"")</f>
        <v>3</v>
      </c>
      <c r="K180" s="1">
        <f>IFERROR(INDEX(F$2:F$500,90),"")</f>
        <v>2</v>
      </c>
      <c r="L180">
        <f>IF(ISTEXT(I180),COUNTIF(I$2:I180,I180),0)</f>
        <v>10</v>
      </c>
    </row>
    <row r="181" spans="1:12" x14ac:dyDescent="0.25">
      <c r="A181" t="s">
        <v>97</v>
      </c>
      <c r="B181" s="12" t="str">
        <f t="shared" si="34"/>
        <v>29.10.2022</v>
      </c>
      <c r="C181" s="13">
        <v>0.625</v>
      </c>
      <c r="D181" s="10" t="s">
        <v>22</v>
      </c>
      <c r="E181" s="10">
        <v>1</v>
      </c>
      <c r="F181" s="10">
        <v>1</v>
      </c>
      <c r="G181" s="11" t="s">
        <v>13</v>
      </c>
      <c r="I181" s="1" t="str">
        <f>IFERROR(INDEX(G$2:G$500,90),"")</f>
        <v>Wisła Płock</v>
      </c>
      <c r="J181" s="1">
        <f>IFERROR(INDEX(F$2:F$500,90),"")</f>
        <v>2</v>
      </c>
      <c r="K181" s="1">
        <f>IFERROR(INDEX(E$2:E$500,90),"")</f>
        <v>3</v>
      </c>
      <c r="L181">
        <f>IF(ISTEXT(I181),COUNTIF(I$2:I181,I181),0)</f>
        <v>10</v>
      </c>
    </row>
    <row r="182" spans="1:12" x14ac:dyDescent="0.25">
      <c r="A182" t="s">
        <v>98</v>
      </c>
      <c r="B182" s="12" t="str">
        <f t="shared" si="34"/>
        <v>28.10.2022</v>
      </c>
      <c r="C182" s="13">
        <v>0.85416666666666663</v>
      </c>
      <c r="D182" s="10" t="s">
        <v>12</v>
      </c>
      <c r="E182" s="10">
        <v>3</v>
      </c>
      <c r="F182" s="10">
        <v>0</v>
      </c>
      <c r="G182" s="11" t="s">
        <v>21</v>
      </c>
      <c r="I182" s="1" t="str">
        <f>IFERROR(INDEX(D$2:D$500,91),"")</f>
        <v>Wisła Płock</v>
      </c>
      <c r="J182" s="1">
        <f>IFERROR(INDEX(E$2:E$500,91),"")</f>
        <v>1</v>
      </c>
      <c r="K182" s="1">
        <f>IFERROR(INDEX(F$2:F$500,91),"")</f>
        <v>1</v>
      </c>
      <c r="L182">
        <f>IF(ISTEXT(I182),COUNTIF(I$2:I182,I182),0)</f>
        <v>11</v>
      </c>
    </row>
    <row r="183" spans="1:12" x14ac:dyDescent="0.25">
      <c r="A183" t="s">
        <v>98</v>
      </c>
      <c r="B183" s="12" t="str">
        <f t="shared" si="34"/>
        <v>28.10.2022</v>
      </c>
      <c r="C183" s="13">
        <v>0.75</v>
      </c>
      <c r="D183" s="10" t="s">
        <v>11</v>
      </c>
      <c r="E183" s="10">
        <v>2</v>
      </c>
      <c r="F183" s="10">
        <v>4</v>
      </c>
      <c r="G183" s="11" t="s">
        <v>15</v>
      </c>
      <c r="I183" s="1" t="str">
        <f>IFERROR(INDEX(G$2:G$500,91),"")</f>
        <v>Widzew Łódź</v>
      </c>
      <c r="J183" s="1">
        <f>IFERROR(INDEX(F$2:F$500,91),"")</f>
        <v>1</v>
      </c>
      <c r="K183" s="1">
        <f>IFERROR(INDEX(E$2:E$500,91),"")</f>
        <v>1</v>
      </c>
      <c r="L183">
        <f>IF(ISTEXT(I183),COUNTIF(I$2:I183,I183),0)</f>
        <v>11</v>
      </c>
    </row>
    <row r="184" spans="1:12" x14ac:dyDescent="0.25">
      <c r="A184" t="s">
        <v>99</v>
      </c>
      <c r="B184" s="12" t="str">
        <f t="shared" si="34"/>
        <v>24.10.2022</v>
      </c>
      <c r="C184" s="13">
        <v>0.85416666666666663</v>
      </c>
      <c r="D184" s="10" t="s">
        <v>18</v>
      </c>
      <c r="E184" s="10">
        <v>0</v>
      </c>
      <c r="F184" s="10">
        <v>3</v>
      </c>
      <c r="G184" s="11" t="s">
        <v>14</v>
      </c>
      <c r="I184" s="1" t="str">
        <f>IFERROR(INDEX(D$2:D$500,92),"")</f>
        <v>Legia Warszawa</v>
      </c>
      <c r="J184" s="1">
        <f>IFERROR(INDEX(E$2:E$500,92),"")</f>
        <v>2</v>
      </c>
      <c r="K184" s="1">
        <f>IFERROR(INDEX(F$2:F$500,92),"")</f>
        <v>0</v>
      </c>
      <c r="L184">
        <f>IF(ISTEXT(I184),COUNTIF(I$2:I184,I184),0)</f>
        <v>11</v>
      </c>
    </row>
    <row r="185" spans="1:12" x14ac:dyDescent="0.25">
      <c r="A185" t="s">
        <v>99</v>
      </c>
      <c r="B185" s="12" t="str">
        <f t="shared" si="34"/>
        <v>24.10.2022</v>
      </c>
      <c r="C185" s="13">
        <v>0.75</v>
      </c>
      <c r="D185" s="10" t="s">
        <v>13</v>
      </c>
      <c r="E185" s="10">
        <v>1</v>
      </c>
      <c r="F185" s="10">
        <v>2</v>
      </c>
      <c r="G185" s="11" t="s">
        <v>16</v>
      </c>
      <c r="I185" s="1" t="str">
        <f>IFERROR(INDEX(G$2:G$500,92),"")</f>
        <v>Stal Mielec</v>
      </c>
      <c r="J185" s="1">
        <f>IFERROR(INDEX(F$2:F$500,92),"")</f>
        <v>0</v>
      </c>
      <c r="K185" s="1">
        <f>IFERROR(INDEX(E$2:E$500,92),"")</f>
        <v>2</v>
      </c>
      <c r="L185">
        <f>IF(ISTEXT(I185),COUNTIF(I$2:I185,I185),0)</f>
        <v>11</v>
      </c>
    </row>
    <row r="186" spans="1:12" x14ac:dyDescent="0.25">
      <c r="A186" t="s">
        <v>100</v>
      </c>
      <c r="B186" s="12" t="str">
        <f t="shared" si="34"/>
        <v>23.10.2022</v>
      </c>
      <c r="C186" s="13">
        <v>0.72916666666666663</v>
      </c>
      <c r="D186" s="10" t="s">
        <v>5</v>
      </c>
      <c r="E186" s="10">
        <v>0</v>
      </c>
      <c r="F186" s="10">
        <v>0</v>
      </c>
      <c r="G186" s="11" t="s">
        <v>7</v>
      </c>
      <c r="I186" s="1" t="str">
        <f>IFERROR(INDEX(D$2:D$500,93),"")</f>
        <v>Piast Gliwice</v>
      </c>
      <c r="J186" s="1">
        <f>IFERROR(INDEX(E$2:E$500,93),"")</f>
        <v>1</v>
      </c>
      <c r="K186" s="1">
        <f>IFERROR(INDEX(F$2:F$500,93),"")</f>
        <v>1</v>
      </c>
      <c r="L186">
        <f>IF(ISTEXT(I186),COUNTIF(I$2:I186,I186),0)</f>
        <v>11</v>
      </c>
    </row>
    <row r="187" spans="1:12" x14ac:dyDescent="0.25">
      <c r="A187" t="s">
        <v>100</v>
      </c>
      <c r="B187" s="12" t="str">
        <f t="shared" si="34"/>
        <v>23.10.2022</v>
      </c>
      <c r="C187" s="13">
        <v>0.625</v>
      </c>
      <c r="D187" s="10" t="s">
        <v>10</v>
      </c>
      <c r="E187" s="10">
        <v>2</v>
      </c>
      <c r="F187" s="10">
        <v>2</v>
      </c>
      <c r="G187" s="11" t="s">
        <v>8</v>
      </c>
      <c r="I187" s="1" t="str">
        <f>IFERROR(INDEX(G$2:G$500,93),"")</f>
        <v>Lech Poznań</v>
      </c>
      <c r="J187" s="1">
        <f>IFERROR(INDEX(F$2:F$500,93),"")</f>
        <v>1</v>
      </c>
      <c r="K187" s="1">
        <f>IFERROR(INDEX(E$2:E$500,93),"")</f>
        <v>1</v>
      </c>
      <c r="L187">
        <f>IF(ISTEXT(I187),COUNTIF(I$2:I187,I187),0)</f>
        <v>11</v>
      </c>
    </row>
    <row r="188" spans="1:12" x14ac:dyDescent="0.25">
      <c r="A188" t="s">
        <v>100</v>
      </c>
      <c r="B188" s="12" t="str">
        <f t="shared" ref="B188:B219" si="35">A188&amp;2022</f>
        <v>23.10.2022</v>
      </c>
      <c r="C188" s="13">
        <v>0.52083333333333337</v>
      </c>
      <c r="D188" s="10" t="s">
        <v>20</v>
      </c>
      <c r="E188" s="10">
        <v>0</v>
      </c>
      <c r="F188" s="10">
        <v>0</v>
      </c>
      <c r="G188" s="11" t="s">
        <v>12</v>
      </c>
      <c r="I188" s="1" t="str">
        <f>IFERROR(INDEX(D$2:D$500,94),"")</f>
        <v>Warta Poznań</v>
      </c>
      <c r="J188" s="1">
        <f>IFERROR(INDEX(E$2:E$500,94),"")</f>
        <v>0</v>
      </c>
      <c r="K188" s="1">
        <f>IFERROR(INDEX(F$2:F$500,94),"")</f>
        <v>0</v>
      </c>
      <c r="L188">
        <f>IF(ISTEXT(I188),COUNTIF(I$2:I188,I188),0)</f>
        <v>11</v>
      </c>
    </row>
    <row r="189" spans="1:12" x14ac:dyDescent="0.25">
      <c r="A189" t="s">
        <v>101</v>
      </c>
      <c r="B189" s="12" t="str">
        <f t="shared" si="35"/>
        <v>22.10.2022</v>
      </c>
      <c r="C189" s="13">
        <v>0.83333333333333337</v>
      </c>
      <c r="D189" s="10" t="s">
        <v>17</v>
      </c>
      <c r="E189" s="10">
        <v>1</v>
      </c>
      <c r="F189" s="10">
        <v>0</v>
      </c>
      <c r="G189" s="11" t="s">
        <v>22</v>
      </c>
      <c r="I189" s="1" t="str">
        <f>IFERROR(INDEX(G$2:G$500,94),"")</f>
        <v>Cracovia</v>
      </c>
      <c r="J189" s="1">
        <f>IFERROR(INDEX(F$2:F$500,94),"")</f>
        <v>0</v>
      </c>
      <c r="K189" s="1">
        <f>IFERROR(INDEX(E$2:E$500,94),"")</f>
        <v>0</v>
      </c>
      <c r="L189">
        <f>IF(ISTEXT(I189),COUNTIF(I$2:I189,I189),0)</f>
        <v>11</v>
      </c>
    </row>
    <row r="190" spans="1:12" x14ac:dyDescent="0.25">
      <c r="A190" t="s">
        <v>101</v>
      </c>
      <c r="B190" s="12" t="str">
        <f t="shared" si="35"/>
        <v>22.10.2022</v>
      </c>
      <c r="C190" s="13">
        <v>0.72916666666666663</v>
      </c>
      <c r="D190" s="10" t="s">
        <v>9</v>
      </c>
      <c r="E190" s="10">
        <v>1</v>
      </c>
      <c r="F190" s="10">
        <v>1</v>
      </c>
      <c r="G190" s="11" t="s">
        <v>15</v>
      </c>
      <c r="I190" s="1" t="str">
        <f>IFERROR(INDEX(D$2:D$500,95),"")</f>
        <v>Jagiellonia Białystok</v>
      </c>
      <c r="J190" s="1">
        <f>IFERROR(INDEX(E$2:E$500,95),"")</f>
        <v>2</v>
      </c>
      <c r="K190" s="1">
        <f>IFERROR(INDEX(F$2:F$500,95),"")</f>
        <v>1</v>
      </c>
      <c r="L190">
        <f>IF(ISTEXT(I190),COUNTIF(I$2:I190,I190),0)</f>
        <v>11</v>
      </c>
    </row>
    <row r="191" spans="1:12" x14ac:dyDescent="0.25">
      <c r="A191" t="s">
        <v>101</v>
      </c>
      <c r="B191" s="12" t="str">
        <f t="shared" si="35"/>
        <v>22.10.2022</v>
      </c>
      <c r="C191" s="13">
        <v>0.625</v>
      </c>
      <c r="D191" s="10" t="s">
        <v>19</v>
      </c>
      <c r="E191" s="10">
        <v>1</v>
      </c>
      <c r="F191" s="10">
        <v>1</v>
      </c>
      <c r="G191" s="11" t="s">
        <v>6</v>
      </c>
      <c r="I191" s="1" t="str">
        <f>IFERROR(INDEX(G$2:G$500,95),"")</f>
        <v>Górnik Zabrze</v>
      </c>
      <c r="J191" s="1">
        <f>IFERROR(INDEX(F$2:F$500,95),"")</f>
        <v>1</v>
      </c>
      <c r="K191" s="1">
        <f>IFERROR(INDEX(E$2:E$500,95),"")</f>
        <v>2</v>
      </c>
      <c r="L191">
        <f>IF(ISTEXT(I191),COUNTIF(I$2:I191,I191),0)</f>
        <v>11</v>
      </c>
    </row>
    <row r="192" spans="1:12" x14ac:dyDescent="0.25">
      <c r="A192" t="s">
        <v>102</v>
      </c>
      <c r="B192" s="12" t="str">
        <f t="shared" si="35"/>
        <v>21.10.2022</v>
      </c>
      <c r="C192" s="13">
        <v>0.85416666666666663</v>
      </c>
      <c r="D192" s="10" t="s">
        <v>21</v>
      </c>
      <c r="E192" s="10">
        <v>1</v>
      </c>
      <c r="F192" s="10">
        <v>0</v>
      </c>
      <c r="G192" s="11" t="s">
        <v>11</v>
      </c>
      <c r="I192" s="1" t="str">
        <f>IFERROR(INDEX(D$2:D$500,96),"")</f>
        <v>Zagłębie Lubin</v>
      </c>
      <c r="J192" s="1">
        <f>IFERROR(INDEX(E$2:E$500,96),"")</f>
        <v>0</v>
      </c>
      <c r="K192" s="1">
        <f>IFERROR(INDEX(F$2:F$500,96),"")</f>
        <v>1</v>
      </c>
      <c r="L192">
        <f>IF(ISTEXT(I192),COUNTIF(I$2:I192,I192),0)</f>
        <v>11</v>
      </c>
    </row>
    <row r="193" spans="1:12" x14ac:dyDescent="0.25">
      <c r="A193" t="s">
        <v>103</v>
      </c>
      <c r="B193" s="12" t="str">
        <f t="shared" si="35"/>
        <v>16.10.2022</v>
      </c>
      <c r="C193" s="13">
        <v>0.77083333333333337</v>
      </c>
      <c r="D193" s="10" t="s">
        <v>12</v>
      </c>
      <c r="E193" s="10">
        <v>1</v>
      </c>
      <c r="F193" s="10">
        <v>2</v>
      </c>
      <c r="G193" s="11" t="s">
        <v>7</v>
      </c>
      <c r="I193" s="1" t="str">
        <f>IFERROR(INDEX(G$2:G$500,96),"")</f>
        <v>Pogoń Szczecin</v>
      </c>
      <c r="J193" s="1">
        <f>IFERROR(INDEX(F$2:F$500,96),"")</f>
        <v>1</v>
      </c>
      <c r="K193" s="1">
        <f>IFERROR(INDEX(E$2:E$500,96),"")</f>
        <v>0</v>
      </c>
      <c r="L193">
        <f>IF(ISTEXT(I193),COUNTIF(I$2:I193,I193),0)</f>
        <v>11</v>
      </c>
    </row>
    <row r="194" spans="1:12" x14ac:dyDescent="0.25">
      <c r="A194" t="s">
        <v>103</v>
      </c>
      <c r="B194" s="12" t="str">
        <f t="shared" si="35"/>
        <v>16.10.2022</v>
      </c>
      <c r="C194" s="13">
        <v>0.625</v>
      </c>
      <c r="D194" s="10" t="s">
        <v>21</v>
      </c>
      <c r="E194" s="10">
        <v>3</v>
      </c>
      <c r="F194" s="10">
        <v>0</v>
      </c>
      <c r="G194" s="11" t="s">
        <v>18</v>
      </c>
      <c r="I194" s="1" t="str">
        <f>IFERROR(INDEX(D$2:D$500,97),"")</f>
        <v>Korona Kielce</v>
      </c>
      <c r="J194" s="1">
        <f>IFERROR(INDEX(E$2:E$500,97),"")</f>
        <v>2</v>
      </c>
      <c r="K194" s="1">
        <f>IFERROR(INDEX(F$2:F$500,97),"")</f>
        <v>1</v>
      </c>
      <c r="L194">
        <f>IF(ISTEXT(I194),COUNTIF(I$2:I194,I194),0)</f>
        <v>11</v>
      </c>
    </row>
    <row r="195" spans="1:12" x14ac:dyDescent="0.25">
      <c r="A195" t="s">
        <v>103</v>
      </c>
      <c r="B195" s="12" t="str">
        <f t="shared" si="35"/>
        <v>16.10.2022</v>
      </c>
      <c r="C195" s="13">
        <v>0.52083333333333337</v>
      </c>
      <c r="D195" s="10" t="s">
        <v>11</v>
      </c>
      <c r="E195" s="10">
        <v>1</v>
      </c>
      <c r="F195" s="10">
        <v>1</v>
      </c>
      <c r="G195" s="11" t="s">
        <v>5</v>
      </c>
      <c r="I195" s="1" t="str">
        <f>IFERROR(INDEX(G$2:G$500,97),"")</f>
        <v>Radomiak Radom</v>
      </c>
      <c r="J195" s="1">
        <f>IFERROR(INDEX(F$2:F$500,97),"")</f>
        <v>1</v>
      </c>
      <c r="K195" s="1">
        <f>IFERROR(INDEX(E$2:E$500,97),"")</f>
        <v>2</v>
      </c>
      <c r="L195">
        <f>IF(ISTEXT(I195),COUNTIF(I$2:I195,I195),0)</f>
        <v>11</v>
      </c>
    </row>
    <row r="196" spans="1:12" x14ac:dyDescent="0.25">
      <c r="A196" t="s">
        <v>104</v>
      </c>
      <c r="B196" s="12" t="str">
        <f t="shared" si="35"/>
        <v>15.10.2022</v>
      </c>
      <c r="C196" s="13">
        <v>0.83333333333333337</v>
      </c>
      <c r="D196" s="10" t="s">
        <v>15</v>
      </c>
      <c r="E196" s="10">
        <v>1</v>
      </c>
      <c r="F196" s="10">
        <v>1</v>
      </c>
      <c r="G196" s="11" t="s">
        <v>13</v>
      </c>
      <c r="I196" s="1" t="str">
        <f>IFERROR(INDEX(D$2:D$500,98),"")</f>
        <v>Raków Częstochowa</v>
      </c>
      <c r="J196" s="1">
        <f>IFERROR(INDEX(E$2:E$500,98),"")</f>
        <v>4</v>
      </c>
      <c r="K196" s="1">
        <f>IFERROR(INDEX(F$2:F$500,98),"")</f>
        <v>1</v>
      </c>
      <c r="L196">
        <f>IF(ISTEXT(I196),COUNTIF(I$2:I196,I196),0)</f>
        <v>11</v>
      </c>
    </row>
    <row r="197" spans="1:12" x14ac:dyDescent="0.25">
      <c r="A197" t="s">
        <v>104</v>
      </c>
      <c r="B197" s="12" t="str">
        <f t="shared" si="35"/>
        <v>15.10.2022</v>
      </c>
      <c r="C197" s="13">
        <v>0.72916666666666663</v>
      </c>
      <c r="D197" s="10" t="s">
        <v>20</v>
      </c>
      <c r="E197" s="10">
        <v>2</v>
      </c>
      <c r="F197" s="10">
        <v>0</v>
      </c>
      <c r="G197" s="11" t="s">
        <v>8</v>
      </c>
      <c r="I197" s="1" t="str">
        <f>IFERROR(INDEX(G$2:G$500,98),"")</f>
        <v>Śląsk Wrocław</v>
      </c>
      <c r="J197" s="1">
        <f>IFERROR(INDEX(F$2:F$500,98),"")</f>
        <v>1</v>
      </c>
      <c r="K197" s="1">
        <f>IFERROR(INDEX(E$2:E$500,98),"")</f>
        <v>4</v>
      </c>
      <c r="L197">
        <f>IF(ISTEXT(I197),COUNTIF(I$2:I197,I197),0)</f>
        <v>11</v>
      </c>
    </row>
    <row r="198" spans="1:12" x14ac:dyDescent="0.25">
      <c r="A198" t="s">
        <v>104</v>
      </c>
      <c r="B198" s="12" t="str">
        <f t="shared" si="35"/>
        <v>15.10.2022</v>
      </c>
      <c r="C198" s="13">
        <v>0.625</v>
      </c>
      <c r="D198" s="10" t="s">
        <v>14</v>
      </c>
      <c r="E198" s="10">
        <v>0</v>
      </c>
      <c r="F198" s="10">
        <v>3</v>
      </c>
      <c r="G198" s="11" t="s">
        <v>17</v>
      </c>
      <c r="I198" s="1" t="str">
        <f>IFERROR(INDEX(D$2:D$500,99),"")</f>
        <v>Lechia Gdańsk</v>
      </c>
      <c r="J198" s="1">
        <f>IFERROR(INDEX(E$2:E$500,99),"")</f>
        <v>4</v>
      </c>
      <c r="K198" s="1">
        <f>IFERROR(INDEX(F$2:F$500,99),"")</f>
        <v>0</v>
      </c>
      <c r="L198">
        <f>IF(ISTEXT(I198),COUNTIF(I$2:I198,I198),0)</f>
        <v>11</v>
      </c>
    </row>
    <row r="199" spans="1:12" x14ac:dyDescent="0.25">
      <c r="A199" t="s">
        <v>104</v>
      </c>
      <c r="B199" s="12" t="str">
        <f t="shared" si="35"/>
        <v>15.10.2022</v>
      </c>
      <c r="C199" s="13">
        <v>0.52083333333333337</v>
      </c>
      <c r="D199" s="10" t="s">
        <v>16</v>
      </c>
      <c r="E199" s="10">
        <v>2</v>
      </c>
      <c r="F199" s="10">
        <v>0</v>
      </c>
      <c r="G199" s="11" t="s">
        <v>10</v>
      </c>
      <c r="I199" s="1" t="str">
        <f>IFERROR(INDEX(G$2:G$500,99),"")</f>
        <v>Miedź Legnica</v>
      </c>
      <c r="J199" s="1">
        <f>IFERROR(INDEX(F$2:F$500,99),"")</f>
        <v>0</v>
      </c>
      <c r="K199" s="1">
        <f>IFERROR(INDEX(E$2:E$500,99),"")</f>
        <v>4</v>
      </c>
      <c r="L199">
        <f>IF(ISTEXT(I199),COUNTIF(I$2:I199,I199),0)</f>
        <v>11</v>
      </c>
    </row>
    <row r="200" spans="1:12" x14ac:dyDescent="0.25">
      <c r="A200" t="s">
        <v>105</v>
      </c>
      <c r="B200" s="12" t="str">
        <f t="shared" si="35"/>
        <v>14.10.2022</v>
      </c>
      <c r="C200" s="13">
        <v>0.85416666666666663</v>
      </c>
      <c r="D200" s="10" t="s">
        <v>6</v>
      </c>
      <c r="E200" s="10">
        <v>2</v>
      </c>
      <c r="F200" s="10">
        <v>1</v>
      </c>
      <c r="G200" s="11" t="s">
        <v>9</v>
      </c>
      <c r="I200" s="1" t="str">
        <f>IFERROR(INDEX(D$2:D$500,100),"")</f>
        <v>Wisła Płock</v>
      </c>
      <c r="J200" s="1">
        <f>IFERROR(INDEX(E$2:E$500,100),"")</f>
        <v>1</v>
      </c>
      <c r="K200" s="1">
        <f>IFERROR(INDEX(F$2:F$500,100),"")</f>
        <v>0</v>
      </c>
      <c r="L200">
        <f>IF(ISTEXT(I200),COUNTIF(I$2:I200,I200),0)</f>
        <v>12</v>
      </c>
    </row>
    <row r="201" spans="1:12" x14ac:dyDescent="0.25">
      <c r="A201" t="s">
        <v>105</v>
      </c>
      <c r="B201" s="12" t="str">
        <f t="shared" si="35"/>
        <v>14.10.2022</v>
      </c>
      <c r="C201" s="13">
        <v>0.75</v>
      </c>
      <c r="D201" s="10" t="s">
        <v>22</v>
      </c>
      <c r="E201" s="10">
        <v>0</v>
      </c>
      <c r="F201" s="10">
        <v>2</v>
      </c>
      <c r="G201" s="11" t="s">
        <v>19</v>
      </c>
      <c r="I201" s="1" t="str">
        <f>IFERROR(INDEX(G$2:G$500,100),"")</f>
        <v>Warta Poznań</v>
      </c>
      <c r="J201" s="1">
        <f>IFERROR(INDEX(F$2:F$500,100),"")</f>
        <v>0</v>
      </c>
      <c r="K201" s="1">
        <f>IFERROR(INDEX(E$2:E$500,100),"")</f>
        <v>1</v>
      </c>
      <c r="L201">
        <f>IF(ISTEXT(I201),COUNTIF(I$2:I201,I201),0)</f>
        <v>12</v>
      </c>
    </row>
    <row r="202" spans="1:12" x14ac:dyDescent="0.25">
      <c r="A202" t="s">
        <v>106</v>
      </c>
      <c r="B202" s="12" t="str">
        <f t="shared" si="35"/>
        <v>10.10.2022</v>
      </c>
      <c r="C202" s="13">
        <v>0.85416666666666663</v>
      </c>
      <c r="D202" s="10" t="s">
        <v>13</v>
      </c>
      <c r="E202" s="10">
        <v>1</v>
      </c>
      <c r="F202" s="10">
        <v>2</v>
      </c>
      <c r="G202" s="11" t="s">
        <v>21</v>
      </c>
      <c r="I202" s="1" t="str">
        <f>IFERROR(INDEX(D$2:D$500,101),"")</f>
        <v>Radomiak Radom</v>
      </c>
      <c r="J202" s="1">
        <f>IFERROR(INDEX(E$2:E$500,101),"")</f>
        <v>0</v>
      </c>
      <c r="K202" s="1">
        <f>IFERROR(INDEX(F$2:F$500,101),"")</f>
        <v>1</v>
      </c>
      <c r="L202">
        <f>IF(ISTEXT(I202),COUNTIF(I$2:I202,I202),0)</f>
        <v>12</v>
      </c>
    </row>
    <row r="203" spans="1:12" x14ac:dyDescent="0.25">
      <c r="A203" t="s">
        <v>106</v>
      </c>
      <c r="B203" s="12" t="str">
        <f t="shared" si="35"/>
        <v>10.10.2022</v>
      </c>
      <c r="C203" s="13">
        <v>0.75</v>
      </c>
      <c r="D203" s="10" t="s">
        <v>17</v>
      </c>
      <c r="E203" s="10">
        <v>1</v>
      </c>
      <c r="F203" s="10">
        <v>0</v>
      </c>
      <c r="G203" s="11" t="s">
        <v>11</v>
      </c>
      <c r="I203" s="1" t="str">
        <f>IFERROR(INDEX(G$2:G$500,101),"")</f>
        <v>Zagłębie Lubin</v>
      </c>
      <c r="J203" s="1">
        <f>IFERROR(INDEX(F$2:F$500,101),"")</f>
        <v>1</v>
      </c>
      <c r="K203" s="1">
        <f>IFERROR(INDEX(E$2:E$500,101),"")</f>
        <v>0</v>
      </c>
      <c r="L203">
        <f>IF(ISTEXT(I203),COUNTIF(I$2:I203,I203),0)</f>
        <v>12</v>
      </c>
    </row>
    <row r="204" spans="1:12" x14ac:dyDescent="0.25">
      <c r="A204" t="s">
        <v>107</v>
      </c>
      <c r="B204" s="12" t="str">
        <f t="shared" si="35"/>
        <v>09.10.2022</v>
      </c>
      <c r="C204" s="13">
        <v>0.72916666666666663</v>
      </c>
      <c r="D204" s="10" t="s">
        <v>7</v>
      </c>
      <c r="E204" s="10">
        <v>1</v>
      </c>
      <c r="F204" s="10">
        <v>0</v>
      </c>
      <c r="G204" s="11" t="s">
        <v>16</v>
      </c>
      <c r="I204" s="1" t="str">
        <f>IFERROR(INDEX(D$2:D$500,102),"")</f>
        <v>Cracovia</v>
      </c>
      <c r="J204" s="1">
        <f>IFERROR(INDEX(E$2:E$500,102),"")</f>
        <v>1</v>
      </c>
      <c r="K204" s="1">
        <f>IFERROR(INDEX(F$2:F$500,102),"")</f>
        <v>1</v>
      </c>
      <c r="L204">
        <f>IF(ISTEXT(I204),COUNTIF(I$2:I204,I204),0)</f>
        <v>12</v>
      </c>
    </row>
    <row r="205" spans="1:12" x14ac:dyDescent="0.25">
      <c r="A205" t="s">
        <v>107</v>
      </c>
      <c r="B205" s="12" t="str">
        <f t="shared" si="35"/>
        <v>09.10.2022</v>
      </c>
      <c r="C205" s="13">
        <v>0.625</v>
      </c>
      <c r="D205" s="10" t="s">
        <v>18</v>
      </c>
      <c r="E205" s="10">
        <v>1</v>
      </c>
      <c r="F205" s="10">
        <v>1</v>
      </c>
      <c r="G205" s="11" t="s">
        <v>22</v>
      </c>
      <c r="I205" s="1" t="str">
        <f>IFERROR(INDEX(G$2:G$500,102),"")</f>
        <v>Śląsk Wrocław</v>
      </c>
      <c r="J205" s="1">
        <f>IFERROR(INDEX(F$2:F$500,102),"")</f>
        <v>1</v>
      </c>
      <c r="K205" s="1">
        <f>IFERROR(INDEX(E$2:E$500,102),"")</f>
        <v>1</v>
      </c>
      <c r="L205">
        <f>IF(ISTEXT(I205),COUNTIF(I$2:I205,I205),0)</f>
        <v>12</v>
      </c>
    </row>
    <row r="206" spans="1:12" x14ac:dyDescent="0.25">
      <c r="A206" t="s">
        <v>108</v>
      </c>
      <c r="B206" s="12" t="str">
        <f t="shared" si="35"/>
        <v>08.10.2022</v>
      </c>
      <c r="C206" s="13">
        <v>0.83333333333333337</v>
      </c>
      <c r="D206" s="10" t="s">
        <v>5</v>
      </c>
      <c r="E206" s="10">
        <v>0</v>
      </c>
      <c r="F206" s="10">
        <v>1</v>
      </c>
      <c r="G206" s="11" t="s">
        <v>14</v>
      </c>
      <c r="I206" s="1" t="str">
        <f>IFERROR(INDEX(D$2:D$500,103),"")</f>
        <v>Pogoń Szczecin</v>
      </c>
      <c r="J206" s="1">
        <f>IFERROR(INDEX(E$2:E$500,103),"")</f>
        <v>0</v>
      </c>
      <c r="K206" s="1">
        <f>IFERROR(INDEX(F$2:F$500,103),"")</f>
        <v>2</v>
      </c>
      <c r="L206">
        <f>IF(ISTEXT(I206),COUNTIF(I$2:I206,I206),0)</f>
        <v>12</v>
      </c>
    </row>
    <row r="207" spans="1:12" x14ac:dyDescent="0.25">
      <c r="A207" t="s">
        <v>108</v>
      </c>
      <c r="B207" s="12" t="str">
        <f t="shared" si="35"/>
        <v>08.10.2022</v>
      </c>
      <c r="C207" s="13">
        <v>0.72916666666666663</v>
      </c>
      <c r="D207" s="10" t="s">
        <v>9</v>
      </c>
      <c r="E207" s="10">
        <v>1</v>
      </c>
      <c r="F207" s="10">
        <v>0</v>
      </c>
      <c r="G207" s="11" t="s">
        <v>20</v>
      </c>
      <c r="I207" s="1" t="str">
        <f>IFERROR(INDEX(G$2:G$500,103),"")</f>
        <v>Raków Częstochowa</v>
      </c>
      <c r="J207" s="1">
        <f>IFERROR(INDEX(F$2:F$500,103),"")</f>
        <v>2</v>
      </c>
      <c r="K207" s="1">
        <f>IFERROR(INDEX(E$2:E$500,103),"")</f>
        <v>0</v>
      </c>
      <c r="L207">
        <f>IF(ISTEXT(I207),COUNTIF(I$2:I207,I207),0)</f>
        <v>12</v>
      </c>
    </row>
    <row r="208" spans="1:12" x14ac:dyDescent="0.25">
      <c r="A208" t="s">
        <v>108</v>
      </c>
      <c r="B208" s="12" t="str">
        <f t="shared" si="35"/>
        <v>08.10.2022</v>
      </c>
      <c r="C208" s="13">
        <v>0.625</v>
      </c>
      <c r="D208" s="10" t="s">
        <v>10</v>
      </c>
      <c r="E208" s="10">
        <v>4</v>
      </c>
      <c r="F208" s="10">
        <v>1</v>
      </c>
      <c r="G208" s="11" t="s">
        <v>12</v>
      </c>
      <c r="I208" s="1" t="str">
        <f>IFERROR(INDEX(D$2:D$500,104),"")</f>
        <v>Miedź Legnica</v>
      </c>
      <c r="J208" s="1">
        <f>IFERROR(INDEX(E$2:E$500,104),"")</f>
        <v>1</v>
      </c>
      <c r="K208" s="1">
        <f>IFERROR(INDEX(F$2:F$500,104),"")</f>
        <v>1</v>
      </c>
      <c r="L208">
        <f>IF(ISTEXT(I208),COUNTIF(I$2:I208,I208),0)</f>
        <v>12</v>
      </c>
    </row>
    <row r="209" spans="1:12" x14ac:dyDescent="0.25">
      <c r="A209" t="s">
        <v>109</v>
      </c>
      <c r="B209" s="12" t="str">
        <f t="shared" si="35"/>
        <v>07.10.2022</v>
      </c>
      <c r="C209" s="13">
        <v>0.85416666666666663</v>
      </c>
      <c r="D209" s="10" t="s">
        <v>8</v>
      </c>
      <c r="E209" s="10">
        <v>1</v>
      </c>
      <c r="F209" s="10">
        <v>1</v>
      </c>
      <c r="G209" s="11" t="s">
        <v>6</v>
      </c>
      <c r="I209" s="1" t="str">
        <f>IFERROR(INDEX(G$2:G$500,104),"")</f>
        <v>Jagiellonia Białystok</v>
      </c>
      <c r="J209" s="1">
        <f>IFERROR(INDEX(F$2:F$500,104),"")</f>
        <v>1</v>
      </c>
      <c r="K209" s="1">
        <f>IFERROR(INDEX(E$2:E$500,104),"")</f>
        <v>1</v>
      </c>
      <c r="L209">
        <f>IF(ISTEXT(I209),COUNTIF(I$2:I209,I209),0)</f>
        <v>12</v>
      </c>
    </row>
    <row r="210" spans="1:12" x14ac:dyDescent="0.25">
      <c r="A210" t="s">
        <v>109</v>
      </c>
      <c r="B210" s="12" t="str">
        <f t="shared" si="35"/>
        <v>07.10.2022</v>
      </c>
      <c r="C210" s="13">
        <v>0.75</v>
      </c>
      <c r="D210" s="10" t="s">
        <v>19</v>
      </c>
      <c r="E210" s="10">
        <v>4</v>
      </c>
      <c r="F210" s="10">
        <v>2</v>
      </c>
      <c r="G210" s="11" t="s">
        <v>15</v>
      </c>
      <c r="I210" s="1" t="str">
        <f>IFERROR(INDEX(D$2:D$500,105),"")</f>
        <v>Górnik Zabrze</v>
      </c>
      <c r="J210" s="1">
        <f>IFERROR(INDEX(E$2:E$500,105),"")</f>
        <v>0</v>
      </c>
      <c r="K210" s="1">
        <f>IFERROR(INDEX(F$2:F$500,105),"")</f>
        <v>1</v>
      </c>
      <c r="L210">
        <f>IF(ISTEXT(I210),COUNTIF(I$2:I210,I210),0)</f>
        <v>12</v>
      </c>
    </row>
    <row r="211" spans="1:12" x14ac:dyDescent="0.25">
      <c r="A211" t="s">
        <v>110</v>
      </c>
      <c r="B211" s="12" t="str">
        <f t="shared" si="35"/>
        <v>06.10.2022</v>
      </c>
      <c r="C211" s="13">
        <v>0.86458333333333337</v>
      </c>
      <c r="D211" s="10" t="s">
        <v>13</v>
      </c>
      <c r="E211" s="10">
        <v>0</v>
      </c>
      <c r="F211" s="10">
        <v>1</v>
      </c>
      <c r="G211" s="11" t="s">
        <v>17</v>
      </c>
      <c r="I211" s="1" t="str">
        <f>IFERROR(INDEX(G$2:G$500,105),"")</f>
        <v>Legia Warszawa</v>
      </c>
      <c r="J211" s="1">
        <f>IFERROR(INDEX(F$2:F$500,105),"")</f>
        <v>1</v>
      </c>
      <c r="K211" s="1">
        <f>IFERROR(INDEX(E$2:E$500,105),"")</f>
        <v>0</v>
      </c>
      <c r="L211">
        <f>IF(ISTEXT(I211),COUNTIF(I$2:I211,I211),0)</f>
        <v>12</v>
      </c>
    </row>
    <row r="212" spans="1:12" x14ac:dyDescent="0.25">
      <c r="A212" t="s">
        <v>111</v>
      </c>
      <c r="B212" s="12" t="str">
        <f t="shared" si="35"/>
        <v>03.10.2022</v>
      </c>
      <c r="C212" s="13">
        <v>0.79166666666666663</v>
      </c>
      <c r="D212" s="10" t="s">
        <v>10</v>
      </c>
      <c r="E212" s="10">
        <v>0</v>
      </c>
      <c r="F212" s="10">
        <v>2</v>
      </c>
      <c r="G212" s="11" t="s">
        <v>20</v>
      </c>
      <c r="I212" s="1" t="str">
        <f>IFERROR(INDEX(D$2:D$500,106),"")</f>
        <v>Korona Kielce</v>
      </c>
      <c r="J212" s="1">
        <f>IFERROR(INDEX(E$2:E$500,106),"")</f>
        <v>1</v>
      </c>
      <c r="K212" s="1">
        <f>IFERROR(INDEX(F$2:F$500,106),"")</f>
        <v>0</v>
      </c>
      <c r="L212">
        <f>IF(ISTEXT(I212),COUNTIF(I$2:I212,I212),0)</f>
        <v>12</v>
      </c>
    </row>
    <row r="213" spans="1:12" x14ac:dyDescent="0.25">
      <c r="A213" t="s">
        <v>112</v>
      </c>
      <c r="B213" s="12" t="str">
        <f t="shared" si="35"/>
        <v>02.10.2022</v>
      </c>
      <c r="C213" s="13">
        <v>0.72916666666666663</v>
      </c>
      <c r="D213" s="10" t="s">
        <v>21</v>
      </c>
      <c r="E213" s="10">
        <v>0</v>
      </c>
      <c r="F213" s="10">
        <v>0</v>
      </c>
      <c r="G213" s="11" t="s">
        <v>17</v>
      </c>
      <c r="I213" s="1" t="str">
        <f>IFERROR(INDEX(G$2:G$500,106),"")</f>
        <v>Wisła Płock</v>
      </c>
      <c r="J213" s="1">
        <f>IFERROR(INDEX(F$2:F$500,106),"")</f>
        <v>0</v>
      </c>
      <c r="K213" s="1">
        <f>IFERROR(INDEX(E$2:E$500,106),"")</f>
        <v>1</v>
      </c>
      <c r="L213">
        <f>IF(ISTEXT(I213),COUNTIF(I$2:I213,I213),0)</f>
        <v>13</v>
      </c>
    </row>
    <row r="214" spans="1:12" x14ac:dyDescent="0.25">
      <c r="A214" t="s">
        <v>112</v>
      </c>
      <c r="B214" s="12" t="str">
        <f t="shared" si="35"/>
        <v>02.10.2022</v>
      </c>
      <c r="C214" s="13">
        <v>0.625</v>
      </c>
      <c r="D214" s="10" t="s">
        <v>8</v>
      </c>
      <c r="E214" s="10">
        <v>4</v>
      </c>
      <c r="F214" s="10">
        <v>1</v>
      </c>
      <c r="G214" s="11" t="s">
        <v>22</v>
      </c>
      <c r="I214" s="1" t="str">
        <f>IFERROR(INDEX(D$2:D$500,107),"")</f>
        <v>Widzew Łódź</v>
      </c>
      <c r="J214" s="1">
        <f>IFERROR(INDEX(E$2:E$500,107),"")</f>
        <v>0</v>
      </c>
      <c r="K214" s="1">
        <f>IFERROR(INDEX(F$2:F$500,107),"")</f>
        <v>2</v>
      </c>
      <c r="L214">
        <f>IF(ISTEXT(I214),COUNTIF(I$2:I214,I214),0)</f>
        <v>12</v>
      </c>
    </row>
    <row r="215" spans="1:12" x14ac:dyDescent="0.25">
      <c r="A215" t="s">
        <v>112</v>
      </c>
      <c r="B215" s="12" t="str">
        <f t="shared" si="35"/>
        <v>02.10.2022</v>
      </c>
      <c r="C215" s="13">
        <v>0.52083333333333337</v>
      </c>
      <c r="D215" s="10" t="s">
        <v>11</v>
      </c>
      <c r="E215" s="10">
        <v>0</v>
      </c>
      <c r="F215" s="10">
        <v>2</v>
      </c>
      <c r="G215" s="11" t="s">
        <v>19</v>
      </c>
      <c r="I215" s="1" t="str">
        <f>IFERROR(INDEX(G$2:G$500,107),"")</f>
        <v>Warta Poznań</v>
      </c>
      <c r="J215" s="1">
        <f>IFERROR(INDEX(F$2:F$500,107),"")</f>
        <v>2</v>
      </c>
      <c r="K215" s="1">
        <f>IFERROR(INDEX(E$2:E$500,107),"")</f>
        <v>0</v>
      </c>
      <c r="L215">
        <f>IF(ISTEXT(I215),COUNTIF(I$2:I215,I215),0)</f>
        <v>13</v>
      </c>
    </row>
    <row r="216" spans="1:12" x14ac:dyDescent="0.25">
      <c r="A216" t="s">
        <v>113</v>
      </c>
      <c r="B216" s="12" t="str">
        <f t="shared" si="35"/>
        <v>01.10.2022</v>
      </c>
      <c r="C216" s="13">
        <v>0.85416666666666663</v>
      </c>
      <c r="D216" s="10" t="s">
        <v>15</v>
      </c>
      <c r="E216" s="10">
        <v>2</v>
      </c>
      <c r="F216" s="10">
        <v>1</v>
      </c>
      <c r="G216" s="11" t="s">
        <v>14</v>
      </c>
      <c r="I216" s="1" t="str">
        <f>IFERROR(INDEX(D$2:D$500,108),"")</f>
        <v>Lech Poznań</v>
      </c>
      <c r="J216" s="1">
        <f>IFERROR(INDEX(E$2:E$500,108),"")</f>
        <v>5</v>
      </c>
      <c r="K216" s="1">
        <f>IFERROR(INDEX(F$2:F$500,108),"")</f>
        <v>0</v>
      </c>
      <c r="L216">
        <f>IF(ISTEXT(I216),COUNTIF(I$2:I216,I216),0)</f>
        <v>12</v>
      </c>
    </row>
    <row r="217" spans="1:12" x14ac:dyDescent="0.25">
      <c r="A217" t="s">
        <v>113</v>
      </c>
      <c r="B217" s="12" t="str">
        <f t="shared" si="35"/>
        <v>01.10.2022</v>
      </c>
      <c r="C217" s="13">
        <v>0.72916666666666663</v>
      </c>
      <c r="D217" s="10" t="s">
        <v>7</v>
      </c>
      <c r="E217" s="10">
        <v>0</v>
      </c>
      <c r="F217" s="10">
        <v>0</v>
      </c>
      <c r="G217" s="11" t="s">
        <v>9</v>
      </c>
      <c r="I217" s="1" t="str">
        <f>IFERROR(INDEX(G$2:G$500,108),"")</f>
        <v>Lechia Gdańsk</v>
      </c>
      <c r="J217" s="1">
        <f>IFERROR(INDEX(F$2:F$500,108),"")</f>
        <v>0</v>
      </c>
      <c r="K217" s="1">
        <f>IFERROR(INDEX(E$2:E$500,108),"")</f>
        <v>5</v>
      </c>
      <c r="L217">
        <f>IF(ISTEXT(I217),COUNTIF(I$2:I217,I217),0)</f>
        <v>12</v>
      </c>
    </row>
    <row r="218" spans="1:12" x14ac:dyDescent="0.25">
      <c r="A218" t="s">
        <v>113</v>
      </c>
      <c r="B218" s="12" t="str">
        <f t="shared" si="35"/>
        <v>01.10.2022</v>
      </c>
      <c r="C218" s="13">
        <v>0.625</v>
      </c>
      <c r="D218" s="10" t="s">
        <v>12</v>
      </c>
      <c r="E218" s="10">
        <v>2</v>
      </c>
      <c r="F218" s="10">
        <v>3</v>
      </c>
      <c r="G218" s="11" t="s">
        <v>18</v>
      </c>
      <c r="I218" s="1" t="str">
        <f>IFERROR(INDEX(D$2:D$500,109),"")</f>
        <v>Stal Mielec</v>
      </c>
      <c r="J218" s="1">
        <f>IFERROR(INDEX(E$2:E$500,109),"")</f>
        <v>0</v>
      </c>
      <c r="K218" s="1">
        <f>IFERROR(INDEX(F$2:F$500,109),"")</f>
        <v>2</v>
      </c>
      <c r="L218">
        <f>IF(ISTEXT(I218),COUNTIF(I$2:I218,I218),0)</f>
        <v>12</v>
      </c>
    </row>
    <row r="219" spans="1:12" x14ac:dyDescent="0.25">
      <c r="A219" t="s">
        <v>114</v>
      </c>
      <c r="B219" s="12" t="str">
        <f t="shared" si="35"/>
        <v>30.09.2022</v>
      </c>
      <c r="C219" s="13">
        <v>0.85416666666666663</v>
      </c>
      <c r="D219" s="10" t="s">
        <v>6</v>
      </c>
      <c r="E219" s="10">
        <v>1</v>
      </c>
      <c r="F219" s="10">
        <v>0</v>
      </c>
      <c r="G219" s="11" t="s">
        <v>13</v>
      </c>
      <c r="I219" s="1" t="str">
        <f>IFERROR(INDEX(G$2:G$500,109),"")</f>
        <v>Piast Gliwice</v>
      </c>
      <c r="J219" s="1">
        <f>IFERROR(INDEX(F$2:F$500,109),"")</f>
        <v>2</v>
      </c>
      <c r="K219" s="1">
        <f>IFERROR(INDEX(E$2:E$500,109),"")</f>
        <v>0</v>
      </c>
      <c r="L219">
        <f>IF(ISTEXT(I219),COUNTIF(I$2:I219,I219),0)</f>
        <v>12</v>
      </c>
    </row>
    <row r="220" spans="1:12" x14ac:dyDescent="0.25">
      <c r="A220" t="s">
        <v>114</v>
      </c>
      <c r="B220" s="12" t="str">
        <f t="shared" ref="B220:B251" si="36">A220&amp;2022</f>
        <v>30.09.2022</v>
      </c>
      <c r="C220" s="13">
        <v>0.75</v>
      </c>
      <c r="D220" s="10" t="s">
        <v>16</v>
      </c>
      <c r="E220" s="10">
        <v>0</v>
      </c>
      <c r="F220" s="10">
        <v>2</v>
      </c>
      <c r="G220" s="11" t="s">
        <v>5</v>
      </c>
      <c r="I220" s="1" t="str">
        <f>IFERROR(INDEX(D$2:D$500,110),"")</f>
        <v>Zagłębie Lubin</v>
      </c>
      <c r="J220" s="1">
        <f>IFERROR(INDEX(E$2:E$500,110),"")</f>
        <v>2</v>
      </c>
      <c r="K220" s="1">
        <f>IFERROR(INDEX(F$2:F$500,110),"")</f>
        <v>1</v>
      </c>
      <c r="L220">
        <f>IF(ISTEXT(I220),COUNTIF(I$2:I220,I220),0)</f>
        <v>13</v>
      </c>
    </row>
    <row r="221" spans="1:12" x14ac:dyDescent="0.25">
      <c r="A221" t="s">
        <v>115</v>
      </c>
      <c r="B221" s="12" t="str">
        <f t="shared" si="36"/>
        <v>18.09.2022</v>
      </c>
      <c r="C221" s="13">
        <v>0.72916666666666663</v>
      </c>
      <c r="D221" s="10" t="s">
        <v>20</v>
      </c>
      <c r="E221" s="10">
        <v>0</v>
      </c>
      <c r="F221" s="10">
        <v>1</v>
      </c>
      <c r="G221" s="11" t="s">
        <v>7</v>
      </c>
      <c r="I221" s="1" t="str">
        <f>IFERROR(INDEX(G$2:G$500,110),"")</f>
        <v>Miedź Legnica</v>
      </c>
      <c r="J221" s="1">
        <f>IFERROR(INDEX(F$2:F$500,110),"")</f>
        <v>1</v>
      </c>
      <c r="K221" s="1">
        <f>IFERROR(INDEX(E$2:E$500,110),"")</f>
        <v>2</v>
      </c>
      <c r="L221">
        <f>IF(ISTEXT(I221),COUNTIF(I$2:I221,I221),0)</f>
        <v>13</v>
      </c>
    </row>
    <row r="222" spans="1:12" x14ac:dyDescent="0.25">
      <c r="A222" t="s">
        <v>115</v>
      </c>
      <c r="B222" s="12" t="str">
        <f t="shared" si="36"/>
        <v>18.09.2022</v>
      </c>
      <c r="C222" s="13">
        <v>0.625</v>
      </c>
      <c r="D222" s="10" t="s">
        <v>18</v>
      </c>
      <c r="E222" s="10">
        <v>2</v>
      </c>
      <c r="F222" s="10">
        <v>1</v>
      </c>
      <c r="G222" s="11" t="s">
        <v>6</v>
      </c>
      <c r="I222" s="1" t="str">
        <f>IFERROR(INDEX(D$2:D$500,111),"")</f>
        <v>Śląsk Wrocław</v>
      </c>
      <c r="J222" s="1">
        <f>IFERROR(INDEX(E$2:E$500,111),"")</f>
        <v>2</v>
      </c>
      <c r="K222" s="1">
        <f>IFERROR(INDEX(F$2:F$500,111),"")</f>
        <v>1</v>
      </c>
      <c r="L222">
        <f>IF(ISTEXT(I222),COUNTIF(I$2:I222,I222),0)</f>
        <v>13</v>
      </c>
    </row>
    <row r="223" spans="1:12" x14ac:dyDescent="0.25">
      <c r="A223" t="s">
        <v>115</v>
      </c>
      <c r="B223" s="12" t="str">
        <f t="shared" si="36"/>
        <v>18.09.2022</v>
      </c>
      <c r="C223" s="13">
        <v>0.52083333333333337</v>
      </c>
      <c r="D223" s="10" t="s">
        <v>22</v>
      </c>
      <c r="E223" s="10">
        <v>1</v>
      </c>
      <c r="F223" s="10">
        <v>2</v>
      </c>
      <c r="G223" s="11" t="s">
        <v>12</v>
      </c>
      <c r="I223" s="1" t="str">
        <f>IFERROR(INDEX(G$2:G$500,111),"")</f>
        <v>Lech Poznań</v>
      </c>
      <c r="J223" s="1">
        <f>IFERROR(INDEX(F$2:F$500,111),"")</f>
        <v>1</v>
      </c>
      <c r="K223" s="1">
        <f>IFERROR(INDEX(E$2:E$500,111),"")</f>
        <v>2</v>
      </c>
      <c r="L223">
        <f>IF(ISTEXT(I223),COUNTIF(I$2:I223,I223),0)</f>
        <v>13</v>
      </c>
    </row>
    <row r="224" spans="1:12" x14ac:dyDescent="0.25">
      <c r="A224" t="s">
        <v>116</v>
      </c>
      <c r="B224" s="12" t="str">
        <f t="shared" si="36"/>
        <v>17.09.2022</v>
      </c>
      <c r="C224" s="13">
        <v>0.83333333333333337</v>
      </c>
      <c r="D224" s="10" t="s">
        <v>5</v>
      </c>
      <c r="E224" s="10">
        <v>1</v>
      </c>
      <c r="F224" s="10">
        <v>1</v>
      </c>
      <c r="G224" s="11" t="s">
        <v>15</v>
      </c>
      <c r="I224" s="1" t="str">
        <f>IFERROR(INDEX(D$2:D$500,112),"")</f>
        <v>Wisła Płock</v>
      </c>
      <c r="J224" s="1">
        <f>IFERROR(INDEX(E$2:E$500,112),"")</f>
        <v>0</v>
      </c>
      <c r="K224" s="1">
        <f>IFERROR(INDEX(F$2:F$500,112),"")</f>
        <v>1</v>
      </c>
      <c r="L224">
        <f>IF(ISTEXT(I224),COUNTIF(I$2:I224,I224),0)</f>
        <v>14</v>
      </c>
    </row>
    <row r="225" spans="1:12" x14ac:dyDescent="0.25">
      <c r="A225" t="s">
        <v>116</v>
      </c>
      <c r="B225" s="12" t="str">
        <f t="shared" si="36"/>
        <v>17.09.2022</v>
      </c>
      <c r="C225" s="13">
        <v>0.72916666666666663</v>
      </c>
      <c r="D225" s="10" t="s">
        <v>17</v>
      </c>
      <c r="E225" s="10">
        <v>3</v>
      </c>
      <c r="F225" s="10">
        <v>0</v>
      </c>
      <c r="G225" s="11" t="s">
        <v>16</v>
      </c>
      <c r="I225" s="1" t="str">
        <f>IFERROR(INDEX(G$2:G$500,112),"")</f>
        <v>Pogoń Szczecin</v>
      </c>
      <c r="J225" s="1">
        <f>IFERROR(INDEX(F$2:F$500,112),"")</f>
        <v>1</v>
      </c>
      <c r="K225" s="1">
        <f>IFERROR(INDEX(E$2:E$500,112),"")</f>
        <v>0</v>
      </c>
      <c r="L225">
        <f>IF(ISTEXT(I225),COUNTIF(I$2:I225,I225),0)</f>
        <v>13</v>
      </c>
    </row>
    <row r="226" spans="1:12" x14ac:dyDescent="0.25">
      <c r="A226" t="s">
        <v>116</v>
      </c>
      <c r="B226" s="12" t="str">
        <f t="shared" si="36"/>
        <v>17.09.2022</v>
      </c>
      <c r="C226" s="13">
        <v>0.625</v>
      </c>
      <c r="D226" s="10" t="s">
        <v>14</v>
      </c>
      <c r="E226" s="10">
        <v>2</v>
      </c>
      <c r="F226" s="10">
        <v>2</v>
      </c>
      <c r="G226" s="11" t="s">
        <v>8</v>
      </c>
      <c r="I226" s="1" t="str">
        <f>IFERROR(INDEX(D$2:D$500,113),"")</f>
        <v>Stal Mielec</v>
      </c>
      <c r="J226" s="1">
        <f>IFERROR(INDEX(E$2:E$500,113),"")</f>
        <v>0</v>
      </c>
      <c r="K226" s="1">
        <f>IFERROR(INDEX(F$2:F$500,113),"")</f>
        <v>1</v>
      </c>
      <c r="L226">
        <f>IF(ISTEXT(I226),COUNTIF(I$2:I226,I226),0)</f>
        <v>13</v>
      </c>
    </row>
    <row r="227" spans="1:12" x14ac:dyDescent="0.25">
      <c r="A227" t="s">
        <v>116</v>
      </c>
      <c r="B227" s="12" t="str">
        <f t="shared" si="36"/>
        <v>17.09.2022</v>
      </c>
      <c r="C227" s="13">
        <v>0.52083333333333337</v>
      </c>
      <c r="D227" s="10" t="s">
        <v>19</v>
      </c>
      <c r="E227" s="10">
        <v>0</v>
      </c>
      <c r="F227" s="10">
        <v>3</v>
      </c>
      <c r="G227" s="11" t="s">
        <v>21</v>
      </c>
      <c r="I227" s="1" t="str">
        <f>IFERROR(INDEX(G$2:G$500,113),"")</f>
        <v>Górnik Zabrze</v>
      </c>
      <c r="J227" s="1">
        <f>IFERROR(INDEX(F$2:F$500,113),"")</f>
        <v>1</v>
      </c>
      <c r="K227" s="1">
        <f>IFERROR(INDEX(E$2:E$500,113),"")</f>
        <v>0</v>
      </c>
      <c r="L227">
        <f>IF(ISTEXT(I227),COUNTIF(I$2:I227,I227),0)</f>
        <v>13</v>
      </c>
    </row>
    <row r="228" spans="1:12" x14ac:dyDescent="0.25">
      <c r="A228" t="s">
        <v>117</v>
      </c>
      <c r="B228" s="12" t="str">
        <f t="shared" si="36"/>
        <v>16.09.2022</v>
      </c>
      <c r="C228" s="13">
        <v>0.85416666666666663</v>
      </c>
      <c r="D228" s="10" t="s">
        <v>9</v>
      </c>
      <c r="E228" s="10">
        <v>3</v>
      </c>
      <c r="F228" s="10">
        <v>2</v>
      </c>
      <c r="G228" s="11" t="s">
        <v>11</v>
      </c>
      <c r="I228" s="1" t="str">
        <f>IFERROR(INDEX(D$2:D$500,114),"")</f>
        <v>Lechia Gdańsk</v>
      </c>
      <c r="J228" s="1">
        <f>IFERROR(INDEX(E$2:E$500,114),"")</f>
        <v>1</v>
      </c>
      <c r="K228" s="1">
        <f>IFERROR(INDEX(F$2:F$500,114),"")</f>
        <v>3</v>
      </c>
      <c r="L228">
        <f>IF(ISTEXT(I228),COUNTIF(I$2:I228,I228),0)</f>
        <v>13</v>
      </c>
    </row>
    <row r="229" spans="1:12" x14ac:dyDescent="0.25">
      <c r="A229" t="s">
        <v>117</v>
      </c>
      <c r="B229" s="12" t="str">
        <f t="shared" si="36"/>
        <v>16.09.2022</v>
      </c>
      <c r="C229" s="13">
        <v>0.75</v>
      </c>
      <c r="D229" s="10" t="s">
        <v>13</v>
      </c>
      <c r="E229" s="10">
        <v>1</v>
      </c>
      <c r="F229" s="10">
        <v>1</v>
      </c>
      <c r="G229" s="11" t="s">
        <v>10</v>
      </c>
      <c r="I229" s="1" t="str">
        <f>IFERROR(INDEX(G$2:G$500,114),"")</f>
        <v>Radomiak Radom</v>
      </c>
      <c r="J229" s="1">
        <f>IFERROR(INDEX(F$2:F$500,114),"")</f>
        <v>3</v>
      </c>
      <c r="K229" s="1">
        <f>IFERROR(INDEX(E$2:E$500,114),"")</f>
        <v>1</v>
      </c>
      <c r="L229">
        <f>IF(ISTEXT(I229),COUNTIF(I$2:I229,I229),0)</f>
        <v>13</v>
      </c>
    </row>
    <row r="230" spans="1:12" x14ac:dyDescent="0.25">
      <c r="A230" t="s">
        <v>118</v>
      </c>
      <c r="B230" s="12" t="str">
        <f t="shared" si="36"/>
        <v>12.09.2022</v>
      </c>
      <c r="C230" s="13">
        <v>0.79166666666666663</v>
      </c>
      <c r="D230" s="10" t="s">
        <v>8</v>
      </c>
      <c r="E230" s="10">
        <v>4</v>
      </c>
      <c r="F230" s="10">
        <v>0</v>
      </c>
      <c r="G230" s="11" t="s">
        <v>19</v>
      </c>
      <c r="I230" s="1" t="str">
        <f>IFERROR(INDEX(D$2:D$500,115),"")</f>
        <v>Warta Poznań</v>
      </c>
      <c r="J230" s="1">
        <f>IFERROR(INDEX(E$2:E$500,115),"")</f>
        <v>5</v>
      </c>
      <c r="K230" s="1">
        <f>IFERROR(INDEX(F$2:F$500,115),"")</f>
        <v>1</v>
      </c>
      <c r="L230">
        <f>IF(ISTEXT(I230),COUNTIF(I$2:I230,I230),0)</f>
        <v>14</v>
      </c>
    </row>
    <row r="231" spans="1:12" x14ac:dyDescent="0.25">
      <c r="A231" t="s">
        <v>119</v>
      </c>
      <c r="B231" s="12" t="str">
        <f t="shared" si="36"/>
        <v>11.09.2022</v>
      </c>
      <c r="C231" s="13">
        <v>0.72916666666666663</v>
      </c>
      <c r="D231" s="10" t="s">
        <v>17</v>
      </c>
      <c r="E231" s="10">
        <v>4</v>
      </c>
      <c r="F231" s="10">
        <v>0</v>
      </c>
      <c r="G231" s="11" t="s">
        <v>9</v>
      </c>
      <c r="I231" s="1" t="str">
        <f>IFERROR(INDEX(G$2:G$500,115),"")</f>
        <v>Korona Kielce</v>
      </c>
      <c r="J231" s="1">
        <f>IFERROR(INDEX(F$2:F$500,115),"")</f>
        <v>1</v>
      </c>
      <c r="K231" s="1">
        <f>IFERROR(INDEX(E$2:E$500,115),"")</f>
        <v>5</v>
      </c>
      <c r="L231">
        <f>IF(ISTEXT(I231),COUNTIF(I$2:I231,I231),0)</f>
        <v>13</v>
      </c>
    </row>
    <row r="232" spans="1:12" x14ac:dyDescent="0.25">
      <c r="A232" t="s">
        <v>119</v>
      </c>
      <c r="B232" s="12" t="str">
        <f t="shared" si="36"/>
        <v>11.09.2022</v>
      </c>
      <c r="C232" s="13">
        <v>0.625</v>
      </c>
      <c r="D232" s="10" t="s">
        <v>15</v>
      </c>
      <c r="E232" s="10">
        <v>2</v>
      </c>
      <c r="F232" s="10">
        <v>2</v>
      </c>
      <c r="G232" s="11" t="s">
        <v>7</v>
      </c>
      <c r="I232" s="1" t="str">
        <f>IFERROR(INDEX(D$2:D$500,116),"")</f>
        <v>Piast Gliwice</v>
      </c>
      <c r="J232" s="1">
        <f>IFERROR(INDEX(E$2:E$500,116),"")</f>
        <v>2</v>
      </c>
      <c r="K232" s="1">
        <f>IFERROR(INDEX(F$2:F$500,116),"")</f>
        <v>1</v>
      </c>
      <c r="L232">
        <f>IF(ISTEXT(I232),COUNTIF(I$2:I232,I232),0)</f>
        <v>13</v>
      </c>
    </row>
    <row r="233" spans="1:12" x14ac:dyDescent="0.25">
      <c r="A233" t="s">
        <v>119</v>
      </c>
      <c r="B233" s="12" t="str">
        <f t="shared" si="36"/>
        <v>11.09.2022</v>
      </c>
      <c r="C233" s="13">
        <v>0.52083333333333337</v>
      </c>
      <c r="D233" s="10" t="s">
        <v>11</v>
      </c>
      <c r="E233" s="10">
        <v>2</v>
      </c>
      <c r="F233" s="10">
        <v>2</v>
      </c>
      <c r="G233" s="11" t="s">
        <v>22</v>
      </c>
      <c r="I233" s="1" t="str">
        <f>IFERROR(INDEX(G$2:G$500,116),"")</f>
        <v>Cracovia</v>
      </c>
      <c r="J233" s="1">
        <f>IFERROR(INDEX(F$2:F$500,116),"")</f>
        <v>1</v>
      </c>
      <c r="K233" s="1">
        <f>IFERROR(INDEX(E$2:E$500,116),"")</f>
        <v>2</v>
      </c>
      <c r="L233">
        <f>IF(ISTEXT(I233),COUNTIF(I$2:I233,I233),0)</f>
        <v>13</v>
      </c>
    </row>
    <row r="234" spans="1:12" x14ac:dyDescent="0.25">
      <c r="A234" t="s">
        <v>120</v>
      </c>
      <c r="B234" s="12" t="str">
        <f t="shared" si="36"/>
        <v>10.09.2022</v>
      </c>
      <c r="C234" s="13">
        <v>0.83333333333333337</v>
      </c>
      <c r="D234" s="10" t="s">
        <v>12</v>
      </c>
      <c r="E234" s="10">
        <v>3</v>
      </c>
      <c r="F234" s="10">
        <v>3</v>
      </c>
      <c r="G234" s="11" t="s">
        <v>13</v>
      </c>
      <c r="I234" s="1" t="str">
        <f>IFERROR(INDEX(D$2:D$500,117),"")</f>
        <v>Legia Warszawa</v>
      </c>
      <c r="J234" s="1">
        <f>IFERROR(INDEX(E$2:E$500,117),"")</f>
        <v>2</v>
      </c>
      <c r="K234" s="1">
        <f>IFERROR(INDEX(F$2:F$500,117),"")</f>
        <v>2</v>
      </c>
      <c r="L234">
        <f>IF(ISTEXT(I234),COUNTIF(I$2:I234,I234),0)</f>
        <v>13</v>
      </c>
    </row>
    <row r="235" spans="1:12" x14ac:dyDescent="0.25">
      <c r="A235" t="s">
        <v>120</v>
      </c>
      <c r="B235" s="12" t="str">
        <f t="shared" si="36"/>
        <v>10.09.2022</v>
      </c>
      <c r="C235" s="13">
        <v>0.72916666666666663</v>
      </c>
      <c r="D235" s="10" t="s">
        <v>16</v>
      </c>
      <c r="E235" s="10">
        <v>2</v>
      </c>
      <c r="F235" s="10">
        <v>0</v>
      </c>
      <c r="G235" s="11" t="s">
        <v>6</v>
      </c>
      <c r="I235" s="1" t="str">
        <f>IFERROR(INDEX(G$2:G$500,117),"")</f>
        <v>Widzew Łódź</v>
      </c>
      <c r="J235" s="1">
        <f>IFERROR(INDEX(F$2:F$500,117),"")</f>
        <v>2</v>
      </c>
      <c r="K235" s="1">
        <f>IFERROR(INDEX(E$2:E$500,117),"")</f>
        <v>2</v>
      </c>
      <c r="L235">
        <f>IF(ISTEXT(I235),COUNTIF(I$2:I235,I235),0)</f>
        <v>13</v>
      </c>
    </row>
    <row r="236" spans="1:12" x14ac:dyDescent="0.25">
      <c r="A236" t="s">
        <v>120</v>
      </c>
      <c r="B236" s="12" t="str">
        <f t="shared" si="36"/>
        <v>10.09.2022</v>
      </c>
      <c r="C236" s="13">
        <v>0.625</v>
      </c>
      <c r="D236" s="10" t="s">
        <v>10</v>
      </c>
      <c r="E236" s="10">
        <v>2</v>
      </c>
      <c r="F236" s="10">
        <v>1</v>
      </c>
      <c r="G236" s="11" t="s">
        <v>14</v>
      </c>
      <c r="I236" s="1" t="str">
        <f>IFERROR(INDEX(D$2:D$500,118),"")</f>
        <v>Jagiellonia Białystok</v>
      </c>
      <c r="J236" s="1">
        <f>IFERROR(INDEX(E$2:E$500,118),"")</f>
        <v>1</v>
      </c>
      <c r="K236" s="1">
        <f>IFERROR(INDEX(F$2:F$500,118),"")</f>
        <v>2</v>
      </c>
      <c r="L236">
        <f>IF(ISTEXT(I236),COUNTIF(I$2:I236,I236),0)</f>
        <v>13</v>
      </c>
    </row>
    <row r="237" spans="1:12" x14ac:dyDescent="0.25">
      <c r="A237" t="s">
        <v>121</v>
      </c>
      <c r="B237" s="12" t="str">
        <f t="shared" si="36"/>
        <v>09.09.2022</v>
      </c>
      <c r="C237" s="13">
        <v>0.85416666666666663</v>
      </c>
      <c r="D237" s="10" t="s">
        <v>21</v>
      </c>
      <c r="E237" s="10">
        <v>2</v>
      </c>
      <c r="F237" s="10">
        <v>0</v>
      </c>
      <c r="G237" s="11" t="s">
        <v>5</v>
      </c>
      <c r="I237" s="1" t="str">
        <f>IFERROR(INDEX(G$2:G$500,118),"")</f>
        <v>Raków Częstochowa</v>
      </c>
      <c r="J237" s="1">
        <f>IFERROR(INDEX(F$2:F$500,118),"")</f>
        <v>2</v>
      </c>
      <c r="K237" s="1">
        <f>IFERROR(INDEX(E$2:E$500,118),"")</f>
        <v>1</v>
      </c>
      <c r="L237">
        <f>IF(ISTEXT(I237),COUNTIF(I$2:I237,I237),0)</f>
        <v>13</v>
      </c>
    </row>
    <row r="238" spans="1:12" x14ac:dyDescent="0.25">
      <c r="A238" t="s">
        <v>121</v>
      </c>
      <c r="B238" s="12" t="str">
        <f t="shared" si="36"/>
        <v>09.09.2022</v>
      </c>
      <c r="C238" s="13">
        <v>0.75</v>
      </c>
      <c r="D238" s="10" t="s">
        <v>20</v>
      </c>
      <c r="E238" s="10">
        <v>2</v>
      </c>
      <c r="F238" s="10">
        <v>2</v>
      </c>
      <c r="G238" s="11" t="s">
        <v>18</v>
      </c>
      <c r="I238" s="1" t="str">
        <f>IFERROR(INDEX(D$2:D$500,119),"")</f>
        <v>Radomiak Radom</v>
      </c>
      <c r="J238" s="1">
        <f>IFERROR(INDEX(E$2:E$500,119),"")</f>
        <v>0</v>
      </c>
      <c r="K238" s="1">
        <f>IFERROR(INDEX(F$2:F$500,119),"")</f>
        <v>0</v>
      </c>
      <c r="L238">
        <f>IF(ISTEXT(I238),COUNTIF(I$2:I238,I238),0)</f>
        <v>14</v>
      </c>
    </row>
    <row r="239" spans="1:12" x14ac:dyDescent="0.25">
      <c r="A239" t="s">
        <v>122</v>
      </c>
      <c r="B239" s="12" t="str">
        <f t="shared" si="36"/>
        <v>05.09.2022</v>
      </c>
      <c r="C239" s="13">
        <v>0.85416666666666663</v>
      </c>
      <c r="D239" s="10" t="s">
        <v>6</v>
      </c>
      <c r="E239" s="10">
        <v>1</v>
      </c>
      <c r="F239" s="10">
        <v>1</v>
      </c>
      <c r="G239" s="11" t="s">
        <v>12</v>
      </c>
      <c r="I239" s="1" t="str">
        <f>IFERROR(INDEX(G$2:G$500,119),"")</f>
        <v>Jagiellonia Białystok</v>
      </c>
      <c r="J239" s="1">
        <f>IFERROR(INDEX(F$2:F$500,119),"")</f>
        <v>0</v>
      </c>
      <c r="K239" s="1">
        <f>IFERROR(INDEX(E$2:E$500,119),"")</f>
        <v>0</v>
      </c>
      <c r="L239">
        <f>IF(ISTEXT(I239),COUNTIF(I$2:I239,I239),0)</f>
        <v>14</v>
      </c>
    </row>
    <row r="240" spans="1:12" x14ac:dyDescent="0.25">
      <c r="A240" t="s">
        <v>122</v>
      </c>
      <c r="B240" s="12" t="str">
        <f t="shared" si="36"/>
        <v>05.09.2022</v>
      </c>
      <c r="C240" s="13">
        <v>0.75</v>
      </c>
      <c r="D240" s="10" t="s">
        <v>13</v>
      </c>
      <c r="E240" s="10">
        <v>2</v>
      </c>
      <c r="F240" s="10">
        <v>1</v>
      </c>
      <c r="G240" s="11" t="s">
        <v>11</v>
      </c>
      <c r="I240" s="1" t="str">
        <f>IFERROR(INDEX(D$2:D$500,120),"")</f>
        <v>Piast Gliwice</v>
      </c>
      <c r="J240" s="1">
        <f>IFERROR(INDEX(E$2:E$500,120),"")</f>
        <v>0</v>
      </c>
      <c r="K240" s="1">
        <f>IFERROR(INDEX(F$2:F$500,120),"")</f>
        <v>1</v>
      </c>
      <c r="L240">
        <f>IF(ISTEXT(I240),COUNTIF(I$2:I240,I240),0)</f>
        <v>14</v>
      </c>
    </row>
    <row r="241" spans="1:12" x14ac:dyDescent="0.25">
      <c r="A241" t="s">
        <v>123</v>
      </c>
      <c r="B241" s="12" t="str">
        <f t="shared" si="36"/>
        <v>04.09.2022</v>
      </c>
      <c r="C241" s="13">
        <v>0.72916666666666663</v>
      </c>
      <c r="D241" s="10" t="s">
        <v>7</v>
      </c>
      <c r="E241" s="10">
        <v>2</v>
      </c>
      <c r="F241" s="10">
        <v>0</v>
      </c>
      <c r="G241" s="11" t="s">
        <v>21</v>
      </c>
      <c r="I241" s="1" t="str">
        <f>IFERROR(INDEX(G$2:G$500,120),"")</f>
        <v>Legia Warszawa</v>
      </c>
      <c r="J241" s="1">
        <f>IFERROR(INDEX(F$2:F$500,120),"")</f>
        <v>1</v>
      </c>
      <c r="K241" s="1">
        <f>IFERROR(INDEX(E$2:E$500,120),"")</f>
        <v>0</v>
      </c>
      <c r="L241">
        <f>IF(ISTEXT(I241),COUNTIF(I$2:I241,I241),0)</f>
        <v>14</v>
      </c>
    </row>
    <row r="242" spans="1:12" x14ac:dyDescent="0.25">
      <c r="A242" t="s">
        <v>123</v>
      </c>
      <c r="B242" s="12" t="str">
        <f t="shared" si="36"/>
        <v>04.09.2022</v>
      </c>
      <c r="C242" s="13">
        <v>0.625</v>
      </c>
      <c r="D242" s="10" t="s">
        <v>22</v>
      </c>
      <c r="E242" s="10">
        <v>1</v>
      </c>
      <c r="F242" s="10">
        <v>2</v>
      </c>
      <c r="G242" s="11" t="s">
        <v>15</v>
      </c>
      <c r="I242" s="1" t="str">
        <f>IFERROR(INDEX(D$2:D$500,121),"")</f>
        <v>Lech Poznań</v>
      </c>
      <c r="J242" s="1">
        <f>IFERROR(INDEX(E$2:E$500,121),"")</f>
        <v>1</v>
      </c>
      <c r="K242" s="1">
        <f>IFERROR(INDEX(F$2:F$500,121),"")</f>
        <v>2</v>
      </c>
      <c r="L242">
        <f>IF(ISTEXT(I242),COUNTIF(I$2:I242,I242),0)</f>
        <v>14</v>
      </c>
    </row>
    <row r="243" spans="1:12" x14ac:dyDescent="0.25">
      <c r="A243" t="s">
        <v>123</v>
      </c>
      <c r="B243" s="12" t="str">
        <f t="shared" si="36"/>
        <v>04.09.2022</v>
      </c>
      <c r="C243" s="13">
        <v>0.52083333333333337</v>
      </c>
      <c r="D243" s="10" t="s">
        <v>18</v>
      </c>
      <c r="E243" s="10">
        <v>1</v>
      </c>
      <c r="F243" s="10">
        <v>1</v>
      </c>
      <c r="G243" s="11" t="s">
        <v>8</v>
      </c>
      <c r="I243" s="1" t="str">
        <f>IFERROR(INDEX(G$2:G$500,121),"")</f>
        <v>Zagłębie Lubin</v>
      </c>
      <c r="J243" s="1">
        <f>IFERROR(INDEX(F$2:F$500,121),"")</f>
        <v>2</v>
      </c>
      <c r="K243" s="1">
        <f>IFERROR(INDEX(E$2:E$500,121),"")</f>
        <v>1</v>
      </c>
      <c r="L243">
        <f>IF(ISTEXT(I243),COUNTIF(I$2:I243,I243),0)</f>
        <v>14</v>
      </c>
    </row>
    <row r="244" spans="1:12" x14ac:dyDescent="0.25">
      <c r="A244" t="s">
        <v>124</v>
      </c>
      <c r="B244" s="12" t="str">
        <f t="shared" si="36"/>
        <v>03.09.2022</v>
      </c>
      <c r="C244" s="13">
        <v>0.83333333333333337</v>
      </c>
      <c r="D244" s="10" t="s">
        <v>5</v>
      </c>
      <c r="E244" s="10">
        <v>3</v>
      </c>
      <c r="F244" s="10">
        <v>0</v>
      </c>
      <c r="G244" s="11" t="s">
        <v>17</v>
      </c>
      <c r="I244" s="1" t="str">
        <f>IFERROR(INDEX(D$2:D$500,122),"")</f>
        <v>Miedź Legnica</v>
      </c>
      <c r="J244" s="1">
        <f>IFERROR(INDEX(E$2:E$500,122),"")</f>
        <v>2</v>
      </c>
      <c r="K244" s="1">
        <f>IFERROR(INDEX(F$2:F$500,122),"")</f>
        <v>1</v>
      </c>
      <c r="L244">
        <f>IF(ISTEXT(I244),COUNTIF(I$2:I244,I244),0)</f>
        <v>14</v>
      </c>
    </row>
    <row r="245" spans="1:12" x14ac:dyDescent="0.25">
      <c r="A245" t="s">
        <v>124</v>
      </c>
      <c r="B245" s="12" t="str">
        <f t="shared" si="36"/>
        <v>03.09.2022</v>
      </c>
      <c r="C245" s="13">
        <v>0.72916666666666663</v>
      </c>
      <c r="D245" s="10" t="s">
        <v>14</v>
      </c>
      <c r="E245" s="10">
        <v>0</v>
      </c>
      <c r="F245" s="10">
        <v>0</v>
      </c>
      <c r="G245" s="11" t="s">
        <v>20</v>
      </c>
      <c r="I245" s="1" t="str">
        <f>IFERROR(INDEX(G$2:G$500,122),"")</f>
        <v>Wisła Płock</v>
      </c>
      <c r="J245" s="1">
        <f>IFERROR(INDEX(F$2:F$500,122),"")</f>
        <v>1</v>
      </c>
      <c r="K245" s="1">
        <f>IFERROR(INDEX(E$2:E$500,122),"")</f>
        <v>2</v>
      </c>
      <c r="L245">
        <f>IF(ISTEXT(I245),COUNTIF(I$2:I245,I245),0)</f>
        <v>15</v>
      </c>
    </row>
    <row r="246" spans="1:12" x14ac:dyDescent="0.25">
      <c r="A246" t="s">
        <v>124</v>
      </c>
      <c r="B246" s="12" t="str">
        <f t="shared" si="36"/>
        <v>03.09.2022</v>
      </c>
      <c r="C246" s="13">
        <v>0.625</v>
      </c>
      <c r="D246" s="10" t="s">
        <v>19</v>
      </c>
      <c r="E246" s="10">
        <v>2</v>
      </c>
      <c r="F246" s="10">
        <v>0</v>
      </c>
      <c r="G246" s="11" t="s">
        <v>10</v>
      </c>
      <c r="I246" s="1" t="str">
        <f>IFERROR(INDEX(D$2:D$500,123),"")</f>
        <v>Pogoń Szczecin</v>
      </c>
      <c r="J246" s="1">
        <f>IFERROR(INDEX(E$2:E$500,123),"")</f>
        <v>3</v>
      </c>
      <c r="K246" s="1">
        <f>IFERROR(INDEX(F$2:F$500,123),"")</f>
        <v>1</v>
      </c>
      <c r="L246">
        <f>IF(ISTEXT(I246),COUNTIF(I$2:I246,I246),0)</f>
        <v>14</v>
      </c>
    </row>
    <row r="247" spans="1:12" x14ac:dyDescent="0.25">
      <c r="A247" t="s">
        <v>125</v>
      </c>
      <c r="B247" s="12" t="str">
        <f t="shared" si="36"/>
        <v>02.09.2022</v>
      </c>
      <c r="C247" s="13">
        <v>0.85416666666666663</v>
      </c>
      <c r="D247" s="10" t="s">
        <v>9</v>
      </c>
      <c r="E247" s="10">
        <v>1</v>
      </c>
      <c r="F247" s="10">
        <v>0</v>
      </c>
      <c r="G247" s="11" t="s">
        <v>16</v>
      </c>
      <c r="I247" s="1" t="str">
        <f>IFERROR(INDEX(G$2:G$500,123),"")</f>
        <v>Warta Poznań</v>
      </c>
      <c r="J247" s="1">
        <f>IFERROR(INDEX(F$2:F$500,123),"")</f>
        <v>1</v>
      </c>
      <c r="K247" s="1">
        <f>IFERROR(INDEX(E$2:E$500,123),"")</f>
        <v>3</v>
      </c>
      <c r="L247">
        <f>IF(ISTEXT(I247),COUNTIF(I$2:I247,I247),0)</f>
        <v>15</v>
      </c>
    </row>
    <row r="248" spans="1:12" x14ac:dyDescent="0.25">
      <c r="A248" t="s">
        <v>126</v>
      </c>
      <c r="B248" s="12" t="str">
        <f t="shared" si="36"/>
        <v>31.08.2022</v>
      </c>
      <c r="C248" s="13">
        <v>0.85416666666666663</v>
      </c>
      <c r="D248" s="10" t="s">
        <v>14</v>
      </c>
      <c r="E248" s="10">
        <v>0</v>
      </c>
      <c r="F248" s="10">
        <v>3</v>
      </c>
      <c r="G248" s="11" t="s">
        <v>7</v>
      </c>
      <c r="I248" s="1" t="str">
        <f>IFERROR(INDEX(D$2:D$500,124),"")</f>
        <v>Raków Częstochowa</v>
      </c>
      <c r="J248" s="1">
        <f>IFERROR(INDEX(E$2:E$500,124),"")</f>
        <v>2</v>
      </c>
      <c r="K248" s="1">
        <f>IFERROR(INDEX(F$2:F$500,124),"")</f>
        <v>0</v>
      </c>
      <c r="L248">
        <f>IF(ISTEXT(I248),COUNTIF(I$2:I248,I248),0)</f>
        <v>14</v>
      </c>
    </row>
    <row r="249" spans="1:12" x14ac:dyDescent="0.25">
      <c r="A249" t="s">
        <v>126</v>
      </c>
      <c r="B249" s="12" t="str">
        <f t="shared" si="36"/>
        <v>31.08.2022</v>
      </c>
      <c r="C249" s="13">
        <v>0.75</v>
      </c>
      <c r="D249" s="10" t="s">
        <v>17</v>
      </c>
      <c r="E249" s="10">
        <v>1</v>
      </c>
      <c r="F249" s="10">
        <v>0</v>
      </c>
      <c r="G249" s="11" t="s">
        <v>15</v>
      </c>
      <c r="I249" s="1" t="str">
        <f>IFERROR(INDEX(G$2:G$500,124),"")</f>
        <v>Górnik Zabrze</v>
      </c>
      <c r="J249" s="1">
        <f>IFERROR(INDEX(F$2:F$500,124),"")</f>
        <v>0</v>
      </c>
      <c r="K249" s="1">
        <f>IFERROR(INDEX(E$2:E$500,124),"")</f>
        <v>2</v>
      </c>
      <c r="L249">
        <f>IF(ISTEXT(I249),COUNTIF(I$2:I249,I249),0)</f>
        <v>14</v>
      </c>
    </row>
    <row r="250" spans="1:12" x14ac:dyDescent="0.25">
      <c r="A250" t="s">
        <v>127</v>
      </c>
      <c r="B250" s="12" t="str">
        <f t="shared" si="36"/>
        <v>28.08.2022</v>
      </c>
      <c r="C250" s="13">
        <v>0.72916666666666663</v>
      </c>
      <c r="D250" s="10" t="s">
        <v>7</v>
      </c>
      <c r="E250" s="10">
        <v>1</v>
      </c>
      <c r="F250" s="10">
        <v>0</v>
      </c>
      <c r="G250" s="11" t="s">
        <v>13</v>
      </c>
      <c r="I250" s="1" t="str">
        <f>IFERROR(INDEX(D$2:D$500,125),"")</f>
        <v>Korona Kielce</v>
      </c>
      <c r="J250" s="1">
        <f>IFERROR(INDEX(E$2:E$500,125),"")</f>
        <v>1</v>
      </c>
      <c r="K250" s="1">
        <f>IFERROR(INDEX(F$2:F$500,125),"")</f>
        <v>0</v>
      </c>
      <c r="L250">
        <f>IF(ISTEXT(I250),COUNTIF(I$2:I250,I250),0)</f>
        <v>14</v>
      </c>
    </row>
    <row r="251" spans="1:12" x14ac:dyDescent="0.25">
      <c r="A251" t="s">
        <v>127</v>
      </c>
      <c r="B251" s="12" t="str">
        <f t="shared" si="36"/>
        <v>28.08.2022</v>
      </c>
      <c r="C251" s="13">
        <v>0.625</v>
      </c>
      <c r="D251" s="10" t="s">
        <v>10</v>
      </c>
      <c r="E251" s="10">
        <v>1</v>
      </c>
      <c r="F251" s="10">
        <v>4</v>
      </c>
      <c r="G251" s="11" t="s">
        <v>17</v>
      </c>
      <c r="I251" s="1" t="str">
        <f>IFERROR(INDEX(G$2:G$500,125),"")</f>
        <v>Lechia Gdańsk</v>
      </c>
      <c r="J251" s="1">
        <f>IFERROR(INDEX(F$2:F$500,125),"")</f>
        <v>0</v>
      </c>
      <c r="K251" s="1">
        <f>IFERROR(INDEX(E$2:E$500,125),"")</f>
        <v>1</v>
      </c>
      <c r="L251">
        <f>IF(ISTEXT(I251),COUNTIF(I$2:I251,I251),0)</f>
        <v>14</v>
      </c>
    </row>
    <row r="252" spans="1:12" x14ac:dyDescent="0.25">
      <c r="A252" t="s">
        <v>127</v>
      </c>
      <c r="B252" s="12" t="str">
        <f t="shared" ref="B252:B283" si="37">A252&amp;2022</f>
        <v>28.08.2022</v>
      </c>
      <c r="C252" s="13">
        <v>0.52083333333333337</v>
      </c>
      <c r="D252" s="10" t="s">
        <v>5</v>
      </c>
      <c r="E252" s="10">
        <v>0</v>
      </c>
      <c r="F252" s="10">
        <v>2</v>
      </c>
      <c r="G252" s="11" t="s">
        <v>20</v>
      </c>
      <c r="I252" s="1" t="str">
        <f>IFERROR(INDEX(D$2:D$500,126),"")</f>
        <v>Widzew Łódź</v>
      </c>
      <c r="J252" s="1">
        <f>IFERROR(INDEX(E$2:E$500,126),"")</f>
        <v>1</v>
      </c>
      <c r="K252" s="1">
        <f>IFERROR(INDEX(F$2:F$500,126),"")</f>
        <v>0</v>
      </c>
      <c r="L252">
        <f>IF(ISTEXT(I252),COUNTIF(I$2:I252,I252),0)</f>
        <v>14</v>
      </c>
    </row>
    <row r="253" spans="1:12" x14ac:dyDescent="0.25">
      <c r="A253" t="s">
        <v>128</v>
      </c>
      <c r="B253" s="12" t="str">
        <f t="shared" si="37"/>
        <v>27.08.2022</v>
      </c>
      <c r="C253" s="13">
        <v>0.83333333333333337</v>
      </c>
      <c r="D253" s="10" t="s">
        <v>21</v>
      </c>
      <c r="E253" s="10">
        <v>2</v>
      </c>
      <c r="F253" s="10">
        <v>1</v>
      </c>
      <c r="G253" s="11" t="s">
        <v>6</v>
      </c>
      <c r="I253" s="1" t="str">
        <f>IFERROR(INDEX(G$2:G$500,126),"")</f>
        <v>Śląsk Wrocław</v>
      </c>
      <c r="J253" s="1">
        <f>IFERROR(INDEX(F$2:F$500,126),"")</f>
        <v>0</v>
      </c>
      <c r="K253" s="1">
        <f>IFERROR(INDEX(E$2:E$500,126),"")</f>
        <v>1</v>
      </c>
      <c r="L253">
        <f>IF(ISTEXT(I253),COUNTIF(I$2:I253,I253),0)</f>
        <v>14</v>
      </c>
    </row>
    <row r="254" spans="1:12" x14ac:dyDescent="0.25">
      <c r="A254" t="s">
        <v>128</v>
      </c>
      <c r="B254" s="12" t="str">
        <f t="shared" si="37"/>
        <v>27.08.2022</v>
      </c>
      <c r="C254" s="13">
        <v>0.72916666666666663</v>
      </c>
      <c r="D254" s="10" t="s">
        <v>15</v>
      </c>
      <c r="E254" s="10">
        <v>3</v>
      </c>
      <c r="F254" s="10">
        <v>0</v>
      </c>
      <c r="G254" s="11" t="s">
        <v>18</v>
      </c>
      <c r="I254" s="1" t="str">
        <f>IFERROR(INDEX(D$2:D$500,127),"")</f>
        <v>Cracovia</v>
      </c>
      <c r="J254" s="1">
        <f>IFERROR(INDEX(E$2:E$500,127),"")</f>
        <v>2</v>
      </c>
      <c r="K254" s="1">
        <f>IFERROR(INDEX(F$2:F$500,127),"")</f>
        <v>1</v>
      </c>
      <c r="L254">
        <f>IF(ISTEXT(I254),COUNTIF(I$2:I254,I254),0)</f>
        <v>14</v>
      </c>
    </row>
    <row r="255" spans="1:12" x14ac:dyDescent="0.25">
      <c r="A255" t="s">
        <v>128</v>
      </c>
      <c r="B255" s="12" t="str">
        <f t="shared" si="37"/>
        <v>27.08.2022</v>
      </c>
      <c r="C255" s="13">
        <v>0.625</v>
      </c>
      <c r="D255" s="10" t="s">
        <v>11</v>
      </c>
      <c r="E255" s="10">
        <v>2</v>
      </c>
      <c r="F255" s="10">
        <v>1</v>
      </c>
      <c r="G255" s="11" t="s">
        <v>14</v>
      </c>
      <c r="I255" s="1" t="str">
        <f>IFERROR(INDEX(G$2:G$500,127),"")</f>
        <v>Stal Mielec</v>
      </c>
      <c r="J255" s="1">
        <f>IFERROR(INDEX(F$2:F$500,127),"")</f>
        <v>1</v>
      </c>
      <c r="K255" s="1">
        <f>IFERROR(INDEX(E$2:E$500,127),"")</f>
        <v>2</v>
      </c>
      <c r="L255">
        <f>IF(ISTEXT(I255),COUNTIF(I$2:I255,I255),0)</f>
        <v>14</v>
      </c>
    </row>
    <row r="256" spans="1:12" x14ac:dyDescent="0.25">
      <c r="A256" t="s">
        <v>128</v>
      </c>
      <c r="B256" s="12" t="str">
        <f t="shared" si="37"/>
        <v>27.08.2022</v>
      </c>
      <c r="C256" s="13">
        <v>0.52083333333333337</v>
      </c>
      <c r="D256" s="10" t="s">
        <v>16</v>
      </c>
      <c r="E256" s="10">
        <v>0</v>
      </c>
      <c r="F256" s="10">
        <v>2</v>
      </c>
      <c r="G256" s="11" t="s">
        <v>22</v>
      </c>
      <c r="I256" s="1" t="str">
        <f>IFERROR(INDEX(D$2:D$500,128),"")</f>
        <v>Warta Poznań</v>
      </c>
      <c r="J256" s="1">
        <f>IFERROR(INDEX(E$2:E$500,128),"")</f>
        <v>1</v>
      </c>
      <c r="K256" s="1">
        <f>IFERROR(INDEX(F$2:F$500,128),"")</f>
        <v>1</v>
      </c>
      <c r="L256">
        <f>IF(ISTEXT(I256),COUNTIF(I$2:I256,I256),0)</f>
        <v>16</v>
      </c>
    </row>
    <row r="257" spans="1:12" x14ac:dyDescent="0.25">
      <c r="A257" t="s">
        <v>129</v>
      </c>
      <c r="B257" s="12" t="str">
        <f t="shared" si="37"/>
        <v>26.08.2022</v>
      </c>
      <c r="C257" s="13">
        <v>0.85416666666666663</v>
      </c>
      <c r="D257" s="10" t="s">
        <v>19</v>
      </c>
      <c r="E257" s="10">
        <v>0</v>
      </c>
      <c r="F257" s="10">
        <v>1</v>
      </c>
      <c r="G257" s="11" t="s">
        <v>9</v>
      </c>
      <c r="I257" s="1" t="str">
        <f>IFERROR(INDEX(G$2:G$500,128),"")</f>
        <v>Miedź Legnica</v>
      </c>
      <c r="J257" s="1">
        <f>IFERROR(INDEX(F$2:F$500,128),"")</f>
        <v>1</v>
      </c>
      <c r="K257" s="1">
        <f>IFERROR(INDEX(E$2:E$500,128),"")</f>
        <v>1</v>
      </c>
      <c r="L257">
        <f>IF(ISTEXT(I257),COUNTIF(I$2:I257,I257),0)</f>
        <v>15</v>
      </c>
    </row>
    <row r="258" spans="1:12" x14ac:dyDescent="0.25">
      <c r="A258" t="s">
        <v>129</v>
      </c>
      <c r="B258" s="12" t="str">
        <f t="shared" si="37"/>
        <v>26.08.2022</v>
      </c>
      <c r="C258" s="13">
        <v>0.75</v>
      </c>
      <c r="D258" s="10" t="s">
        <v>12</v>
      </c>
      <c r="E258" s="10">
        <v>1</v>
      </c>
      <c r="F258" s="10">
        <v>1</v>
      </c>
      <c r="G258" s="11" t="s">
        <v>8</v>
      </c>
      <c r="I258" s="1" t="str">
        <f>IFERROR(INDEX(D$2:D$500,129),"")</f>
        <v>Legia Warszawa</v>
      </c>
      <c r="J258" s="1">
        <f>IFERROR(INDEX(E$2:E$500,129),"")</f>
        <v>2</v>
      </c>
      <c r="K258" s="1">
        <f>IFERROR(INDEX(F$2:F$500,129),"")</f>
        <v>2</v>
      </c>
      <c r="L258">
        <f>IF(ISTEXT(I258),COUNTIF(I$2:I258,I258),0)</f>
        <v>15</v>
      </c>
    </row>
    <row r="259" spans="1:12" x14ac:dyDescent="0.25">
      <c r="A259" t="s">
        <v>130</v>
      </c>
      <c r="B259" s="12" t="str">
        <f t="shared" si="37"/>
        <v>21.08.2022</v>
      </c>
      <c r="C259" s="13">
        <v>0.72916666666666663</v>
      </c>
      <c r="D259" s="10" t="s">
        <v>13</v>
      </c>
      <c r="E259" s="10">
        <v>4</v>
      </c>
      <c r="F259" s="10">
        <v>0</v>
      </c>
      <c r="G259" s="11" t="s">
        <v>19</v>
      </c>
      <c r="I259" s="1" t="str">
        <f>IFERROR(INDEX(G$2:G$500,129),"")</f>
        <v>Cracovia</v>
      </c>
      <c r="J259" s="1">
        <f>IFERROR(INDEX(F$2:F$500,129),"")</f>
        <v>2</v>
      </c>
      <c r="K259" s="1">
        <f>IFERROR(INDEX(E$2:E$500,129),"")</f>
        <v>2</v>
      </c>
      <c r="L259">
        <f>IF(ISTEXT(I259),COUNTIF(I$2:I259,I259),0)</f>
        <v>15</v>
      </c>
    </row>
    <row r="260" spans="1:12" x14ac:dyDescent="0.25">
      <c r="A260" t="s">
        <v>130</v>
      </c>
      <c r="B260" s="12" t="str">
        <f t="shared" si="37"/>
        <v>21.08.2022</v>
      </c>
      <c r="C260" s="13">
        <v>0.625</v>
      </c>
      <c r="D260" s="10" t="s">
        <v>18</v>
      </c>
      <c r="E260" s="10">
        <v>0</v>
      </c>
      <c r="F260" s="10">
        <v>1</v>
      </c>
      <c r="G260" s="11" t="s">
        <v>16</v>
      </c>
      <c r="I260" s="1" t="str">
        <f>IFERROR(INDEX(D$2:D$500,130),"")</f>
        <v>Górnik Zabrze</v>
      </c>
      <c r="J260" s="1">
        <f>IFERROR(INDEX(E$2:E$500,130),"")</f>
        <v>0</v>
      </c>
      <c r="K260" s="1">
        <f>IFERROR(INDEX(F$2:F$500,130),"")</f>
        <v>0</v>
      </c>
      <c r="L260">
        <f>IF(ISTEXT(I260),COUNTIF(I$2:I260,I260),0)</f>
        <v>15</v>
      </c>
    </row>
    <row r="261" spans="1:12" x14ac:dyDescent="0.25">
      <c r="A261" t="s">
        <v>131</v>
      </c>
      <c r="B261" s="12" t="str">
        <f t="shared" si="37"/>
        <v>20.08.2022</v>
      </c>
      <c r="C261" s="13">
        <v>0.83333333333333337</v>
      </c>
      <c r="D261" s="10" t="s">
        <v>20</v>
      </c>
      <c r="E261" s="10">
        <v>0</v>
      </c>
      <c r="F261" s="10">
        <v>1</v>
      </c>
      <c r="G261" s="11" t="s">
        <v>21</v>
      </c>
      <c r="I261" s="1" t="str">
        <f>IFERROR(INDEX(G$2:G$500,130),"")</f>
        <v>Radomiak Radom</v>
      </c>
      <c r="J261" s="1">
        <f>IFERROR(INDEX(F$2:F$500,130),"")</f>
        <v>0</v>
      </c>
      <c r="K261" s="1">
        <f>IFERROR(INDEX(E$2:E$500,130),"")</f>
        <v>0</v>
      </c>
      <c r="L261">
        <f>IF(ISTEXT(I261),COUNTIF(I$2:I261,I261),0)</f>
        <v>15</v>
      </c>
    </row>
    <row r="262" spans="1:12" x14ac:dyDescent="0.25">
      <c r="A262" t="s">
        <v>131</v>
      </c>
      <c r="B262" s="12" t="str">
        <f t="shared" si="37"/>
        <v>20.08.2022</v>
      </c>
      <c r="C262" s="13">
        <v>0.72916666666666663</v>
      </c>
      <c r="D262" s="10" t="s">
        <v>10</v>
      </c>
      <c r="E262" s="10">
        <v>1</v>
      </c>
      <c r="F262" s="10">
        <v>1</v>
      </c>
      <c r="G262" s="11" t="s">
        <v>5</v>
      </c>
      <c r="I262" s="1" t="str">
        <f>IFERROR(INDEX(D$2:D$500,131),"")</f>
        <v>Zagłębie Lubin</v>
      </c>
      <c r="J262" s="1">
        <f>IFERROR(INDEX(E$2:E$500,131),"")</f>
        <v>0</v>
      </c>
      <c r="K262" s="1">
        <f>IFERROR(INDEX(F$2:F$500,131),"")</f>
        <v>2</v>
      </c>
      <c r="L262">
        <f>IF(ISTEXT(I262),COUNTIF(I$2:I262,I262),0)</f>
        <v>15</v>
      </c>
    </row>
    <row r="263" spans="1:12" x14ac:dyDescent="0.25">
      <c r="A263" t="s">
        <v>131</v>
      </c>
      <c r="B263" s="12" t="str">
        <f t="shared" si="37"/>
        <v>20.08.2022</v>
      </c>
      <c r="C263" s="13">
        <v>0.625</v>
      </c>
      <c r="D263" s="10" t="s">
        <v>6</v>
      </c>
      <c r="E263" s="10">
        <v>2</v>
      </c>
      <c r="F263" s="10">
        <v>1</v>
      </c>
      <c r="G263" s="11" t="s">
        <v>22</v>
      </c>
      <c r="I263" s="1" t="str">
        <f>IFERROR(INDEX(G$2:G$500,131),"")</f>
        <v>Piast Gliwice</v>
      </c>
      <c r="J263" s="1">
        <f>IFERROR(INDEX(F$2:F$500,131),"")</f>
        <v>2</v>
      </c>
      <c r="K263" s="1">
        <f>IFERROR(INDEX(E$2:E$500,131),"")</f>
        <v>0</v>
      </c>
      <c r="L263">
        <f>IF(ISTEXT(I263),COUNTIF(I$2:I263,I263),0)</f>
        <v>15</v>
      </c>
    </row>
    <row r="264" spans="1:12" x14ac:dyDescent="0.25">
      <c r="A264" t="s">
        <v>132</v>
      </c>
      <c r="B264" s="12" t="str">
        <f t="shared" si="37"/>
        <v>19.08.2022</v>
      </c>
      <c r="C264" s="13">
        <v>0.85416666666666663</v>
      </c>
      <c r="D264" s="10" t="s">
        <v>9</v>
      </c>
      <c r="E264" s="10">
        <v>2</v>
      </c>
      <c r="F264" s="10">
        <v>2</v>
      </c>
      <c r="G264" s="11" t="s">
        <v>12</v>
      </c>
      <c r="I264" s="1" t="str">
        <f>IFERROR(INDEX(D$2:D$500,132),"")</f>
        <v>Jagiellonia Białystok</v>
      </c>
      <c r="J264" s="1">
        <f>IFERROR(INDEX(E$2:E$500,132),"")</f>
        <v>2</v>
      </c>
      <c r="K264" s="1">
        <f>IFERROR(INDEX(F$2:F$500,132),"")</f>
        <v>0</v>
      </c>
      <c r="L264">
        <f>IF(ISTEXT(I264),COUNTIF(I$2:I264,I264),0)</f>
        <v>15</v>
      </c>
    </row>
    <row r="265" spans="1:12" x14ac:dyDescent="0.25">
      <c r="A265" t="s">
        <v>132</v>
      </c>
      <c r="B265" s="12" t="str">
        <f t="shared" si="37"/>
        <v>19.08.2022</v>
      </c>
      <c r="C265" s="13">
        <v>0.75</v>
      </c>
      <c r="D265" s="10" t="s">
        <v>8</v>
      </c>
      <c r="E265" s="10">
        <v>2</v>
      </c>
      <c r="F265" s="10">
        <v>1</v>
      </c>
      <c r="G265" s="11" t="s">
        <v>11</v>
      </c>
      <c r="I265" s="1" t="str">
        <f>IFERROR(INDEX(G$2:G$500,132),"")</f>
        <v>Pogoń Szczecin</v>
      </c>
      <c r="J265" s="1">
        <f>IFERROR(INDEX(F$2:F$500,132),"")</f>
        <v>0</v>
      </c>
      <c r="K265" s="1">
        <f>IFERROR(INDEX(E$2:E$500,132),"")</f>
        <v>2</v>
      </c>
      <c r="L265">
        <f>IF(ISTEXT(I265),COUNTIF(I$2:I265,I265),0)</f>
        <v>15</v>
      </c>
    </row>
    <row r="266" spans="1:12" x14ac:dyDescent="0.25">
      <c r="A266" t="s">
        <v>133</v>
      </c>
      <c r="B266" s="12" t="str">
        <f t="shared" si="37"/>
        <v>15.08.2022</v>
      </c>
      <c r="C266" s="13">
        <v>0.79166666666666663</v>
      </c>
      <c r="D266" s="10" t="s">
        <v>22</v>
      </c>
      <c r="E266" s="10">
        <v>0</v>
      </c>
      <c r="F266" s="10">
        <v>1</v>
      </c>
      <c r="G266" s="11" t="s">
        <v>20</v>
      </c>
      <c r="I266" s="1" t="str">
        <f>IFERROR(INDEX(D$2:D$500,133),"")</f>
        <v>Wisła Płock</v>
      </c>
      <c r="J266" s="1">
        <f>IFERROR(INDEX(E$2:E$500,133),"")</f>
        <v>0</v>
      </c>
      <c r="K266" s="1">
        <f>IFERROR(INDEX(F$2:F$500,133),"")</f>
        <v>1</v>
      </c>
      <c r="L266">
        <f>IF(ISTEXT(I266),COUNTIF(I$2:I266,I266),0)</f>
        <v>16</v>
      </c>
    </row>
    <row r="267" spans="1:12" x14ac:dyDescent="0.25">
      <c r="A267" t="s">
        <v>134</v>
      </c>
      <c r="B267" s="12" t="str">
        <f t="shared" si="37"/>
        <v>14.08.2022</v>
      </c>
      <c r="C267" s="13">
        <v>0.83333333333333337</v>
      </c>
      <c r="D267" s="10" t="s">
        <v>7</v>
      </c>
      <c r="E267" s="10">
        <v>0</v>
      </c>
      <c r="F267" s="10">
        <v>1</v>
      </c>
      <c r="G267" s="11" t="s">
        <v>10</v>
      </c>
      <c r="I267" s="1" t="str">
        <f>IFERROR(INDEX(G$2:G$500,133),"")</f>
        <v>Lech Poznań</v>
      </c>
      <c r="J267" s="1">
        <f>IFERROR(INDEX(F$2:F$500,133),"")</f>
        <v>1</v>
      </c>
      <c r="K267" s="1">
        <f>IFERROR(INDEX(E$2:E$500,133),"")</f>
        <v>0</v>
      </c>
      <c r="L267">
        <f>IF(ISTEXT(I267),COUNTIF(I$2:I267,I267),0)</f>
        <v>15</v>
      </c>
    </row>
    <row r="268" spans="1:12" x14ac:dyDescent="0.25">
      <c r="A268" t="s">
        <v>134</v>
      </c>
      <c r="B268" s="12" t="str">
        <f t="shared" si="37"/>
        <v>14.08.2022</v>
      </c>
      <c r="C268" s="13">
        <v>0.72916666666666663</v>
      </c>
      <c r="D268" s="10" t="s">
        <v>17</v>
      </c>
      <c r="E268" s="10">
        <v>2</v>
      </c>
      <c r="F268" s="10">
        <v>2</v>
      </c>
      <c r="G268" s="11" t="s">
        <v>8</v>
      </c>
      <c r="I268" s="1" t="str">
        <f>IFERROR(INDEX(D$2:D$500,134),"")</f>
        <v>Śląsk Wrocław</v>
      </c>
      <c r="J268" s="1">
        <f>IFERROR(INDEX(E$2:E$500,134),"")</f>
        <v>1</v>
      </c>
      <c r="K268" s="1">
        <f>IFERROR(INDEX(F$2:F$500,134),"")</f>
        <v>1</v>
      </c>
      <c r="L268">
        <f>IF(ISTEXT(I268),COUNTIF(I$2:I268,I268),0)</f>
        <v>15</v>
      </c>
    </row>
    <row r="269" spans="1:12" x14ac:dyDescent="0.25">
      <c r="A269" t="s">
        <v>134</v>
      </c>
      <c r="B269" s="12" t="str">
        <f t="shared" si="37"/>
        <v>14.08.2022</v>
      </c>
      <c r="C269" s="13">
        <v>0.625</v>
      </c>
      <c r="D269" s="10" t="s">
        <v>16</v>
      </c>
      <c r="E269" s="10">
        <v>4</v>
      </c>
      <c r="F269" s="10">
        <v>1</v>
      </c>
      <c r="G269" s="11" t="s">
        <v>14</v>
      </c>
      <c r="I269" s="1" t="str">
        <f>IFERROR(INDEX(G$2:G$500,134),"")</f>
        <v>Korona Kielce</v>
      </c>
      <c r="J269" s="1">
        <f>IFERROR(INDEX(F$2:F$500,134),"")</f>
        <v>1</v>
      </c>
      <c r="K269" s="1">
        <f>IFERROR(INDEX(E$2:E$500,134),"")</f>
        <v>1</v>
      </c>
      <c r="L269">
        <f>IF(ISTEXT(I269),COUNTIF(I$2:I269,I269),0)</f>
        <v>15</v>
      </c>
    </row>
    <row r="270" spans="1:12" x14ac:dyDescent="0.25">
      <c r="A270" t="s">
        <v>135</v>
      </c>
      <c r="B270" s="12" t="str">
        <f t="shared" si="37"/>
        <v>13.08.2022</v>
      </c>
      <c r="C270" s="13">
        <v>0.83333333333333337</v>
      </c>
      <c r="D270" s="10" t="s">
        <v>15</v>
      </c>
      <c r="E270" s="10">
        <v>2</v>
      </c>
      <c r="F270" s="10">
        <v>2</v>
      </c>
      <c r="G270" s="11" t="s">
        <v>6</v>
      </c>
      <c r="I270" s="1" t="str">
        <f>IFERROR(INDEX(D$2:D$500,135),"")</f>
        <v>Lechia Gdańsk</v>
      </c>
      <c r="J270" s="1">
        <f>IFERROR(INDEX(E$2:E$500,135),"")</f>
        <v>0</v>
      </c>
      <c r="K270" s="1">
        <f>IFERROR(INDEX(F$2:F$500,135),"")</f>
        <v>0</v>
      </c>
      <c r="L270">
        <f>IF(ISTEXT(I270),COUNTIF(I$2:I270,I270),0)</f>
        <v>15</v>
      </c>
    </row>
    <row r="271" spans="1:12" x14ac:dyDescent="0.25">
      <c r="A271" t="s">
        <v>135</v>
      </c>
      <c r="B271" s="12" t="str">
        <f t="shared" si="37"/>
        <v>13.08.2022</v>
      </c>
      <c r="C271" s="13">
        <v>0.72916666666666663</v>
      </c>
      <c r="D271" s="10" t="s">
        <v>12</v>
      </c>
      <c r="E271" s="10">
        <v>1</v>
      </c>
      <c r="F271" s="10">
        <v>3</v>
      </c>
      <c r="G271" s="11" t="s">
        <v>19</v>
      </c>
      <c r="I271" s="1" t="str">
        <f>IFERROR(INDEX(G$2:G$500,135),"")</f>
        <v>Widzew Łódź</v>
      </c>
      <c r="J271" s="1">
        <f>IFERROR(INDEX(F$2:F$500,135),"")</f>
        <v>0</v>
      </c>
      <c r="K271" s="1">
        <f>IFERROR(INDEX(E$2:E$500,135),"")</f>
        <v>0</v>
      </c>
      <c r="L271">
        <f>IF(ISTEXT(I271),COUNTIF(I$2:I271,I271),0)</f>
        <v>15</v>
      </c>
    </row>
    <row r="272" spans="1:12" x14ac:dyDescent="0.25">
      <c r="A272" t="s">
        <v>135</v>
      </c>
      <c r="B272" s="12" t="str">
        <f t="shared" si="37"/>
        <v>13.08.2022</v>
      </c>
      <c r="C272" s="13">
        <v>0.625</v>
      </c>
      <c r="D272" s="10" t="s">
        <v>5</v>
      </c>
      <c r="E272" s="10">
        <v>0</v>
      </c>
      <c r="F272" s="10">
        <v>1</v>
      </c>
      <c r="G272" s="11" t="s">
        <v>13</v>
      </c>
      <c r="I272" s="1" t="str">
        <f>IFERROR(INDEX(D$2:D$500,136),"")</f>
        <v>Stal Mielec</v>
      </c>
      <c r="J272" s="1">
        <f>IFERROR(INDEX(E$2:E$500,136),"")</f>
        <v>0</v>
      </c>
      <c r="K272" s="1">
        <f>IFERROR(INDEX(F$2:F$500,136),"")</f>
        <v>0</v>
      </c>
      <c r="L272">
        <f>IF(ISTEXT(I272),COUNTIF(I$2:I272,I272),0)</f>
        <v>15</v>
      </c>
    </row>
    <row r="273" spans="1:12" x14ac:dyDescent="0.25">
      <c r="A273" t="s">
        <v>136</v>
      </c>
      <c r="B273" s="12" t="str">
        <f t="shared" si="37"/>
        <v>12.08.2022</v>
      </c>
      <c r="C273" s="13">
        <v>0.85416666666666663</v>
      </c>
      <c r="D273" s="10" t="s">
        <v>21</v>
      </c>
      <c r="E273" s="10">
        <v>1</v>
      </c>
      <c r="F273" s="10">
        <v>2</v>
      </c>
      <c r="G273" s="11" t="s">
        <v>9</v>
      </c>
      <c r="I273" s="1" t="str">
        <f>IFERROR(INDEX(G$2:G$500,136),"")</f>
        <v>Raków Częstochowa</v>
      </c>
      <c r="J273" s="1">
        <f>IFERROR(INDEX(F$2:F$500,136),"")</f>
        <v>0</v>
      </c>
      <c r="K273" s="1">
        <f>IFERROR(INDEX(E$2:E$500,136),"")</f>
        <v>0</v>
      </c>
      <c r="L273">
        <f>IF(ISTEXT(I273),COUNTIF(I$2:I273,I273),0)</f>
        <v>15</v>
      </c>
    </row>
    <row r="274" spans="1:12" x14ac:dyDescent="0.25">
      <c r="A274" t="s">
        <v>136</v>
      </c>
      <c r="B274" s="12" t="str">
        <f t="shared" si="37"/>
        <v>12.08.2022</v>
      </c>
      <c r="C274" s="13">
        <v>0.75</v>
      </c>
      <c r="D274" s="10" t="s">
        <v>11</v>
      </c>
      <c r="E274" s="10">
        <v>0</v>
      </c>
      <c r="F274" s="10">
        <v>1</v>
      </c>
      <c r="G274" s="11" t="s">
        <v>18</v>
      </c>
      <c r="I274" s="1" t="str">
        <f>IFERROR(INDEX(D$2:D$500,137),"")</f>
        <v>Korona Kielce</v>
      </c>
      <c r="J274" s="1">
        <f>IFERROR(INDEX(E$2:E$500,137),"")</f>
        <v>2</v>
      </c>
      <c r="K274" s="1">
        <f>IFERROR(INDEX(F$2:F$500,137),"")</f>
        <v>1</v>
      </c>
      <c r="L274">
        <f>IF(ISTEXT(I274),COUNTIF(I$2:I274,I274),0)</f>
        <v>16</v>
      </c>
    </row>
    <row r="275" spans="1:12" x14ac:dyDescent="0.25">
      <c r="A275" t="s">
        <v>137</v>
      </c>
      <c r="B275" s="12" t="str">
        <f t="shared" si="37"/>
        <v>08.08.2022</v>
      </c>
      <c r="C275" s="13">
        <v>0.79166666666666663</v>
      </c>
      <c r="D275" s="10" t="s">
        <v>6</v>
      </c>
      <c r="E275" s="10">
        <v>4</v>
      </c>
      <c r="F275" s="10">
        <v>1</v>
      </c>
      <c r="G275" s="11" t="s">
        <v>11</v>
      </c>
      <c r="I275" s="1" t="str">
        <f>IFERROR(INDEX(G$2:G$500,137),"")</f>
        <v>Cracovia</v>
      </c>
      <c r="J275" s="1">
        <f>IFERROR(INDEX(F$2:F$500,137),"")</f>
        <v>1</v>
      </c>
      <c r="K275" s="1">
        <f>IFERROR(INDEX(E$2:E$500,137),"")</f>
        <v>2</v>
      </c>
      <c r="L275">
        <f>IF(ISTEXT(I275),COUNTIF(I$2:I275,I275),0)</f>
        <v>16</v>
      </c>
    </row>
    <row r="276" spans="1:12" x14ac:dyDescent="0.25">
      <c r="A276" t="s">
        <v>138</v>
      </c>
      <c r="B276" s="12" t="str">
        <f t="shared" si="37"/>
        <v>07.08.2022</v>
      </c>
      <c r="C276" s="13">
        <v>0.83333333333333337</v>
      </c>
      <c r="D276" s="10" t="s">
        <v>12</v>
      </c>
      <c r="E276" s="10">
        <v>1</v>
      </c>
      <c r="F276" s="10">
        <v>0</v>
      </c>
      <c r="G276" s="11" t="s">
        <v>17</v>
      </c>
      <c r="I276" s="1" t="str">
        <f>IFERROR(INDEX(D$2:D$500,138),"")</f>
        <v>Pogoń Szczecin</v>
      </c>
      <c r="J276" s="1">
        <f>IFERROR(INDEX(E$2:E$500,138),"")</f>
        <v>0</v>
      </c>
      <c r="K276" s="1">
        <f>IFERROR(INDEX(F$2:F$500,138),"")</f>
        <v>2</v>
      </c>
      <c r="L276">
        <f>IF(ISTEXT(I276),COUNTIF(I$2:I276,I276),0)</f>
        <v>16</v>
      </c>
    </row>
    <row r="277" spans="1:12" x14ac:dyDescent="0.25">
      <c r="A277" t="s">
        <v>138</v>
      </c>
      <c r="B277" s="12" t="str">
        <f t="shared" si="37"/>
        <v>07.08.2022</v>
      </c>
      <c r="C277" s="13">
        <v>0.72916666666666663</v>
      </c>
      <c r="D277" s="10" t="s">
        <v>18</v>
      </c>
      <c r="E277" s="10">
        <v>1</v>
      </c>
      <c r="F277" s="10">
        <v>1</v>
      </c>
      <c r="G277" s="11" t="s">
        <v>7</v>
      </c>
      <c r="I277" s="1" t="str">
        <f>IFERROR(INDEX(G$2:G$500,138),"")</f>
        <v>Śląsk Wrocław</v>
      </c>
      <c r="J277" s="1">
        <f>IFERROR(INDEX(F$2:F$500,138),"")</f>
        <v>2</v>
      </c>
      <c r="K277" s="1">
        <f>IFERROR(INDEX(E$2:E$500,138),"")</f>
        <v>0</v>
      </c>
      <c r="L277">
        <f>IF(ISTEXT(I277),COUNTIF(I$2:I277,I277),0)</f>
        <v>16</v>
      </c>
    </row>
    <row r="278" spans="1:12" x14ac:dyDescent="0.25">
      <c r="A278" t="s">
        <v>138</v>
      </c>
      <c r="B278" s="12" t="str">
        <f t="shared" si="37"/>
        <v>07.08.2022</v>
      </c>
      <c r="C278" s="13">
        <v>0.625</v>
      </c>
      <c r="D278" s="10" t="s">
        <v>20</v>
      </c>
      <c r="E278" s="10">
        <v>1</v>
      </c>
      <c r="F278" s="10">
        <v>2</v>
      </c>
      <c r="G278" s="11" t="s">
        <v>15</v>
      </c>
      <c r="I278" s="1" t="str">
        <f>IFERROR(INDEX(D$2:D$500,139),"")</f>
        <v>Lech Poznań</v>
      </c>
      <c r="J278" s="1">
        <f>IFERROR(INDEX(E$2:E$500,139),"")</f>
        <v>1</v>
      </c>
      <c r="K278" s="1">
        <f>IFERROR(INDEX(F$2:F$500,139),"")</f>
        <v>0</v>
      </c>
      <c r="L278">
        <f>IF(ISTEXT(I278),COUNTIF(I$2:I278,I278),0)</f>
        <v>16</v>
      </c>
    </row>
    <row r="279" spans="1:12" x14ac:dyDescent="0.25">
      <c r="A279" t="s">
        <v>139</v>
      </c>
      <c r="B279" s="12" t="str">
        <f t="shared" si="37"/>
        <v>06.08.2022</v>
      </c>
      <c r="C279" s="13">
        <v>0.83333333333333337</v>
      </c>
      <c r="D279" s="10" t="s">
        <v>10</v>
      </c>
      <c r="E279" s="10">
        <v>0</v>
      </c>
      <c r="F279" s="10">
        <v>0</v>
      </c>
      <c r="G279" s="11" t="s">
        <v>21</v>
      </c>
      <c r="I279" s="1" t="str">
        <f>IFERROR(INDEX(G$2:G$500,139),"")</f>
        <v>Miedź Legnica</v>
      </c>
      <c r="J279" s="1">
        <f>IFERROR(INDEX(F$2:F$500,139),"")</f>
        <v>0</v>
      </c>
      <c r="K279" s="1">
        <f>IFERROR(INDEX(E$2:E$500,139),"")</f>
        <v>1</v>
      </c>
      <c r="L279">
        <f>IF(ISTEXT(I279),COUNTIF(I$2:I279,I279),0)</f>
        <v>16</v>
      </c>
    </row>
    <row r="280" spans="1:12" x14ac:dyDescent="0.25">
      <c r="A280" t="s">
        <v>139</v>
      </c>
      <c r="B280" s="12" t="str">
        <f t="shared" si="37"/>
        <v>06.08.2022</v>
      </c>
      <c r="C280" s="13">
        <v>0.72916666666666663</v>
      </c>
      <c r="D280" s="10" t="s">
        <v>8</v>
      </c>
      <c r="E280" s="10">
        <v>1</v>
      </c>
      <c r="F280" s="10">
        <v>2</v>
      </c>
      <c r="G280" s="11" t="s">
        <v>16</v>
      </c>
      <c r="I280" s="1" t="str">
        <f>IFERROR(INDEX(D$2:D$500,140),"")</f>
        <v>Radomiak Radom</v>
      </c>
      <c r="J280" s="1">
        <f>IFERROR(INDEX(E$2:E$500,140),"")</f>
        <v>1</v>
      </c>
      <c r="K280" s="1">
        <f>IFERROR(INDEX(F$2:F$500,140),"")</f>
        <v>0</v>
      </c>
      <c r="L280">
        <f>IF(ISTEXT(I280),COUNTIF(I$2:I280,I280),0)</f>
        <v>16</v>
      </c>
    </row>
    <row r="281" spans="1:12" x14ac:dyDescent="0.25">
      <c r="A281" t="s">
        <v>139</v>
      </c>
      <c r="B281" s="12" t="str">
        <f t="shared" si="37"/>
        <v>06.08.2022</v>
      </c>
      <c r="C281" s="13">
        <v>0.625</v>
      </c>
      <c r="D281" s="10" t="s">
        <v>14</v>
      </c>
      <c r="E281" s="10">
        <v>0</v>
      </c>
      <c r="F281" s="10">
        <v>1</v>
      </c>
      <c r="G281" s="11" t="s">
        <v>22</v>
      </c>
      <c r="I281" s="1" t="str">
        <f>IFERROR(INDEX(G$2:G$500,140),"")</f>
        <v>Stal Mielec</v>
      </c>
      <c r="J281" s="1">
        <f>IFERROR(INDEX(F$2:F$500,140),"")</f>
        <v>0</v>
      </c>
      <c r="K281" s="1">
        <f>IFERROR(INDEX(E$2:E$500,140),"")</f>
        <v>1</v>
      </c>
      <c r="L281">
        <f>IF(ISTEXT(I281),COUNTIF(I$2:I281,I281),0)</f>
        <v>16</v>
      </c>
    </row>
    <row r="282" spans="1:12" x14ac:dyDescent="0.25">
      <c r="A282" t="s">
        <v>140</v>
      </c>
      <c r="B282" s="12" t="str">
        <f t="shared" si="37"/>
        <v>05.08.2022</v>
      </c>
      <c r="C282" s="13">
        <v>0.85416666666666663</v>
      </c>
      <c r="D282" s="10" t="s">
        <v>9</v>
      </c>
      <c r="E282" s="10">
        <v>2</v>
      </c>
      <c r="F282" s="10">
        <v>0</v>
      </c>
      <c r="G282" s="11" t="s">
        <v>13</v>
      </c>
      <c r="I282" s="1" t="str">
        <f>IFERROR(INDEX(D$2:D$500,141),"")</f>
        <v>Zagłębie Lubin</v>
      </c>
      <c r="J282" s="1">
        <f>IFERROR(INDEX(E$2:E$500,141),"")</f>
        <v>1</v>
      </c>
      <c r="K282" s="1">
        <f>IFERROR(INDEX(F$2:F$500,141),"")</f>
        <v>2</v>
      </c>
      <c r="L282">
        <f>IF(ISTEXT(I282),COUNTIF(I$2:I282,I282),0)</f>
        <v>16</v>
      </c>
    </row>
    <row r="283" spans="1:12" x14ac:dyDescent="0.25">
      <c r="A283" t="s">
        <v>140</v>
      </c>
      <c r="B283" s="12" t="str">
        <f t="shared" si="37"/>
        <v>05.08.2022</v>
      </c>
      <c r="C283" s="13">
        <v>0.75</v>
      </c>
      <c r="D283" s="10" t="s">
        <v>19</v>
      </c>
      <c r="E283" s="10">
        <v>2</v>
      </c>
      <c r="F283" s="10">
        <v>0</v>
      </c>
      <c r="G283" s="11" t="s">
        <v>5</v>
      </c>
      <c r="I283" s="1" t="str">
        <f>IFERROR(INDEX(G$2:G$500,141),"")</f>
        <v>Legia Warszawa</v>
      </c>
      <c r="J283" s="1">
        <f>IFERROR(INDEX(F$2:F$500,141),"")</f>
        <v>2</v>
      </c>
      <c r="K283" s="1">
        <f>IFERROR(INDEX(E$2:E$500,141),"")</f>
        <v>1</v>
      </c>
      <c r="L283">
        <f>IF(ISTEXT(I283),COUNTIF(I$2:I283,I283),0)</f>
        <v>16</v>
      </c>
    </row>
    <row r="284" spans="1:12" x14ac:dyDescent="0.25">
      <c r="A284" t="s">
        <v>141</v>
      </c>
      <c r="B284" s="12" t="str">
        <f t="shared" ref="B284:B307" si="38">A284&amp;2022</f>
        <v>01.08.2022</v>
      </c>
      <c r="C284" s="13">
        <v>0.79166666666666663</v>
      </c>
      <c r="D284" s="10" t="s">
        <v>22</v>
      </c>
      <c r="E284" s="10">
        <v>3</v>
      </c>
      <c r="F284" s="10">
        <v>1</v>
      </c>
      <c r="G284" s="11" t="s">
        <v>10</v>
      </c>
      <c r="I284" s="1" t="str">
        <f>IFERROR(INDEX(D$2:D$500,142),"")</f>
        <v>Górnik Zabrze</v>
      </c>
      <c r="J284" s="1">
        <f>IFERROR(INDEX(E$2:E$500,142),"")</f>
        <v>1</v>
      </c>
      <c r="K284" s="1">
        <f>IFERROR(INDEX(F$2:F$500,142),"")</f>
        <v>1</v>
      </c>
      <c r="L284">
        <f>IF(ISTEXT(I284),COUNTIF(I$2:I284,I284),0)</f>
        <v>16</v>
      </c>
    </row>
    <row r="285" spans="1:12" x14ac:dyDescent="0.25">
      <c r="A285" t="s">
        <v>142</v>
      </c>
      <c r="B285" s="12" t="str">
        <f t="shared" si="38"/>
        <v>31.07.2022</v>
      </c>
      <c r="C285" s="13">
        <v>0.83333333333333337</v>
      </c>
      <c r="D285" s="10" t="s">
        <v>21</v>
      </c>
      <c r="E285" s="10">
        <v>2</v>
      </c>
      <c r="F285" s="10">
        <v>3</v>
      </c>
      <c r="G285" s="11" t="s">
        <v>14</v>
      </c>
      <c r="I285" s="1" t="str">
        <f>IFERROR(INDEX(G$2:G$500,142),"")</f>
        <v>Lechia Gdańsk</v>
      </c>
      <c r="J285" s="1">
        <f>IFERROR(INDEX(F$2:F$500,142),"")</f>
        <v>1</v>
      </c>
      <c r="K285" s="1">
        <f>IFERROR(INDEX(E$2:E$500,142),"")</f>
        <v>1</v>
      </c>
      <c r="L285">
        <f>IF(ISTEXT(I285),COUNTIF(I$2:I285,I285),0)</f>
        <v>16</v>
      </c>
    </row>
    <row r="286" spans="1:12" x14ac:dyDescent="0.25">
      <c r="A286" t="s">
        <v>142</v>
      </c>
      <c r="B286" s="12" t="str">
        <f t="shared" si="38"/>
        <v>31.07.2022</v>
      </c>
      <c r="C286" s="13">
        <v>0.72916666666666663</v>
      </c>
      <c r="D286" s="10" t="s">
        <v>7</v>
      </c>
      <c r="E286" s="10">
        <v>1</v>
      </c>
      <c r="F286" s="10">
        <v>3</v>
      </c>
      <c r="G286" s="11" t="s">
        <v>6</v>
      </c>
      <c r="I286" s="1" t="str">
        <f>IFERROR(INDEX(D$2:D$500,143),"")</f>
        <v>Raków Częstochowa</v>
      </c>
      <c r="J286" s="1">
        <f>IFERROR(INDEX(E$2:E$500,143),"")</f>
        <v>1</v>
      </c>
      <c r="K286" s="1">
        <f>IFERROR(INDEX(F$2:F$500,143),"")</f>
        <v>0</v>
      </c>
      <c r="L286">
        <f>IF(ISTEXT(I286),COUNTIF(I$2:I286,I286),0)</f>
        <v>16</v>
      </c>
    </row>
    <row r="287" spans="1:12" x14ac:dyDescent="0.25">
      <c r="A287" t="s">
        <v>142</v>
      </c>
      <c r="B287" s="12" t="str">
        <f t="shared" si="38"/>
        <v>31.07.2022</v>
      </c>
      <c r="C287" s="13">
        <v>0.72916666666666663</v>
      </c>
      <c r="D287" s="10" t="s">
        <v>17</v>
      </c>
      <c r="E287" s="10">
        <v>3</v>
      </c>
      <c r="F287" s="10">
        <v>2</v>
      </c>
      <c r="G287" s="11" t="s">
        <v>19</v>
      </c>
      <c r="I287" s="1" t="str">
        <f>IFERROR(INDEX(G$2:G$500,143),"")</f>
        <v>Piast Gliwice</v>
      </c>
      <c r="J287" s="1">
        <f>IFERROR(INDEX(F$2:F$500,143),"")</f>
        <v>0</v>
      </c>
      <c r="K287" s="1">
        <f>IFERROR(INDEX(E$2:E$500,143),"")</f>
        <v>1</v>
      </c>
      <c r="L287">
        <f>IF(ISTEXT(I287),COUNTIF(I$2:I287,I287),0)</f>
        <v>16</v>
      </c>
    </row>
    <row r="288" spans="1:12" x14ac:dyDescent="0.25">
      <c r="A288" t="s">
        <v>142</v>
      </c>
      <c r="B288" s="12" t="str">
        <f t="shared" si="38"/>
        <v>31.07.2022</v>
      </c>
      <c r="C288" s="13">
        <v>0.625</v>
      </c>
      <c r="D288" s="10" t="s">
        <v>15</v>
      </c>
      <c r="E288" s="10">
        <v>1</v>
      </c>
      <c r="F288" s="10">
        <v>0</v>
      </c>
      <c r="G288" s="11" t="s">
        <v>8</v>
      </c>
      <c r="I288" s="1" t="str">
        <f>IFERROR(INDEX(D$2:D$500,144),"")</f>
        <v>Widzew Łódź</v>
      </c>
      <c r="J288" s="1">
        <f>IFERROR(INDEX(E$2:E$500,144),"")</f>
        <v>1</v>
      </c>
      <c r="K288" s="1">
        <f>IFERROR(INDEX(F$2:F$500,144),"")</f>
        <v>1</v>
      </c>
      <c r="L288">
        <f>IF(ISTEXT(I288),COUNTIF(I$2:I288,I288),0)</f>
        <v>16</v>
      </c>
    </row>
    <row r="289" spans="1:12" x14ac:dyDescent="0.25">
      <c r="A289" t="s">
        <v>143</v>
      </c>
      <c r="B289" s="12" t="str">
        <f t="shared" si="38"/>
        <v>30.07.2022</v>
      </c>
      <c r="C289" s="13">
        <v>0.83333333333333337</v>
      </c>
      <c r="D289" s="10" t="s">
        <v>11</v>
      </c>
      <c r="E289" s="10">
        <v>1</v>
      </c>
      <c r="F289" s="10">
        <v>2</v>
      </c>
      <c r="G289" s="11" t="s">
        <v>20</v>
      </c>
      <c r="I289" s="1" t="str">
        <f>IFERROR(INDEX(G$2:G$500,144),"")</f>
        <v>Jagiellonia Białystok</v>
      </c>
      <c r="J289" s="1">
        <f>IFERROR(INDEX(F$2:F$500,144),"")</f>
        <v>1</v>
      </c>
      <c r="K289" s="1">
        <f>IFERROR(INDEX(E$2:E$500,144),"")</f>
        <v>1</v>
      </c>
      <c r="L289">
        <f>IF(ISTEXT(I289),COUNTIF(I$2:I289,I289),0)</f>
        <v>16</v>
      </c>
    </row>
    <row r="290" spans="1:12" x14ac:dyDescent="0.25">
      <c r="A290" t="s">
        <v>143</v>
      </c>
      <c r="B290" s="12" t="str">
        <f t="shared" si="38"/>
        <v>30.07.2022</v>
      </c>
      <c r="C290" s="13">
        <v>0.72916666666666663</v>
      </c>
      <c r="D290" s="10" t="s">
        <v>16</v>
      </c>
      <c r="E290" s="10">
        <v>0</v>
      </c>
      <c r="F290" s="10">
        <v>3</v>
      </c>
      <c r="G290" s="11" t="s">
        <v>12</v>
      </c>
      <c r="I290" s="1" t="str">
        <f>IFERROR(INDEX(D$2:D$500,145),"")</f>
        <v>Miedź Legnica</v>
      </c>
      <c r="J290" s="1">
        <f>IFERROR(INDEX(E$2:E$500,145),"")</f>
        <v>2</v>
      </c>
      <c r="K290" s="1">
        <f>IFERROR(INDEX(F$2:F$500,145),"")</f>
        <v>2</v>
      </c>
      <c r="L290">
        <f>IF(ISTEXT(I290),COUNTIF(I$2:I290,I290),0)</f>
        <v>17</v>
      </c>
    </row>
    <row r="291" spans="1:12" x14ac:dyDescent="0.25">
      <c r="A291" t="s">
        <v>144</v>
      </c>
      <c r="B291" s="12" t="str">
        <f t="shared" si="38"/>
        <v>29.07.2022</v>
      </c>
      <c r="C291" s="13">
        <v>0.85416666666666663</v>
      </c>
      <c r="D291" s="10" t="s">
        <v>5</v>
      </c>
      <c r="E291" s="10">
        <v>3</v>
      </c>
      <c r="F291" s="10">
        <v>0</v>
      </c>
      <c r="G291" s="11" t="s">
        <v>9</v>
      </c>
      <c r="I291" s="1" t="str">
        <f>IFERROR(INDEX(G$2:G$500,145),"")</f>
        <v>Lech Poznań</v>
      </c>
      <c r="J291" s="1">
        <f>IFERROR(INDEX(F$2:F$500,145),"")</f>
        <v>2</v>
      </c>
      <c r="K291" s="1">
        <f>IFERROR(INDEX(E$2:E$500,145),"")</f>
        <v>2</v>
      </c>
      <c r="L291">
        <f>IF(ISTEXT(I291),COUNTIF(I$2:I291,I291),0)</f>
        <v>17</v>
      </c>
    </row>
    <row r="292" spans="1:12" x14ac:dyDescent="0.25">
      <c r="A292" t="s">
        <v>144</v>
      </c>
      <c r="B292" s="12" t="str">
        <f t="shared" si="38"/>
        <v>29.07.2022</v>
      </c>
      <c r="C292" s="13">
        <v>0.75</v>
      </c>
      <c r="D292" s="10" t="s">
        <v>13</v>
      </c>
      <c r="E292" s="10">
        <v>0</v>
      </c>
      <c r="F292" s="10">
        <v>1</v>
      </c>
      <c r="G292" s="11" t="s">
        <v>18</v>
      </c>
      <c r="I292" s="1" t="str">
        <f>IFERROR(INDEX(D$2:D$500,146),"")</f>
        <v>Cracovia</v>
      </c>
      <c r="J292" s="1">
        <f>IFERROR(INDEX(E$2:E$500,146),"")</f>
        <v>2</v>
      </c>
      <c r="K292" s="1">
        <f>IFERROR(INDEX(F$2:F$500,146),"")</f>
        <v>0</v>
      </c>
      <c r="L292">
        <f>IF(ISTEXT(I292),COUNTIF(I$2:I292,I292),0)</f>
        <v>17</v>
      </c>
    </row>
    <row r="293" spans="1:12" x14ac:dyDescent="0.25">
      <c r="A293" t="s">
        <v>145</v>
      </c>
      <c r="B293" s="12" t="str">
        <f t="shared" si="38"/>
        <v>25.07.2022</v>
      </c>
      <c r="C293" s="13">
        <v>0.79166666666666663</v>
      </c>
      <c r="D293" s="10" t="s">
        <v>19</v>
      </c>
      <c r="E293" s="10">
        <v>1</v>
      </c>
      <c r="F293" s="10">
        <v>1</v>
      </c>
      <c r="G293" s="11" t="s">
        <v>16</v>
      </c>
      <c r="I293" s="1" t="str">
        <f>IFERROR(INDEX(G$2:G$500,146),"")</f>
        <v>Górnik Zabrze</v>
      </c>
      <c r="J293" s="1">
        <f>IFERROR(INDEX(F$2:F$500,146),"")</f>
        <v>0</v>
      </c>
      <c r="K293" s="1">
        <f>IFERROR(INDEX(E$2:E$500,146),"")</f>
        <v>2</v>
      </c>
      <c r="L293">
        <f>IF(ISTEXT(I293),COUNTIF(I$2:I293,I293),0)</f>
        <v>17</v>
      </c>
    </row>
    <row r="294" spans="1:12" x14ac:dyDescent="0.25">
      <c r="A294" t="s">
        <v>146</v>
      </c>
      <c r="B294" s="12" t="str">
        <f t="shared" si="38"/>
        <v>24.07.2022</v>
      </c>
      <c r="C294" s="13">
        <v>0.72916666666666663</v>
      </c>
      <c r="D294" s="10" t="s">
        <v>10</v>
      </c>
      <c r="E294" s="10">
        <v>2</v>
      </c>
      <c r="F294" s="10">
        <v>1</v>
      </c>
      <c r="G294" s="11" t="s">
        <v>15</v>
      </c>
      <c r="I294" s="1" t="str">
        <f>IFERROR(INDEX(D$2:D$500,147),"")</f>
        <v>Lechia Gdańsk</v>
      </c>
      <c r="J294" s="1">
        <f>IFERROR(INDEX(E$2:E$500,147),"")</f>
        <v>1</v>
      </c>
      <c r="K294" s="1">
        <f>IFERROR(INDEX(F$2:F$500,147),"")</f>
        <v>0</v>
      </c>
      <c r="L294">
        <f>IF(ISTEXT(I294),COUNTIF(I$2:I294,I294),0)</f>
        <v>17</v>
      </c>
    </row>
    <row r="295" spans="1:12" x14ac:dyDescent="0.25">
      <c r="A295" t="s">
        <v>147</v>
      </c>
      <c r="B295" s="12" t="str">
        <f t="shared" si="38"/>
        <v>23.07.2022</v>
      </c>
      <c r="C295" s="13">
        <v>0.83333333333333337</v>
      </c>
      <c r="D295" s="10" t="s">
        <v>9</v>
      </c>
      <c r="E295" s="10">
        <v>2</v>
      </c>
      <c r="F295" s="10">
        <v>0</v>
      </c>
      <c r="G295" s="11" t="s">
        <v>18</v>
      </c>
      <c r="I295" s="1" t="str">
        <f>IFERROR(INDEX(G$2:G$500,147),"")</f>
        <v>Wisła Płock</v>
      </c>
      <c r="J295" s="1">
        <f>IFERROR(INDEX(F$2:F$500,147),"")</f>
        <v>0</v>
      </c>
      <c r="K295" s="1">
        <f>IFERROR(INDEX(E$2:E$500,147),"")</f>
        <v>1</v>
      </c>
      <c r="L295">
        <f>IF(ISTEXT(I295),COUNTIF(I$2:I295,I295),0)</f>
        <v>17</v>
      </c>
    </row>
    <row r="296" spans="1:12" x14ac:dyDescent="0.25">
      <c r="A296" t="s">
        <v>147</v>
      </c>
      <c r="B296" s="12" t="str">
        <f t="shared" si="38"/>
        <v>23.07.2022</v>
      </c>
      <c r="C296" s="13">
        <v>0.72916666666666663</v>
      </c>
      <c r="D296" s="10" t="s">
        <v>5</v>
      </c>
      <c r="E296" s="10">
        <v>2</v>
      </c>
      <c r="F296" s="10">
        <v>0</v>
      </c>
      <c r="G296" s="11" t="s">
        <v>22</v>
      </c>
      <c r="I296" s="1" t="str">
        <f>IFERROR(INDEX(D$2:D$500,148),"")</f>
        <v>Legia Warszawa</v>
      </c>
      <c r="J296" s="1">
        <f>IFERROR(INDEX(E$2:E$500,148),"")</f>
        <v>3</v>
      </c>
      <c r="K296" s="1">
        <f>IFERROR(INDEX(F$2:F$500,148),"")</f>
        <v>2</v>
      </c>
      <c r="L296">
        <f>IF(ISTEXT(I296),COUNTIF(I$2:I296,I296),0)</f>
        <v>17</v>
      </c>
    </row>
    <row r="297" spans="1:12" x14ac:dyDescent="0.25">
      <c r="A297" t="s">
        <v>148</v>
      </c>
      <c r="B297" s="12" t="str">
        <f t="shared" si="38"/>
        <v>22.07.2022</v>
      </c>
      <c r="C297" s="13">
        <v>0.85416666666666663</v>
      </c>
      <c r="D297" s="10" t="s">
        <v>8</v>
      </c>
      <c r="E297" s="10">
        <v>0</v>
      </c>
      <c r="F297" s="10">
        <v>2</v>
      </c>
      <c r="G297" s="11" t="s">
        <v>21</v>
      </c>
      <c r="I297" s="1" t="str">
        <f>IFERROR(INDEX(G$2:G$500,148),"")</f>
        <v>Korona Kielce</v>
      </c>
      <c r="J297" s="1">
        <f>IFERROR(INDEX(F$2:F$500,148),"")</f>
        <v>2</v>
      </c>
      <c r="K297" s="1">
        <f>IFERROR(INDEX(E$2:E$500,148),"")</f>
        <v>3</v>
      </c>
      <c r="L297">
        <f>IF(ISTEXT(I297),COUNTIF(I$2:I297,I297),0)</f>
        <v>17</v>
      </c>
    </row>
    <row r="298" spans="1:12" x14ac:dyDescent="0.25">
      <c r="A298" t="s">
        <v>148</v>
      </c>
      <c r="B298" s="12" t="str">
        <f t="shared" si="38"/>
        <v>22.07.2022</v>
      </c>
      <c r="C298" s="13">
        <v>0.75</v>
      </c>
      <c r="D298" s="10" t="s">
        <v>20</v>
      </c>
      <c r="E298" s="10">
        <v>0</v>
      </c>
      <c r="F298" s="10">
        <v>4</v>
      </c>
      <c r="G298" s="11" t="s">
        <v>6</v>
      </c>
      <c r="I298" s="1" t="str">
        <f>IFERROR(INDEX(D$2:D$500,149),"")</f>
        <v>Piast Gliwice</v>
      </c>
      <c r="J298" s="1">
        <f>IFERROR(INDEX(E$2:E$500,149),"")</f>
        <v>1</v>
      </c>
      <c r="K298" s="1">
        <f>IFERROR(INDEX(F$2:F$500,149),"")</f>
        <v>1</v>
      </c>
      <c r="L298">
        <f>IF(ISTEXT(I298),COUNTIF(I$2:I298,I298),0)</f>
        <v>17</v>
      </c>
    </row>
    <row r="299" spans="1:12" x14ac:dyDescent="0.25">
      <c r="A299" t="s">
        <v>149</v>
      </c>
      <c r="B299" s="12" t="str">
        <f t="shared" si="38"/>
        <v>18.07.2022</v>
      </c>
      <c r="C299" s="13">
        <v>0.79166666666666663</v>
      </c>
      <c r="D299" s="10" t="s">
        <v>12</v>
      </c>
      <c r="E299" s="10">
        <v>0</v>
      </c>
      <c r="F299" s="10">
        <v>2</v>
      </c>
      <c r="G299" s="11" t="s">
        <v>5</v>
      </c>
      <c r="I299" s="1" t="str">
        <f>IFERROR(INDEX(G$2:G$500,149),"")</f>
        <v>Jagiellonia Białystok</v>
      </c>
      <c r="J299" s="1">
        <f>IFERROR(INDEX(F$2:F$500,149),"")</f>
        <v>1</v>
      </c>
      <c r="K299" s="1">
        <f>IFERROR(INDEX(E$2:E$500,149),"")</f>
        <v>1</v>
      </c>
      <c r="L299">
        <f>IF(ISTEXT(I299),COUNTIF(I$2:I299,I299),0)</f>
        <v>17</v>
      </c>
    </row>
    <row r="300" spans="1:12" x14ac:dyDescent="0.25">
      <c r="A300" t="s">
        <v>150</v>
      </c>
      <c r="B300" s="12" t="str">
        <f t="shared" si="38"/>
        <v>17.07.2022</v>
      </c>
      <c r="C300" s="13">
        <v>0.72916666666666663</v>
      </c>
      <c r="D300" s="10" t="s">
        <v>15</v>
      </c>
      <c r="E300" s="10">
        <v>2</v>
      </c>
      <c r="F300" s="10">
        <v>1</v>
      </c>
      <c r="G300" s="11" t="s">
        <v>21</v>
      </c>
      <c r="I300" s="1" t="str">
        <f>IFERROR(INDEX(D$2:D$500,150),"")</f>
        <v>Śląsk Wrocław</v>
      </c>
      <c r="J300" s="1">
        <f>IFERROR(INDEX(E$2:E$500,150),"")</f>
        <v>0</v>
      </c>
      <c r="K300" s="1">
        <f>IFERROR(INDEX(F$2:F$500,150),"")</f>
        <v>3</v>
      </c>
      <c r="L300">
        <f>IF(ISTEXT(I300),COUNTIF(I$2:I300,I300),0)</f>
        <v>17</v>
      </c>
    </row>
    <row r="301" spans="1:12" x14ac:dyDescent="0.25">
      <c r="A301" t="s">
        <v>150</v>
      </c>
      <c r="B301" s="12" t="str">
        <f t="shared" si="38"/>
        <v>17.07.2022</v>
      </c>
      <c r="C301" s="13">
        <v>0.625</v>
      </c>
      <c r="D301" s="10" t="s">
        <v>6</v>
      </c>
      <c r="E301" s="10">
        <v>3</v>
      </c>
      <c r="F301" s="10">
        <v>0</v>
      </c>
      <c r="G301" s="11" t="s">
        <v>14</v>
      </c>
      <c r="I301" s="1" t="str">
        <f>IFERROR(INDEX(G$2:G$500,150),"")</f>
        <v>Zagłębie Lubin</v>
      </c>
      <c r="J301" s="1">
        <f>IFERROR(INDEX(F$2:F$500,150),"")</f>
        <v>3</v>
      </c>
      <c r="K301" s="1">
        <f>IFERROR(INDEX(E$2:E$500,150),"")</f>
        <v>0</v>
      </c>
      <c r="L301">
        <f>IF(ISTEXT(I301),COUNTIF(I$2:I301,I301),0)</f>
        <v>17</v>
      </c>
    </row>
    <row r="302" spans="1:12" x14ac:dyDescent="0.25">
      <c r="A302" t="s">
        <v>150</v>
      </c>
      <c r="B302" s="12" t="str">
        <f t="shared" si="38"/>
        <v>17.07.2022</v>
      </c>
      <c r="C302" s="13">
        <v>0.52083333333333337</v>
      </c>
      <c r="D302" s="10" t="s">
        <v>16</v>
      </c>
      <c r="E302" s="10">
        <v>1</v>
      </c>
      <c r="F302" s="10">
        <v>1</v>
      </c>
      <c r="G302" s="11" t="s">
        <v>11</v>
      </c>
      <c r="I302" s="1" t="str">
        <f>IFERROR(INDEX(D$2:D$500,151),"")</f>
        <v>Widzew Łódź</v>
      </c>
      <c r="J302" s="1">
        <f>IFERROR(INDEX(E$2:E$500,151),"")</f>
        <v>3</v>
      </c>
      <c r="K302" s="1">
        <f>IFERROR(INDEX(F$2:F$500,151),"")</f>
        <v>3</v>
      </c>
      <c r="L302">
        <f>IF(ISTEXT(I302),COUNTIF(I$2:I302,I302),0)</f>
        <v>17</v>
      </c>
    </row>
    <row r="303" spans="1:12" x14ac:dyDescent="0.25">
      <c r="A303" t="s">
        <v>151</v>
      </c>
      <c r="B303" s="12" t="str">
        <f t="shared" si="38"/>
        <v>16.07.2022</v>
      </c>
      <c r="C303" s="13">
        <v>0.83333333333333337</v>
      </c>
      <c r="D303" s="10" t="s">
        <v>22</v>
      </c>
      <c r="E303" s="10">
        <v>1</v>
      </c>
      <c r="F303" s="10">
        <v>1</v>
      </c>
      <c r="G303" s="11" t="s">
        <v>9</v>
      </c>
      <c r="I303" s="1" t="str">
        <f>IFERROR(INDEX(G$2:G$500,151),"")</f>
        <v>Pogoń Szczecin</v>
      </c>
      <c r="J303" s="1">
        <f>IFERROR(INDEX(F$2:F$500,151),"")</f>
        <v>3</v>
      </c>
      <c r="K303" s="1">
        <f>IFERROR(INDEX(E$2:E$500,151),"")</f>
        <v>3</v>
      </c>
      <c r="L303">
        <f>IF(ISTEXT(I303),COUNTIF(I$2:I303,I303),0)</f>
        <v>17</v>
      </c>
    </row>
    <row r="304" spans="1:12" x14ac:dyDescent="0.25">
      <c r="A304" t="s">
        <v>151</v>
      </c>
      <c r="B304" s="12" t="str">
        <f t="shared" si="38"/>
        <v>16.07.2022</v>
      </c>
      <c r="C304" s="13">
        <v>0.72916666666666663</v>
      </c>
      <c r="D304" s="10" t="s">
        <v>8</v>
      </c>
      <c r="E304" s="10">
        <v>2</v>
      </c>
      <c r="F304" s="10">
        <v>0</v>
      </c>
      <c r="G304" s="11" t="s">
        <v>13</v>
      </c>
      <c r="I304" s="1" t="str">
        <f>IFERROR(INDEX(D$2:D$500,152),"")</f>
        <v>Warta Poznań</v>
      </c>
      <c r="J304" s="1">
        <f>IFERROR(INDEX(E$2:E$500,152),"")</f>
        <v>1</v>
      </c>
      <c r="K304" s="1">
        <f>IFERROR(INDEX(F$2:F$500,152),"")</f>
        <v>1</v>
      </c>
      <c r="L304">
        <f>IF(ISTEXT(I304),COUNTIF(I$2:I304,I304),0)</f>
        <v>17</v>
      </c>
    </row>
    <row r="305" spans="1:12" x14ac:dyDescent="0.25">
      <c r="A305" t="s">
        <v>151</v>
      </c>
      <c r="B305" s="12" t="str">
        <f t="shared" si="38"/>
        <v>16.07.2022</v>
      </c>
      <c r="C305" s="13">
        <v>0.625</v>
      </c>
      <c r="D305" s="10" t="s">
        <v>7</v>
      </c>
      <c r="E305" s="10">
        <v>0</v>
      </c>
      <c r="F305" s="10">
        <v>2</v>
      </c>
      <c r="G305" s="11" t="s">
        <v>19</v>
      </c>
      <c r="I305" s="1" t="str">
        <f>IFERROR(INDEX(G$2:G$500,152),"")</f>
        <v>Raków Częstochowa</v>
      </c>
      <c r="J305" s="1">
        <f>IFERROR(INDEX(F$2:F$500,152),"")</f>
        <v>1</v>
      </c>
      <c r="K305" s="1">
        <f>IFERROR(INDEX(E$2:E$500,152),"")</f>
        <v>1</v>
      </c>
      <c r="L305">
        <f>IF(ISTEXT(I305),COUNTIF(I$2:I305,I305),0)</f>
        <v>17</v>
      </c>
    </row>
    <row r="306" spans="1:12" x14ac:dyDescent="0.25">
      <c r="A306" t="s">
        <v>152</v>
      </c>
      <c r="B306" s="12" t="str">
        <f t="shared" si="38"/>
        <v>15.07.2022</v>
      </c>
      <c r="C306" s="13">
        <v>0.85416666666666663</v>
      </c>
      <c r="D306" s="10" t="s">
        <v>18</v>
      </c>
      <c r="E306" s="10">
        <v>0</v>
      </c>
      <c r="F306" s="10">
        <v>0</v>
      </c>
      <c r="G306" s="11" t="s">
        <v>10</v>
      </c>
      <c r="I306" s="1" t="str">
        <f>IFERROR(INDEX(D$2:D$500,153),"")</f>
        <v>Stal Mielec</v>
      </c>
      <c r="J306" s="1">
        <f>IFERROR(INDEX(E$2:E$500,153),"")</f>
        <v>0</v>
      </c>
      <c r="K306" s="1">
        <f>IFERROR(INDEX(F$2:F$500,153),"")</f>
        <v>0</v>
      </c>
      <c r="L306">
        <f>IF(ISTEXT(I306),COUNTIF(I$2:I306,I306),0)</f>
        <v>17</v>
      </c>
    </row>
    <row r="307" spans="1:12" x14ac:dyDescent="0.25">
      <c r="A307" t="s">
        <v>152</v>
      </c>
      <c r="B307" s="12" t="str">
        <f t="shared" si="38"/>
        <v>15.07.2022</v>
      </c>
      <c r="C307" s="13">
        <v>0.75</v>
      </c>
      <c r="D307" s="10" t="s">
        <v>17</v>
      </c>
      <c r="E307" s="10">
        <v>1</v>
      </c>
      <c r="F307" s="10">
        <v>0</v>
      </c>
      <c r="G307" s="11" t="s">
        <v>20</v>
      </c>
      <c r="I307" s="1" t="str">
        <f>IFERROR(INDEX(G$2:G$500,153),"")</f>
        <v>Lech Poznań</v>
      </c>
      <c r="J307" s="1">
        <f>IFERROR(INDEX(F$2:F$500,153),"")</f>
        <v>0</v>
      </c>
      <c r="K307" s="1">
        <f>IFERROR(INDEX(E$2:E$500,153),"")</f>
        <v>0</v>
      </c>
      <c r="L307">
        <f>IF(ISTEXT(I307),COUNTIF(I$2:I307,I307),0)</f>
        <v>18</v>
      </c>
    </row>
    <row r="308" spans="1:12" x14ac:dyDescent="0.25">
      <c r="I308" s="1" t="str">
        <f>IFERROR(INDEX(D$2:D$500,154),"")</f>
        <v>Miedź Legnica</v>
      </c>
      <c r="J308" s="1">
        <f>IFERROR(INDEX(E$2:E$500,154),"")</f>
        <v>0</v>
      </c>
      <c r="K308" s="1">
        <f>IFERROR(INDEX(F$2:F$500,154),"")</f>
        <v>0</v>
      </c>
      <c r="L308">
        <f>IF(ISTEXT(I308),COUNTIF(I$2:I308,I308),0)</f>
        <v>18</v>
      </c>
    </row>
    <row r="309" spans="1:12" x14ac:dyDescent="0.25">
      <c r="I309" s="1" t="str">
        <f>IFERROR(INDEX(G$2:G$500,154),"")</f>
        <v>Radomiak Radom</v>
      </c>
      <c r="J309" s="1">
        <f>IFERROR(INDEX(F$2:F$500,154),"")</f>
        <v>0</v>
      </c>
      <c r="K309" s="1">
        <f>IFERROR(INDEX(E$2:E$500,154),"")</f>
        <v>0</v>
      </c>
      <c r="L309">
        <f>IF(ISTEXT(I309),COUNTIF(I$2:I309,I309),0)</f>
        <v>17</v>
      </c>
    </row>
    <row r="310" spans="1:12" x14ac:dyDescent="0.25">
      <c r="I310" s="1" t="str">
        <f>IFERROR(INDEX(D$2:D$500,155),"")</f>
        <v>Lechia Gdańsk</v>
      </c>
      <c r="J310" s="1">
        <f>IFERROR(INDEX(E$2:E$500,155),"")</f>
        <v>2</v>
      </c>
      <c r="K310" s="1">
        <f>IFERROR(INDEX(F$2:F$500,155),"")</f>
        <v>1</v>
      </c>
      <c r="L310">
        <f>IF(ISTEXT(I310),COUNTIF(I$2:I310,I310),0)</f>
        <v>18</v>
      </c>
    </row>
    <row r="311" spans="1:12" x14ac:dyDescent="0.25">
      <c r="I311" s="1" t="str">
        <f>IFERROR(INDEX(G$2:G$500,155),"")</f>
        <v>Górnik Zabrze</v>
      </c>
      <c r="J311" s="1">
        <f>IFERROR(INDEX(F$2:F$500,155),"")</f>
        <v>1</v>
      </c>
      <c r="K311" s="1">
        <f>IFERROR(INDEX(E$2:E$500,155),"")</f>
        <v>2</v>
      </c>
      <c r="L311">
        <f>IF(ISTEXT(I311),COUNTIF(I$2:I311,I311),0)</f>
        <v>18</v>
      </c>
    </row>
    <row r="312" spans="1:12" x14ac:dyDescent="0.25">
      <c r="I312" s="1" t="str">
        <f>IFERROR(INDEX(D$2:D$500,156),"")</f>
        <v>Śląsk Wrocław</v>
      </c>
      <c r="J312" s="1">
        <f>IFERROR(INDEX(E$2:E$500,156),"")</f>
        <v>0</v>
      </c>
      <c r="K312" s="1">
        <f>IFERROR(INDEX(F$2:F$500,156),"")</f>
        <v>0</v>
      </c>
      <c r="L312">
        <f>IF(ISTEXT(I312),COUNTIF(I$2:I312,I312),0)</f>
        <v>18</v>
      </c>
    </row>
    <row r="313" spans="1:12" x14ac:dyDescent="0.25">
      <c r="I313" s="1" t="str">
        <f>IFERROR(INDEX(G$2:G$500,156),"")</f>
        <v>Legia Warszawa</v>
      </c>
      <c r="J313" s="1">
        <f>IFERROR(INDEX(F$2:F$500,156),"")</f>
        <v>0</v>
      </c>
      <c r="K313" s="1">
        <f>IFERROR(INDEX(E$2:E$500,156),"")</f>
        <v>0</v>
      </c>
      <c r="L313">
        <f>IF(ISTEXT(I313),COUNTIF(I$2:I313,I313),0)</f>
        <v>18</v>
      </c>
    </row>
    <row r="314" spans="1:12" x14ac:dyDescent="0.25">
      <c r="I314" s="1" t="str">
        <f>IFERROR(INDEX(D$2:D$500,157),"")</f>
        <v>Lechia Gdańsk</v>
      </c>
      <c r="J314" s="1">
        <f>IFERROR(INDEX(E$2:E$500,157),"")</f>
        <v>1</v>
      </c>
      <c r="K314" s="1">
        <f>IFERROR(INDEX(F$2:F$500,157),"")</f>
        <v>3</v>
      </c>
      <c r="L314">
        <f>IF(ISTEXT(I314),COUNTIF(I$2:I314,I314),0)</f>
        <v>19</v>
      </c>
    </row>
    <row r="315" spans="1:12" x14ac:dyDescent="0.25">
      <c r="I315" s="1" t="str">
        <f>IFERROR(INDEX(G$2:G$500,157),"")</f>
        <v>Piast Gliwice</v>
      </c>
      <c r="J315" s="1">
        <f>IFERROR(INDEX(F$2:F$500,157),"")</f>
        <v>3</v>
      </c>
      <c r="K315" s="1">
        <f>IFERROR(INDEX(E$2:E$500,157),"")</f>
        <v>1</v>
      </c>
      <c r="L315">
        <f>IF(ISTEXT(I315),COUNTIF(I$2:I315,I315),0)</f>
        <v>18</v>
      </c>
    </row>
    <row r="316" spans="1:12" x14ac:dyDescent="0.25">
      <c r="I316" s="1" t="str">
        <f>IFERROR(INDEX(D$2:D$500,158),"")</f>
        <v>Radomiak Radom</v>
      </c>
      <c r="J316" s="1">
        <f>IFERROR(INDEX(E$2:E$500,158),"")</f>
        <v>1</v>
      </c>
      <c r="K316" s="1">
        <f>IFERROR(INDEX(F$2:F$500,158),"")</f>
        <v>2</v>
      </c>
      <c r="L316">
        <f>IF(ISTEXT(I316),COUNTIF(I$2:I316,I316),0)</f>
        <v>18</v>
      </c>
    </row>
    <row r="317" spans="1:12" x14ac:dyDescent="0.25">
      <c r="I317" s="1" t="str">
        <f>IFERROR(INDEX(G$2:G$500,158),"")</f>
        <v>Pogoń Szczecin</v>
      </c>
      <c r="J317" s="1">
        <f>IFERROR(INDEX(F$2:F$500,158),"")</f>
        <v>2</v>
      </c>
      <c r="K317" s="1">
        <f>IFERROR(INDEX(E$2:E$500,158),"")</f>
        <v>1</v>
      </c>
      <c r="L317">
        <f>IF(ISTEXT(I317),COUNTIF(I$2:I317,I317),0)</f>
        <v>18</v>
      </c>
    </row>
    <row r="318" spans="1:12" x14ac:dyDescent="0.25">
      <c r="I318" s="1" t="str">
        <f>IFERROR(INDEX(D$2:D$500,159),"")</f>
        <v>Zagłębie Lubin</v>
      </c>
      <c r="J318" s="1">
        <f>IFERROR(INDEX(E$2:E$500,159),"")</f>
        <v>1</v>
      </c>
      <c r="K318" s="1">
        <f>IFERROR(INDEX(F$2:F$500,159),"")</f>
        <v>2</v>
      </c>
      <c r="L318">
        <f>IF(ISTEXT(I318),COUNTIF(I$2:I318,I318),0)</f>
        <v>18</v>
      </c>
    </row>
    <row r="319" spans="1:12" x14ac:dyDescent="0.25">
      <c r="I319" s="1" t="str">
        <f>IFERROR(INDEX(G$2:G$500,159),"")</f>
        <v>Raków Częstochowa</v>
      </c>
      <c r="J319" s="1">
        <f>IFERROR(INDEX(F$2:F$500,159),"")</f>
        <v>2</v>
      </c>
      <c r="K319" s="1">
        <f>IFERROR(INDEX(E$2:E$500,159),"")</f>
        <v>1</v>
      </c>
      <c r="L319">
        <f>IF(ISTEXT(I319),COUNTIF(I$2:I319,I319),0)</f>
        <v>18</v>
      </c>
    </row>
    <row r="320" spans="1:12" x14ac:dyDescent="0.25">
      <c r="I320" s="1" t="str">
        <f>IFERROR(INDEX(D$2:D$500,160),"")</f>
        <v>Jagiellonia Białystok</v>
      </c>
      <c r="J320" s="1">
        <f>IFERROR(INDEX(E$2:E$500,160),"")</f>
        <v>1</v>
      </c>
      <c r="K320" s="1">
        <f>IFERROR(INDEX(F$2:F$500,160),"")</f>
        <v>2</v>
      </c>
      <c r="L320">
        <f>IF(ISTEXT(I320),COUNTIF(I$2:I320,I320),0)</f>
        <v>18</v>
      </c>
    </row>
    <row r="321" spans="9:12" x14ac:dyDescent="0.25">
      <c r="I321" s="1" t="str">
        <f>IFERROR(INDEX(G$2:G$500,160),"")</f>
        <v>Lech Poznań</v>
      </c>
      <c r="J321" s="1">
        <f>IFERROR(INDEX(F$2:F$500,160),"")</f>
        <v>2</v>
      </c>
      <c r="K321" s="1">
        <f>IFERROR(INDEX(E$2:E$500,160),"")</f>
        <v>1</v>
      </c>
      <c r="L321">
        <f>IF(ISTEXT(I321),COUNTIF(I$2:I321,I321),0)</f>
        <v>19</v>
      </c>
    </row>
    <row r="322" spans="9:12" x14ac:dyDescent="0.25">
      <c r="I322" s="1" t="str">
        <f>IFERROR(INDEX(D$2:D$500,161),"")</f>
        <v>Górnik Zabrze</v>
      </c>
      <c r="J322" s="1">
        <f>IFERROR(INDEX(E$2:E$500,161),"")</f>
        <v>0</v>
      </c>
      <c r="K322" s="1">
        <f>IFERROR(INDEX(F$2:F$500,161),"")</f>
        <v>3</v>
      </c>
      <c r="L322">
        <f>IF(ISTEXT(I322),COUNTIF(I$2:I322,I322),0)</f>
        <v>19</v>
      </c>
    </row>
    <row r="323" spans="9:12" x14ac:dyDescent="0.25">
      <c r="I323" s="1" t="str">
        <f>IFERROR(INDEX(G$2:G$500,161),"")</f>
        <v>Miedź Legnica</v>
      </c>
      <c r="J323" s="1">
        <f>IFERROR(INDEX(F$2:F$500,161),"")</f>
        <v>3</v>
      </c>
      <c r="K323" s="1">
        <f>IFERROR(INDEX(E$2:E$500,161),"")</f>
        <v>0</v>
      </c>
      <c r="L323">
        <f>IF(ISTEXT(I323),COUNTIF(I$2:I323,I323),0)</f>
        <v>19</v>
      </c>
    </row>
    <row r="324" spans="9:12" x14ac:dyDescent="0.25">
      <c r="I324" s="1" t="str">
        <f>IFERROR(INDEX(D$2:D$500,162),"")</f>
        <v>Korona Kielce</v>
      </c>
      <c r="J324" s="1">
        <f>IFERROR(INDEX(E$2:E$500,162),"")</f>
        <v>0</v>
      </c>
      <c r="K324" s="1">
        <f>IFERROR(INDEX(F$2:F$500,162),"")</f>
        <v>1</v>
      </c>
      <c r="L324">
        <f>IF(ISTEXT(I324),COUNTIF(I$2:I324,I324),0)</f>
        <v>18</v>
      </c>
    </row>
    <row r="325" spans="9:12" x14ac:dyDescent="0.25">
      <c r="I325" s="1" t="str">
        <f>IFERROR(INDEX(G$2:G$500,162),"")</f>
        <v>Widzew Łódź</v>
      </c>
      <c r="J325" s="1">
        <f>IFERROR(INDEX(F$2:F$500,162),"")</f>
        <v>1</v>
      </c>
      <c r="K325" s="1">
        <f>IFERROR(INDEX(E$2:E$500,162),"")</f>
        <v>0</v>
      </c>
      <c r="L325">
        <f>IF(ISTEXT(I325),COUNTIF(I$2:I325,I325),0)</f>
        <v>18</v>
      </c>
    </row>
    <row r="326" spans="9:12" x14ac:dyDescent="0.25">
      <c r="I326" s="1" t="str">
        <f>IFERROR(INDEX(D$2:D$500,163),"")</f>
        <v>Wisła Płock</v>
      </c>
      <c r="J326" s="1">
        <f>IFERROR(INDEX(E$2:E$500,163),"")</f>
        <v>1</v>
      </c>
      <c r="K326" s="1">
        <f>IFERROR(INDEX(F$2:F$500,163),"")</f>
        <v>0</v>
      </c>
      <c r="L326">
        <f>IF(ISTEXT(I326),COUNTIF(I$2:I326,I326),0)</f>
        <v>18</v>
      </c>
    </row>
    <row r="327" spans="9:12" x14ac:dyDescent="0.25">
      <c r="I327" s="1" t="str">
        <f>IFERROR(INDEX(G$2:G$500,163),"")</f>
        <v>Cracovia</v>
      </c>
      <c r="J327" s="1">
        <f>IFERROR(INDEX(F$2:F$500,163),"")</f>
        <v>0</v>
      </c>
      <c r="K327" s="1">
        <f>IFERROR(INDEX(E$2:E$500,163),"")</f>
        <v>1</v>
      </c>
      <c r="L327">
        <f>IF(ISTEXT(I327),COUNTIF(I$2:I327,I327),0)</f>
        <v>18</v>
      </c>
    </row>
    <row r="328" spans="9:12" x14ac:dyDescent="0.25">
      <c r="I328" s="1" t="str">
        <f>IFERROR(INDEX(D$2:D$500,164),"")</f>
        <v>Warta Poznań</v>
      </c>
      <c r="J328" s="1">
        <f>IFERROR(INDEX(E$2:E$500,164),"")</f>
        <v>1</v>
      </c>
      <c r="K328" s="1">
        <f>IFERROR(INDEX(F$2:F$500,164),"")</f>
        <v>1</v>
      </c>
      <c r="L328">
        <f>IF(ISTEXT(I328),COUNTIF(I$2:I328,I328),0)</f>
        <v>18</v>
      </c>
    </row>
    <row r="329" spans="9:12" x14ac:dyDescent="0.25">
      <c r="I329" s="1" t="str">
        <f>IFERROR(INDEX(G$2:G$500,164),"")</f>
        <v>Stal Mielec</v>
      </c>
      <c r="J329" s="1">
        <f>IFERROR(INDEX(F$2:F$500,164),"")</f>
        <v>1</v>
      </c>
      <c r="K329" s="1">
        <f>IFERROR(INDEX(E$2:E$500,164),"")</f>
        <v>1</v>
      </c>
      <c r="L329">
        <f>IF(ISTEXT(I329),COUNTIF(I$2:I329,I329),0)</f>
        <v>18</v>
      </c>
    </row>
    <row r="330" spans="9:12" x14ac:dyDescent="0.25">
      <c r="I330" s="1" t="str">
        <f>IFERROR(INDEX(D$2:D$500,165),"")</f>
        <v>Lech Poznań</v>
      </c>
      <c r="J330" s="1">
        <f>IFERROR(INDEX(E$2:E$500,165),"")</f>
        <v>3</v>
      </c>
      <c r="K330" s="1">
        <f>IFERROR(INDEX(F$2:F$500,165),"")</f>
        <v>2</v>
      </c>
      <c r="L330">
        <f>IF(ISTEXT(I330),COUNTIF(I$2:I330,I330),0)</f>
        <v>20</v>
      </c>
    </row>
    <row r="331" spans="9:12" x14ac:dyDescent="0.25">
      <c r="I331" s="1" t="str">
        <f>IFERROR(INDEX(G$2:G$500,165),"")</f>
        <v>Korona Kielce</v>
      </c>
      <c r="J331" s="1">
        <f>IFERROR(INDEX(F$2:F$500,165),"")</f>
        <v>2</v>
      </c>
      <c r="K331" s="1">
        <f>IFERROR(INDEX(E$2:E$500,165),"")</f>
        <v>3</v>
      </c>
      <c r="L331">
        <f>IF(ISTEXT(I331),COUNTIF(I$2:I331,I331),0)</f>
        <v>19</v>
      </c>
    </row>
    <row r="332" spans="9:12" x14ac:dyDescent="0.25">
      <c r="I332" s="1" t="str">
        <f>IFERROR(INDEX(D$2:D$500,166),"")</f>
        <v>Widzew Łódź</v>
      </c>
      <c r="J332" s="1">
        <f>IFERROR(INDEX(E$2:E$500,166),"")</f>
        <v>1</v>
      </c>
      <c r="K332" s="1">
        <f>IFERROR(INDEX(F$2:F$500,166),"")</f>
        <v>3</v>
      </c>
      <c r="L332">
        <f>IF(ISTEXT(I332),COUNTIF(I$2:I332,I332),0)</f>
        <v>19</v>
      </c>
    </row>
    <row r="333" spans="9:12" x14ac:dyDescent="0.25">
      <c r="I333" s="1" t="str">
        <f>IFERROR(INDEX(G$2:G$500,166),"")</f>
        <v>Radomiak Radom</v>
      </c>
      <c r="J333" s="1">
        <f>IFERROR(INDEX(F$2:F$500,166),"")</f>
        <v>3</v>
      </c>
      <c r="K333" s="1">
        <f>IFERROR(INDEX(E$2:E$500,166),"")</f>
        <v>1</v>
      </c>
      <c r="L333">
        <f>IF(ISTEXT(I333),COUNTIF(I$2:I333,I333),0)</f>
        <v>19</v>
      </c>
    </row>
    <row r="334" spans="9:12" x14ac:dyDescent="0.25">
      <c r="I334" s="1" t="str">
        <f>IFERROR(INDEX(D$2:D$500,167),"")</f>
        <v>Miedź Legnica</v>
      </c>
      <c r="J334" s="1">
        <f>IFERROR(INDEX(E$2:E$500,167),"")</f>
        <v>1</v>
      </c>
      <c r="K334" s="1">
        <f>IFERROR(INDEX(F$2:F$500,167),"")</f>
        <v>0</v>
      </c>
      <c r="L334">
        <f>IF(ISTEXT(I334),COUNTIF(I$2:I334,I334),0)</f>
        <v>20</v>
      </c>
    </row>
    <row r="335" spans="9:12" x14ac:dyDescent="0.25">
      <c r="I335" s="1" t="str">
        <f>IFERROR(INDEX(G$2:G$500,167),"")</f>
        <v>Śląsk Wrocław</v>
      </c>
      <c r="J335" s="1">
        <f>IFERROR(INDEX(F$2:F$500,167),"")</f>
        <v>0</v>
      </c>
      <c r="K335" s="1">
        <f>IFERROR(INDEX(E$2:E$500,167),"")</f>
        <v>1</v>
      </c>
      <c r="L335">
        <f>IF(ISTEXT(I335),COUNTIF(I$2:I335,I335),0)</f>
        <v>19</v>
      </c>
    </row>
    <row r="336" spans="9:12" x14ac:dyDescent="0.25">
      <c r="I336" s="1" t="str">
        <f>IFERROR(INDEX(D$2:D$500,168),"")</f>
        <v>Raków Częstochowa</v>
      </c>
      <c r="J336" s="1">
        <f>IFERROR(INDEX(E$2:E$500,168),"")</f>
        <v>7</v>
      </c>
      <c r="K336" s="1">
        <f>IFERROR(INDEX(F$2:F$500,168),"")</f>
        <v>1</v>
      </c>
      <c r="L336">
        <f>IF(ISTEXT(I336),COUNTIF(I$2:I336,I336),0)</f>
        <v>19</v>
      </c>
    </row>
    <row r="337" spans="9:12" x14ac:dyDescent="0.25">
      <c r="I337" s="1" t="str">
        <f>IFERROR(INDEX(G$2:G$500,168),"")</f>
        <v>Wisła Płock</v>
      </c>
      <c r="J337" s="1">
        <f>IFERROR(INDEX(F$2:F$500,168),"")</f>
        <v>1</v>
      </c>
      <c r="K337" s="1">
        <f>IFERROR(INDEX(E$2:E$500,168),"")</f>
        <v>7</v>
      </c>
      <c r="L337">
        <f>IF(ISTEXT(I337),COUNTIF(I$2:I337,I337),0)</f>
        <v>19</v>
      </c>
    </row>
    <row r="338" spans="9:12" x14ac:dyDescent="0.25">
      <c r="I338" s="1" t="str">
        <f>IFERROR(INDEX(D$2:D$500,169),"")</f>
        <v>Pogoń Szczecin</v>
      </c>
      <c r="J338" s="1">
        <f>IFERROR(INDEX(E$2:E$500,169),"")</f>
        <v>1</v>
      </c>
      <c r="K338" s="1">
        <f>IFERROR(INDEX(F$2:F$500,169),"")</f>
        <v>4</v>
      </c>
      <c r="L338">
        <f>IF(ISTEXT(I338),COUNTIF(I$2:I338,I338),0)</f>
        <v>19</v>
      </c>
    </row>
    <row r="339" spans="9:12" x14ac:dyDescent="0.25">
      <c r="I339" s="1" t="str">
        <f>IFERROR(INDEX(G$2:G$500,169),"")</f>
        <v>Górnik Zabrze</v>
      </c>
      <c r="J339" s="1">
        <f>IFERROR(INDEX(F$2:F$500,169),"")</f>
        <v>4</v>
      </c>
      <c r="K339" s="1">
        <f>IFERROR(INDEX(E$2:E$500,169),"")</f>
        <v>1</v>
      </c>
      <c r="L339">
        <f>IF(ISTEXT(I339),COUNTIF(I$2:I339,I339),0)</f>
        <v>20</v>
      </c>
    </row>
    <row r="340" spans="9:12" x14ac:dyDescent="0.25">
      <c r="I340" s="1" t="str">
        <f>IFERROR(INDEX(D$2:D$500,170),"")</f>
        <v>Cracovia</v>
      </c>
      <c r="J340" s="1">
        <f>IFERROR(INDEX(E$2:E$500,170),"")</f>
        <v>1</v>
      </c>
      <c r="K340" s="1">
        <f>IFERROR(INDEX(F$2:F$500,170),"")</f>
        <v>0</v>
      </c>
      <c r="L340">
        <f>IF(ISTEXT(I340),COUNTIF(I$2:I340,I340),0)</f>
        <v>19</v>
      </c>
    </row>
    <row r="341" spans="9:12" x14ac:dyDescent="0.25">
      <c r="I341" s="1" t="str">
        <f>IFERROR(INDEX(G$2:G$500,170),"")</f>
        <v>Jagiellonia Białystok</v>
      </c>
      <c r="J341" s="1">
        <f>IFERROR(INDEX(F$2:F$500,170),"")</f>
        <v>0</v>
      </c>
      <c r="K341" s="1">
        <f>IFERROR(INDEX(E$2:E$500,170),"")</f>
        <v>1</v>
      </c>
      <c r="L341">
        <f>IF(ISTEXT(I341),COUNTIF(I$2:I341,I341),0)</f>
        <v>19</v>
      </c>
    </row>
    <row r="342" spans="9:12" x14ac:dyDescent="0.25">
      <c r="I342" s="1" t="str">
        <f>IFERROR(INDEX(D$2:D$500,171),"")</f>
        <v>Piast Gliwice</v>
      </c>
      <c r="J342" s="1">
        <f>IFERROR(INDEX(E$2:E$500,171),"")</f>
        <v>0</v>
      </c>
      <c r="K342" s="1">
        <f>IFERROR(INDEX(F$2:F$500,171),"")</f>
        <v>2</v>
      </c>
      <c r="L342">
        <f>IF(ISTEXT(I342),COUNTIF(I$2:I342,I342),0)</f>
        <v>19</v>
      </c>
    </row>
    <row r="343" spans="9:12" x14ac:dyDescent="0.25">
      <c r="I343" s="1" t="str">
        <f>IFERROR(INDEX(G$2:G$500,171),"")</f>
        <v>Warta Poznań</v>
      </c>
      <c r="J343" s="1">
        <f>IFERROR(INDEX(F$2:F$500,171),"")</f>
        <v>2</v>
      </c>
      <c r="K343" s="1">
        <f>IFERROR(INDEX(E$2:E$500,171),"")</f>
        <v>0</v>
      </c>
      <c r="L343">
        <f>IF(ISTEXT(I343),COUNTIF(I$2:I343,I343),0)</f>
        <v>19</v>
      </c>
    </row>
    <row r="344" spans="9:12" x14ac:dyDescent="0.25">
      <c r="I344" s="1" t="str">
        <f>IFERROR(INDEX(D$2:D$500,172),"")</f>
        <v>Legia Warszawa</v>
      </c>
      <c r="J344" s="1">
        <f>IFERROR(INDEX(E$2:E$500,172),"")</f>
        <v>2</v>
      </c>
      <c r="K344" s="1">
        <f>IFERROR(INDEX(F$2:F$500,172),"")</f>
        <v>1</v>
      </c>
      <c r="L344">
        <f>IF(ISTEXT(I344),COUNTIF(I$2:I344,I344),0)</f>
        <v>19</v>
      </c>
    </row>
    <row r="345" spans="9:12" x14ac:dyDescent="0.25">
      <c r="I345" s="1" t="str">
        <f>IFERROR(INDEX(G$2:G$500,172),"")</f>
        <v>Lechia Gdańsk</v>
      </c>
      <c r="J345" s="1">
        <f>IFERROR(INDEX(F$2:F$500,172),"")</f>
        <v>1</v>
      </c>
      <c r="K345" s="1">
        <f>IFERROR(INDEX(E$2:E$500,172),"")</f>
        <v>2</v>
      </c>
      <c r="L345">
        <f>IF(ISTEXT(I345),COUNTIF(I$2:I345,I345),0)</f>
        <v>20</v>
      </c>
    </row>
    <row r="346" spans="9:12" x14ac:dyDescent="0.25">
      <c r="I346" s="1" t="str">
        <f>IFERROR(INDEX(D$2:D$500,173),"")</f>
        <v>Stal Mielec</v>
      </c>
      <c r="J346" s="1">
        <f>IFERROR(INDEX(E$2:E$500,173),"")</f>
        <v>3</v>
      </c>
      <c r="K346" s="1">
        <f>IFERROR(INDEX(F$2:F$500,173),"")</f>
        <v>0</v>
      </c>
      <c r="L346">
        <f>IF(ISTEXT(I346),COUNTIF(I$2:I346,I346),0)</f>
        <v>19</v>
      </c>
    </row>
    <row r="347" spans="9:12" x14ac:dyDescent="0.25">
      <c r="I347" s="1" t="str">
        <f>IFERROR(INDEX(G$2:G$500,173),"")</f>
        <v>Zagłębie Lubin</v>
      </c>
      <c r="J347" s="1">
        <f>IFERROR(INDEX(F$2:F$500,173),"")</f>
        <v>0</v>
      </c>
      <c r="K347" s="1">
        <f>IFERROR(INDEX(E$2:E$500,173),"")</f>
        <v>3</v>
      </c>
      <c r="L347">
        <f>IF(ISTEXT(I347),COUNTIF(I$2:I347,I347),0)</f>
        <v>19</v>
      </c>
    </row>
    <row r="348" spans="9:12" x14ac:dyDescent="0.25">
      <c r="I348" s="1" t="str">
        <f>IFERROR(INDEX(D$2:D$500,174),"")</f>
        <v>Radomiak Radom</v>
      </c>
      <c r="J348" s="1">
        <f>IFERROR(INDEX(E$2:E$500,174),"")</f>
        <v>2</v>
      </c>
      <c r="K348" s="1">
        <f>IFERROR(INDEX(F$2:F$500,174),"")</f>
        <v>3</v>
      </c>
      <c r="L348">
        <f>IF(ISTEXT(I348),COUNTIF(I$2:I348,I348),0)</f>
        <v>20</v>
      </c>
    </row>
    <row r="349" spans="9:12" x14ac:dyDescent="0.25">
      <c r="I349" s="1" t="str">
        <f>IFERROR(INDEX(G$2:G$500,174),"")</f>
        <v>Warta Poznań</v>
      </c>
      <c r="J349" s="1">
        <f>IFERROR(INDEX(F$2:F$500,174),"")</f>
        <v>3</v>
      </c>
      <c r="K349" s="1">
        <f>IFERROR(INDEX(E$2:E$500,174),"")</f>
        <v>2</v>
      </c>
      <c r="L349">
        <f>IF(ISTEXT(I349),COUNTIF(I$2:I349,I349),0)</f>
        <v>20</v>
      </c>
    </row>
    <row r="350" spans="9:12" x14ac:dyDescent="0.25">
      <c r="I350" s="1" t="str">
        <f>IFERROR(INDEX(D$2:D$500,175),"")</f>
        <v>Lech Poznań</v>
      </c>
      <c r="J350" s="1">
        <f>IFERROR(INDEX(E$2:E$500,175),"")</f>
        <v>1</v>
      </c>
      <c r="K350" s="1">
        <f>IFERROR(INDEX(F$2:F$500,175),"")</f>
        <v>2</v>
      </c>
      <c r="L350">
        <f>IF(ISTEXT(I350),COUNTIF(I$2:I350,I350),0)</f>
        <v>21</v>
      </c>
    </row>
    <row r="351" spans="9:12" x14ac:dyDescent="0.25">
      <c r="I351" s="1" t="str">
        <f>IFERROR(INDEX(G$2:G$500,175),"")</f>
        <v>Raków Częstochowa</v>
      </c>
      <c r="J351" s="1">
        <f>IFERROR(INDEX(F$2:F$500,175),"")</f>
        <v>2</v>
      </c>
      <c r="K351" s="1">
        <f>IFERROR(INDEX(E$2:E$500,175),"")</f>
        <v>1</v>
      </c>
      <c r="L351">
        <f>IF(ISTEXT(I351),COUNTIF(I$2:I351,I351),0)</f>
        <v>20</v>
      </c>
    </row>
    <row r="352" spans="9:12" x14ac:dyDescent="0.25">
      <c r="I352" s="1" t="str">
        <f>IFERROR(INDEX(D$2:D$500,176),"")</f>
        <v>Lechia Gdańsk</v>
      </c>
      <c r="J352" s="1">
        <f>IFERROR(INDEX(E$2:E$500,176),"")</f>
        <v>1</v>
      </c>
      <c r="K352" s="1">
        <f>IFERROR(INDEX(F$2:F$500,176),"")</f>
        <v>0</v>
      </c>
      <c r="L352">
        <f>IF(ISTEXT(I352),COUNTIF(I$2:I352,I352),0)</f>
        <v>21</v>
      </c>
    </row>
    <row r="353" spans="9:12" x14ac:dyDescent="0.25">
      <c r="I353" s="1" t="str">
        <f>IFERROR(INDEX(G$2:G$500,176),"")</f>
        <v>Stal Mielec</v>
      </c>
      <c r="J353" s="1">
        <f>IFERROR(INDEX(F$2:F$500,176),"")</f>
        <v>0</v>
      </c>
      <c r="K353" s="1">
        <f>IFERROR(INDEX(E$2:E$500,176),"")</f>
        <v>1</v>
      </c>
      <c r="L353">
        <f>IF(ISTEXT(I353),COUNTIF(I$2:I353,I353),0)</f>
        <v>20</v>
      </c>
    </row>
    <row r="354" spans="9:12" x14ac:dyDescent="0.25">
      <c r="I354" s="1" t="str">
        <f>IFERROR(INDEX(D$2:D$500,177),"")</f>
        <v>Zagłębie Lubin</v>
      </c>
      <c r="J354" s="1">
        <f>IFERROR(INDEX(E$2:E$500,177),"")</f>
        <v>0</v>
      </c>
      <c r="K354" s="1">
        <f>IFERROR(INDEX(F$2:F$500,177),"")</f>
        <v>2</v>
      </c>
      <c r="L354">
        <f>IF(ISTEXT(I354),COUNTIF(I$2:I354,I354),0)</f>
        <v>20</v>
      </c>
    </row>
    <row r="355" spans="9:12" x14ac:dyDescent="0.25">
      <c r="I355" s="1" t="str">
        <f>IFERROR(INDEX(G$2:G$500,177),"")</f>
        <v>Cracovia</v>
      </c>
      <c r="J355" s="1">
        <f>IFERROR(INDEX(F$2:F$500,177),"")</f>
        <v>2</v>
      </c>
      <c r="K355" s="1">
        <f>IFERROR(INDEX(E$2:E$500,177),"")</f>
        <v>0</v>
      </c>
      <c r="L355">
        <f>IF(ISTEXT(I355),COUNTIF(I$2:I355,I355),0)</f>
        <v>20</v>
      </c>
    </row>
    <row r="356" spans="9:12" x14ac:dyDescent="0.25">
      <c r="I356" s="1" t="str">
        <f>IFERROR(INDEX(D$2:D$500,178),"")</f>
        <v>Wisła Płock</v>
      </c>
      <c r="J356" s="1">
        <f>IFERROR(INDEX(E$2:E$500,178),"")</f>
        <v>1</v>
      </c>
      <c r="K356" s="1">
        <f>IFERROR(INDEX(F$2:F$500,178),"")</f>
        <v>2</v>
      </c>
      <c r="L356">
        <f>IF(ISTEXT(I356),COUNTIF(I$2:I356,I356),0)</f>
        <v>20</v>
      </c>
    </row>
    <row r="357" spans="9:12" x14ac:dyDescent="0.25">
      <c r="I357" s="1" t="str">
        <f>IFERROR(INDEX(G$2:G$500,178),"")</f>
        <v>Śląsk Wrocław</v>
      </c>
      <c r="J357" s="1">
        <f>IFERROR(INDEX(F$2:F$500,178),"")</f>
        <v>2</v>
      </c>
      <c r="K357" s="1">
        <f>IFERROR(INDEX(E$2:E$500,178),"")</f>
        <v>1</v>
      </c>
      <c r="L357">
        <f>IF(ISTEXT(I357),COUNTIF(I$2:I357,I357),0)</f>
        <v>20</v>
      </c>
    </row>
    <row r="358" spans="9:12" x14ac:dyDescent="0.25">
      <c r="I358" s="1" t="str">
        <f>IFERROR(INDEX(D$2:D$500,179),"")</f>
        <v>Jagiellonia Białystok</v>
      </c>
      <c r="J358" s="1">
        <f>IFERROR(INDEX(E$2:E$500,179),"")</f>
        <v>2</v>
      </c>
      <c r="K358" s="1">
        <f>IFERROR(INDEX(F$2:F$500,179),"")</f>
        <v>5</v>
      </c>
      <c r="L358">
        <f>IF(ISTEXT(I358),COUNTIF(I$2:I358,I358),0)</f>
        <v>20</v>
      </c>
    </row>
    <row r="359" spans="9:12" x14ac:dyDescent="0.25">
      <c r="I359" s="1" t="str">
        <f>IFERROR(INDEX(G$2:G$500,179),"")</f>
        <v>Legia Warszawa</v>
      </c>
      <c r="J359" s="1">
        <f>IFERROR(INDEX(F$2:F$500,179),"")</f>
        <v>5</v>
      </c>
      <c r="K359" s="1">
        <f>IFERROR(INDEX(E$2:E$500,179),"")</f>
        <v>2</v>
      </c>
      <c r="L359">
        <f>IF(ISTEXT(I359),COUNTIF(I$2:I359,I359),0)</f>
        <v>20</v>
      </c>
    </row>
    <row r="360" spans="9:12" x14ac:dyDescent="0.25">
      <c r="I360" s="1" t="str">
        <f>IFERROR(INDEX(D$2:D$500,180),"")</f>
        <v>Korona Kielce</v>
      </c>
      <c r="J360" s="1">
        <f>IFERROR(INDEX(E$2:E$500,180),"")</f>
        <v>1</v>
      </c>
      <c r="K360" s="1">
        <f>IFERROR(INDEX(F$2:F$500,180),"")</f>
        <v>1</v>
      </c>
      <c r="L360">
        <f>IF(ISTEXT(I360),COUNTIF(I$2:I360,I360),0)</f>
        <v>20</v>
      </c>
    </row>
    <row r="361" spans="9:12" x14ac:dyDescent="0.25">
      <c r="I361" s="1" t="str">
        <f>IFERROR(INDEX(G$2:G$500,180),"")</f>
        <v>Piast Gliwice</v>
      </c>
      <c r="J361" s="1">
        <f>IFERROR(INDEX(F$2:F$500,180),"")</f>
        <v>1</v>
      </c>
      <c r="K361" s="1">
        <f>IFERROR(INDEX(E$2:E$500,180),"")</f>
        <v>1</v>
      </c>
      <c r="L361">
        <f>IF(ISTEXT(I361),COUNTIF(I$2:I361,I361),0)</f>
        <v>20</v>
      </c>
    </row>
    <row r="362" spans="9:12" x14ac:dyDescent="0.25">
      <c r="I362" s="1" t="str">
        <f>IFERROR(INDEX(D$2:D$500,181),"")</f>
        <v>Górnik Zabrze</v>
      </c>
      <c r="J362" s="1">
        <f>IFERROR(INDEX(E$2:E$500,181),"")</f>
        <v>3</v>
      </c>
      <c r="K362" s="1">
        <f>IFERROR(INDEX(F$2:F$500,181),"")</f>
        <v>0</v>
      </c>
      <c r="L362">
        <f>IF(ISTEXT(I362),COUNTIF(I$2:I362,I362),0)</f>
        <v>21</v>
      </c>
    </row>
    <row r="363" spans="9:12" x14ac:dyDescent="0.25">
      <c r="I363" s="1" t="str">
        <f>IFERROR(INDEX(G$2:G$500,181),"")</f>
        <v>Widzew Łódź</v>
      </c>
      <c r="J363" s="1">
        <f>IFERROR(INDEX(F$2:F$500,181),"")</f>
        <v>0</v>
      </c>
      <c r="K363" s="1">
        <f>IFERROR(INDEX(E$2:E$500,181),"")</f>
        <v>3</v>
      </c>
      <c r="L363">
        <f>IF(ISTEXT(I363),COUNTIF(I$2:I363,I363),0)</f>
        <v>20</v>
      </c>
    </row>
    <row r="364" spans="9:12" x14ac:dyDescent="0.25">
      <c r="I364" s="1" t="str">
        <f>IFERROR(INDEX(D$2:D$500,182),"")</f>
        <v>Miedź Legnica</v>
      </c>
      <c r="J364" s="1">
        <f>IFERROR(INDEX(E$2:E$500,182),"")</f>
        <v>2</v>
      </c>
      <c r="K364" s="1">
        <f>IFERROR(INDEX(F$2:F$500,182),"")</f>
        <v>4</v>
      </c>
      <c r="L364">
        <f>IF(ISTEXT(I364),COUNTIF(I$2:I364,I364),0)</f>
        <v>21</v>
      </c>
    </row>
    <row r="365" spans="9:12" x14ac:dyDescent="0.25">
      <c r="I365" s="1" t="str">
        <f>IFERROR(INDEX(G$2:G$500,182),"")</f>
        <v>Pogoń Szczecin</v>
      </c>
      <c r="J365" s="1">
        <f>IFERROR(INDEX(F$2:F$500,182),"")</f>
        <v>4</v>
      </c>
      <c r="K365" s="1">
        <f>IFERROR(INDEX(E$2:E$500,182),"")</f>
        <v>2</v>
      </c>
      <c r="L365">
        <f>IF(ISTEXT(I365),COUNTIF(I$2:I365,I365),0)</f>
        <v>20</v>
      </c>
    </row>
    <row r="366" spans="9:12" x14ac:dyDescent="0.25">
      <c r="I366" s="1" t="str">
        <f>IFERROR(INDEX(D$2:D$500,183),"")</f>
        <v>Zagłębie Lubin</v>
      </c>
      <c r="J366" s="1">
        <f>IFERROR(INDEX(E$2:E$500,183),"")</f>
        <v>0</v>
      </c>
      <c r="K366" s="1">
        <f>IFERROR(INDEX(F$2:F$500,183),"")</f>
        <v>3</v>
      </c>
      <c r="L366">
        <f>IF(ISTEXT(I366),COUNTIF(I$2:I366,I366),0)</f>
        <v>21</v>
      </c>
    </row>
    <row r="367" spans="9:12" x14ac:dyDescent="0.25">
      <c r="I367" s="1" t="str">
        <f>IFERROR(INDEX(G$2:G$500,183),"")</f>
        <v>Lechia Gdańsk</v>
      </c>
      <c r="J367" s="1">
        <f>IFERROR(INDEX(F$2:F$500,183),"")</f>
        <v>3</v>
      </c>
      <c r="K367" s="1">
        <f>IFERROR(INDEX(E$2:E$500,183),"")</f>
        <v>0</v>
      </c>
      <c r="L367">
        <f>IF(ISTEXT(I367),COUNTIF(I$2:I367,I367),0)</f>
        <v>22</v>
      </c>
    </row>
    <row r="368" spans="9:12" x14ac:dyDescent="0.25">
      <c r="I368" s="1" t="str">
        <f>IFERROR(INDEX(D$2:D$500,184),"")</f>
        <v>Piast Gliwice</v>
      </c>
      <c r="J368" s="1">
        <f>IFERROR(INDEX(E$2:E$500,184),"")</f>
        <v>1</v>
      </c>
      <c r="K368" s="1">
        <f>IFERROR(INDEX(F$2:F$500,184),"")</f>
        <v>2</v>
      </c>
      <c r="L368">
        <f>IF(ISTEXT(I368),COUNTIF(I$2:I368,I368),0)</f>
        <v>21</v>
      </c>
    </row>
    <row r="369" spans="9:12" x14ac:dyDescent="0.25">
      <c r="I369" s="1" t="str">
        <f>IFERROR(INDEX(G$2:G$500,184),"")</f>
        <v>Radomiak Radom</v>
      </c>
      <c r="J369" s="1">
        <f>IFERROR(INDEX(F$2:F$500,184),"")</f>
        <v>2</v>
      </c>
      <c r="K369" s="1">
        <f>IFERROR(INDEX(E$2:E$500,184),"")</f>
        <v>1</v>
      </c>
      <c r="L369">
        <f>IF(ISTEXT(I369),COUNTIF(I$2:I369,I369),0)</f>
        <v>21</v>
      </c>
    </row>
    <row r="370" spans="9:12" x14ac:dyDescent="0.25">
      <c r="I370" s="1" t="str">
        <f>IFERROR(INDEX(D$2:D$500,185),"")</f>
        <v>Cracovia</v>
      </c>
      <c r="J370" s="1">
        <f>IFERROR(INDEX(E$2:E$500,185),"")</f>
        <v>0</v>
      </c>
      <c r="K370" s="1">
        <f>IFERROR(INDEX(F$2:F$500,185),"")</f>
        <v>0</v>
      </c>
      <c r="L370">
        <f>IF(ISTEXT(I370),COUNTIF(I$2:I370,I370),0)</f>
        <v>21</v>
      </c>
    </row>
    <row r="371" spans="9:12" x14ac:dyDescent="0.25">
      <c r="I371" s="1" t="str">
        <f>IFERROR(INDEX(G$2:G$500,185),"")</f>
        <v>Lech Poznań</v>
      </c>
      <c r="J371" s="1">
        <f>IFERROR(INDEX(F$2:F$500,185),"")</f>
        <v>0</v>
      </c>
      <c r="K371" s="1">
        <f>IFERROR(INDEX(E$2:E$500,185),"")</f>
        <v>0</v>
      </c>
      <c r="L371">
        <f>IF(ISTEXT(I371),COUNTIF(I$2:I371,I371),0)</f>
        <v>22</v>
      </c>
    </row>
    <row r="372" spans="9:12" x14ac:dyDescent="0.25">
      <c r="I372" s="1" t="str">
        <f>IFERROR(INDEX(D$2:D$500,186),"")</f>
        <v>Śląsk Wrocław</v>
      </c>
      <c r="J372" s="1">
        <f>IFERROR(INDEX(E$2:E$500,186),"")</f>
        <v>2</v>
      </c>
      <c r="K372" s="1">
        <f>IFERROR(INDEX(F$2:F$500,186),"")</f>
        <v>2</v>
      </c>
      <c r="L372">
        <f>IF(ISTEXT(I372),COUNTIF(I$2:I372,I372),0)</f>
        <v>21</v>
      </c>
    </row>
    <row r="373" spans="9:12" x14ac:dyDescent="0.25">
      <c r="I373" s="1" t="str">
        <f>IFERROR(INDEX(G$2:G$500,186),"")</f>
        <v>Jagiellonia Białystok</v>
      </c>
      <c r="J373" s="1">
        <f>IFERROR(INDEX(F$2:F$500,186),"")</f>
        <v>2</v>
      </c>
      <c r="K373" s="1">
        <f>IFERROR(INDEX(E$2:E$500,186),"")</f>
        <v>2</v>
      </c>
      <c r="L373">
        <f>IF(ISTEXT(I373),COUNTIF(I$2:I373,I373),0)</f>
        <v>21</v>
      </c>
    </row>
    <row r="374" spans="9:12" x14ac:dyDescent="0.25">
      <c r="I374" s="1" t="str">
        <f>IFERROR(INDEX(D$2:D$500,187),"")</f>
        <v>Warta Poznań</v>
      </c>
      <c r="J374" s="1">
        <f>IFERROR(INDEX(E$2:E$500,187),"")</f>
        <v>0</v>
      </c>
      <c r="K374" s="1">
        <f>IFERROR(INDEX(F$2:F$500,187),"")</f>
        <v>0</v>
      </c>
      <c r="L374">
        <f>IF(ISTEXT(I374),COUNTIF(I$2:I374,I374),0)</f>
        <v>21</v>
      </c>
    </row>
    <row r="375" spans="9:12" x14ac:dyDescent="0.25">
      <c r="I375" s="1" t="str">
        <f>IFERROR(INDEX(G$2:G$500,187),"")</f>
        <v>Górnik Zabrze</v>
      </c>
      <c r="J375" s="1">
        <f>IFERROR(INDEX(F$2:F$500,187),"")</f>
        <v>0</v>
      </c>
      <c r="K375" s="1">
        <f>IFERROR(INDEX(E$2:E$500,187),"")</f>
        <v>0</v>
      </c>
      <c r="L375">
        <f>IF(ISTEXT(I375),COUNTIF(I$2:I375,I375),0)</f>
        <v>22</v>
      </c>
    </row>
    <row r="376" spans="9:12" x14ac:dyDescent="0.25">
      <c r="I376" s="1" t="str">
        <f>IFERROR(INDEX(D$2:D$500,188),"")</f>
        <v>Raków Częstochowa</v>
      </c>
      <c r="J376" s="1">
        <f>IFERROR(INDEX(E$2:E$500,188),"")</f>
        <v>1</v>
      </c>
      <c r="K376" s="1">
        <f>IFERROR(INDEX(F$2:F$500,188),"")</f>
        <v>0</v>
      </c>
      <c r="L376">
        <f>IF(ISTEXT(I376),COUNTIF(I$2:I376,I376),0)</f>
        <v>21</v>
      </c>
    </row>
    <row r="377" spans="9:12" x14ac:dyDescent="0.25">
      <c r="I377" s="1" t="str">
        <f>IFERROR(INDEX(G$2:G$500,188),"")</f>
        <v>Korona Kielce</v>
      </c>
      <c r="J377" s="1">
        <f>IFERROR(INDEX(F$2:F$500,188),"")</f>
        <v>0</v>
      </c>
      <c r="K377" s="1">
        <f>IFERROR(INDEX(E$2:E$500,188),"")</f>
        <v>1</v>
      </c>
      <c r="L377">
        <f>IF(ISTEXT(I377),COUNTIF(I$2:I377,I377),0)</f>
        <v>21</v>
      </c>
    </row>
    <row r="378" spans="9:12" x14ac:dyDescent="0.25">
      <c r="I378" s="1" t="str">
        <f>IFERROR(INDEX(D$2:D$500,189),"")</f>
        <v>Legia Warszawa</v>
      </c>
      <c r="J378" s="1">
        <f>IFERROR(INDEX(E$2:E$500,189),"")</f>
        <v>1</v>
      </c>
      <c r="K378" s="1">
        <f>IFERROR(INDEX(F$2:F$500,189),"")</f>
        <v>1</v>
      </c>
      <c r="L378">
        <f>IF(ISTEXT(I378),COUNTIF(I$2:I378,I378),0)</f>
        <v>21</v>
      </c>
    </row>
    <row r="379" spans="9:12" x14ac:dyDescent="0.25">
      <c r="I379" s="1" t="str">
        <f>IFERROR(INDEX(G$2:G$500,189),"")</f>
        <v>Pogoń Szczecin</v>
      </c>
      <c r="J379" s="1">
        <f>IFERROR(INDEX(F$2:F$500,189),"")</f>
        <v>1</v>
      </c>
      <c r="K379" s="1">
        <f>IFERROR(INDEX(E$2:E$500,189),"")</f>
        <v>1</v>
      </c>
      <c r="L379">
        <f>IF(ISTEXT(I379),COUNTIF(I$2:I379,I379),0)</f>
        <v>21</v>
      </c>
    </row>
    <row r="380" spans="9:12" x14ac:dyDescent="0.25">
      <c r="I380" s="1" t="str">
        <f>IFERROR(INDEX(D$2:D$500,190),"")</f>
        <v>Stal Mielec</v>
      </c>
      <c r="J380" s="1">
        <f>IFERROR(INDEX(E$2:E$500,190),"")</f>
        <v>1</v>
      </c>
      <c r="K380" s="1">
        <f>IFERROR(INDEX(F$2:F$500,190),"")</f>
        <v>1</v>
      </c>
      <c r="L380">
        <f>IF(ISTEXT(I380),COUNTIF(I$2:I380,I380),0)</f>
        <v>21</v>
      </c>
    </row>
    <row r="381" spans="9:12" x14ac:dyDescent="0.25">
      <c r="I381" s="1" t="str">
        <f>IFERROR(INDEX(G$2:G$500,190),"")</f>
        <v>Wisła Płock</v>
      </c>
      <c r="J381" s="1">
        <f>IFERROR(INDEX(F$2:F$500,190),"")</f>
        <v>1</v>
      </c>
      <c r="K381" s="1">
        <f>IFERROR(INDEX(E$2:E$500,190),"")</f>
        <v>1</v>
      </c>
      <c r="L381">
        <f>IF(ISTEXT(I381),COUNTIF(I$2:I381,I381),0)</f>
        <v>21</v>
      </c>
    </row>
    <row r="382" spans="9:12" x14ac:dyDescent="0.25">
      <c r="I382" s="1" t="str">
        <f>IFERROR(INDEX(D$2:D$500,191),"")</f>
        <v>Widzew Łódź</v>
      </c>
      <c r="J382" s="1">
        <f>IFERROR(INDEX(E$2:E$500,191),"")</f>
        <v>1</v>
      </c>
      <c r="K382" s="1">
        <f>IFERROR(INDEX(F$2:F$500,191),"")</f>
        <v>0</v>
      </c>
      <c r="L382">
        <f>IF(ISTEXT(I382),COUNTIF(I$2:I382,I382),0)</f>
        <v>21</v>
      </c>
    </row>
    <row r="383" spans="9:12" x14ac:dyDescent="0.25">
      <c r="I383" s="1" t="str">
        <f>IFERROR(INDEX(G$2:G$500,191),"")</f>
        <v>Miedź Legnica</v>
      </c>
      <c r="J383" s="1">
        <f>IFERROR(INDEX(F$2:F$500,191),"")</f>
        <v>0</v>
      </c>
      <c r="K383" s="1">
        <f>IFERROR(INDEX(E$2:E$500,191),"")</f>
        <v>1</v>
      </c>
      <c r="L383">
        <f>IF(ISTEXT(I383),COUNTIF(I$2:I383,I383),0)</f>
        <v>22</v>
      </c>
    </row>
    <row r="384" spans="9:12" x14ac:dyDescent="0.25">
      <c r="I384" s="1" t="str">
        <f>IFERROR(INDEX(D$2:D$500,192),"")</f>
        <v>Górnik Zabrze</v>
      </c>
      <c r="J384" s="1">
        <f>IFERROR(INDEX(E$2:E$500,192),"")</f>
        <v>1</v>
      </c>
      <c r="K384" s="1">
        <f>IFERROR(INDEX(F$2:F$500,192),"")</f>
        <v>2</v>
      </c>
      <c r="L384">
        <f>IF(ISTEXT(I384),COUNTIF(I$2:I384,I384),0)</f>
        <v>23</v>
      </c>
    </row>
    <row r="385" spans="9:12" x14ac:dyDescent="0.25">
      <c r="I385" s="1" t="str">
        <f>IFERROR(INDEX(G$2:G$500,192),"")</f>
        <v>Lech Poznań</v>
      </c>
      <c r="J385" s="1">
        <f>IFERROR(INDEX(F$2:F$500,192),"")</f>
        <v>2</v>
      </c>
      <c r="K385" s="1">
        <f>IFERROR(INDEX(E$2:E$500,192),"")</f>
        <v>1</v>
      </c>
      <c r="L385">
        <f>IF(ISTEXT(I385),COUNTIF(I$2:I385,I385),0)</f>
        <v>23</v>
      </c>
    </row>
    <row r="386" spans="9:12" x14ac:dyDescent="0.25">
      <c r="I386" s="1" t="str">
        <f>IFERROR(INDEX(D$2:D$500,193),"")</f>
        <v>Widzew Łódź</v>
      </c>
      <c r="J386" s="1">
        <f>IFERROR(INDEX(E$2:E$500,193),"")</f>
        <v>3</v>
      </c>
      <c r="K386" s="1">
        <f>IFERROR(INDEX(F$2:F$500,193),"")</f>
        <v>0</v>
      </c>
      <c r="L386">
        <f>IF(ISTEXT(I386),COUNTIF(I$2:I386,I386),0)</f>
        <v>22</v>
      </c>
    </row>
    <row r="387" spans="9:12" x14ac:dyDescent="0.25">
      <c r="I387" s="1" t="str">
        <f>IFERROR(INDEX(G$2:G$500,193),"")</f>
        <v>Zagłębie Lubin</v>
      </c>
      <c r="J387" s="1">
        <f>IFERROR(INDEX(F$2:F$500,193),"")</f>
        <v>0</v>
      </c>
      <c r="K387" s="1">
        <f>IFERROR(INDEX(E$2:E$500,193),"")</f>
        <v>3</v>
      </c>
      <c r="L387">
        <f>IF(ISTEXT(I387),COUNTIF(I$2:I387,I387),0)</f>
        <v>22</v>
      </c>
    </row>
    <row r="388" spans="9:12" x14ac:dyDescent="0.25">
      <c r="I388" s="1" t="str">
        <f>IFERROR(INDEX(D$2:D$500,194),"")</f>
        <v>Miedź Legnica</v>
      </c>
      <c r="J388" s="1">
        <f>IFERROR(INDEX(E$2:E$500,194),"")</f>
        <v>1</v>
      </c>
      <c r="K388" s="1">
        <f>IFERROR(INDEX(F$2:F$500,194),"")</f>
        <v>1</v>
      </c>
      <c r="L388">
        <f>IF(ISTEXT(I388),COUNTIF(I$2:I388,I388),0)</f>
        <v>23</v>
      </c>
    </row>
    <row r="389" spans="9:12" x14ac:dyDescent="0.25">
      <c r="I389" s="1" t="str">
        <f>IFERROR(INDEX(G$2:G$500,194),"")</f>
        <v>Cracovia</v>
      </c>
      <c r="J389" s="1">
        <f>IFERROR(INDEX(F$2:F$500,194),"")</f>
        <v>1</v>
      </c>
      <c r="K389" s="1">
        <f>IFERROR(INDEX(E$2:E$500,194),"")</f>
        <v>1</v>
      </c>
      <c r="L389">
        <f>IF(ISTEXT(I389),COUNTIF(I$2:I389,I389),0)</f>
        <v>22</v>
      </c>
    </row>
    <row r="390" spans="9:12" x14ac:dyDescent="0.25">
      <c r="I390" s="1" t="str">
        <f>IFERROR(INDEX(D$2:D$500,195),"")</f>
        <v>Pogoń Szczecin</v>
      </c>
      <c r="J390" s="1">
        <f>IFERROR(INDEX(E$2:E$500,195),"")</f>
        <v>1</v>
      </c>
      <c r="K390" s="1">
        <f>IFERROR(INDEX(F$2:F$500,195),"")</f>
        <v>1</v>
      </c>
      <c r="L390">
        <f>IF(ISTEXT(I390),COUNTIF(I$2:I390,I390),0)</f>
        <v>22</v>
      </c>
    </row>
    <row r="391" spans="9:12" x14ac:dyDescent="0.25">
      <c r="I391" s="1" t="str">
        <f>IFERROR(INDEX(G$2:G$500,195),"")</f>
        <v>Piast Gliwice</v>
      </c>
      <c r="J391" s="1">
        <f>IFERROR(INDEX(F$2:F$500,195),"")</f>
        <v>1</v>
      </c>
      <c r="K391" s="1">
        <f>IFERROR(INDEX(E$2:E$500,195),"")</f>
        <v>1</v>
      </c>
      <c r="L391">
        <f>IF(ISTEXT(I391),COUNTIF(I$2:I391,I391),0)</f>
        <v>22</v>
      </c>
    </row>
    <row r="392" spans="9:12" x14ac:dyDescent="0.25">
      <c r="I392" s="1" t="str">
        <f>IFERROR(INDEX(D$2:D$500,196),"")</f>
        <v>Warta Poznań</v>
      </c>
      <c r="J392" s="1">
        <f>IFERROR(INDEX(E$2:E$500,196),"")</f>
        <v>2</v>
      </c>
      <c r="K392" s="1">
        <f>IFERROR(INDEX(F$2:F$500,196),"")</f>
        <v>0</v>
      </c>
      <c r="L392">
        <f>IF(ISTEXT(I392),COUNTIF(I$2:I392,I392),0)</f>
        <v>22</v>
      </c>
    </row>
    <row r="393" spans="9:12" x14ac:dyDescent="0.25">
      <c r="I393" s="1" t="str">
        <f>IFERROR(INDEX(G$2:G$500,196),"")</f>
        <v>Jagiellonia Białystok</v>
      </c>
      <c r="J393" s="1">
        <f>IFERROR(INDEX(F$2:F$500,196),"")</f>
        <v>0</v>
      </c>
      <c r="K393" s="1">
        <f>IFERROR(INDEX(E$2:E$500,196),"")</f>
        <v>2</v>
      </c>
      <c r="L393">
        <f>IF(ISTEXT(I393),COUNTIF(I$2:I393,I393),0)</f>
        <v>22</v>
      </c>
    </row>
    <row r="394" spans="9:12" x14ac:dyDescent="0.25">
      <c r="I394" s="1" t="str">
        <f>IFERROR(INDEX(D$2:D$500,197),"")</f>
        <v>Lechia Gdańsk</v>
      </c>
      <c r="J394" s="1">
        <f>IFERROR(INDEX(E$2:E$500,197),"")</f>
        <v>0</v>
      </c>
      <c r="K394" s="1">
        <f>IFERROR(INDEX(F$2:F$500,197),"")</f>
        <v>3</v>
      </c>
      <c r="L394">
        <f>IF(ISTEXT(I394),COUNTIF(I$2:I394,I394),0)</f>
        <v>23</v>
      </c>
    </row>
    <row r="395" spans="9:12" x14ac:dyDescent="0.25">
      <c r="I395" s="1" t="str">
        <f>IFERROR(INDEX(G$2:G$500,197),"")</f>
        <v>Raków Częstochowa</v>
      </c>
      <c r="J395" s="1">
        <f>IFERROR(INDEX(F$2:F$500,197),"")</f>
        <v>3</v>
      </c>
      <c r="K395" s="1">
        <f>IFERROR(INDEX(E$2:E$500,197),"")</f>
        <v>0</v>
      </c>
      <c r="L395">
        <f>IF(ISTEXT(I395),COUNTIF(I$2:I395,I395),0)</f>
        <v>22</v>
      </c>
    </row>
    <row r="396" spans="9:12" x14ac:dyDescent="0.25">
      <c r="I396" s="1" t="str">
        <f>IFERROR(INDEX(D$2:D$500,198),"")</f>
        <v>Radomiak Radom</v>
      </c>
      <c r="J396" s="1">
        <f>IFERROR(INDEX(E$2:E$500,198),"")</f>
        <v>2</v>
      </c>
      <c r="K396" s="1">
        <f>IFERROR(INDEX(F$2:F$500,198),"")</f>
        <v>0</v>
      </c>
      <c r="L396">
        <f>IF(ISTEXT(I396),COUNTIF(I$2:I396,I396),0)</f>
        <v>22</v>
      </c>
    </row>
    <row r="397" spans="9:12" x14ac:dyDescent="0.25">
      <c r="I397" s="1" t="str">
        <f>IFERROR(INDEX(G$2:G$500,198),"")</f>
        <v>Śląsk Wrocław</v>
      </c>
      <c r="J397" s="1">
        <f>IFERROR(INDEX(F$2:F$500,198),"")</f>
        <v>0</v>
      </c>
      <c r="K397" s="1">
        <f>IFERROR(INDEX(E$2:E$500,198),"")</f>
        <v>2</v>
      </c>
      <c r="L397">
        <f>IF(ISTEXT(I397),COUNTIF(I$2:I397,I397),0)</f>
        <v>22</v>
      </c>
    </row>
    <row r="398" spans="9:12" x14ac:dyDescent="0.25">
      <c r="I398" s="1" t="str">
        <f>IFERROR(INDEX(D$2:D$500,199),"")</f>
        <v>Wisła Płock</v>
      </c>
      <c r="J398" s="1">
        <f>IFERROR(INDEX(E$2:E$500,199),"")</f>
        <v>2</v>
      </c>
      <c r="K398" s="1">
        <f>IFERROR(INDEX(F$2:F$500,199),"")</f>
        <v>1</v>
      </c>
      <c r="L398">
        <f>IF(ISTEXT(I398),COUNTIF(I$2:I398,I398),0)</f>
        <v>22</v>
      </c>
    </row>
    <row r="399" spans="9:12" x14ac:dyDescent="0.25">
      <c r="I399" s="1" t="str">
        <f>IFERROR(INDEX(G$2:G$500,199),"")</f>
        <v>Legia Warszawa</v>
      </c>
      <c r="J399" s="1">
        <f>IFERROR(INDEX(F$2:F$500,199),"")</f>
        <v>1</v>
      </c>
      <c r="K399" s="1">
        <f>IFERROR(INDEX(E$2:E$500,199),"")</f>
        <v>2</v>
      </c>
      <c r="L399">
        <f>IF(ISTEXT(I399),COUNTIF(I$2:I399,I399),0)</f>
        <v>22</v>
      </c>
    </row>
    <row r="400" spans="9:12" x14ac:dyDescent="0.25">
      <c r="I400" s="1" t="str">
        <f>IFERROR(INDEX(D$2:D$500,200),"")</f>
        <v>Korona Kielce</v>
      </c>
      <c r="J400" s="1">
        <f>IFERROR(INDEX(E$2:E$500,200),"")</f>
        <v>0</v>
      </c>
      <c r="K400" s="1">
        <f>IFERROR(INDEX(F$2:F$500,200),"")</f>
        <v>2</v>
      </c>
      <c r="L400">
        <f>IF(ISTEXT(I400),COUNTIF(I$2:I400,I400),0)</f>
        <v>22</v>
      </c>
    </row>
    <row r="401" spans="9:12" x14ac:dyDescent="0.25">
      <c r="I401" s="1" t="str">
        <f>IFERROR(INDEX(G$2:G$500,200),"")</f>
        <v>Stal Mielec</v>
      </c>
      <c r="J401" s="1">
        <f>IFERROR(INDEX(F$2:F$500,200),"")</f>
        <v>2</v>
      </c>
      <c r="K401" s="1">
        <f>IFERROR(INDEX(E$2:E$500,200),"")</f>
        <v>0</v>
      </c>
      <c r="L401">
        <f>IF(ISTEXT(I401),COUNTIF(I$2:I401,I401),0)</f>
        <v>22</v>
      </c>
    </row>
    <row r="402" spans="9:12" x14ac:dyDescent="0.25">
      <c r="I402" s="1" t="str">
        <f>IFERROR(INDEX(D$2:D$500,201),"")</f>
        <v>Piast Gliwice</v>
      </c>
      <c r="J402" s="1">
        <f>IFERROR(INDEX(E$2:E$500,201),"")</f>
        <v>1</v>
      </c>
      <c r="K402" s="1">
        <f>IFERROR(INDEX(F$2:F$500,201),"")</f>
        <v>2</v>
      </c>
      <c r="L402">
        <f>IF(ISTEXT(I402),COUNTIF(I$2:I402,I402),0)</f>
        <v>23</v>
      </c>
    </row>
    <row r="403" spans="9:12" x14ac:dyDescent="0.25">
      <c r="I403" s="1" t="str">
        <f>IFERROR(INDEX(G$2:G$500,201),"")</f>
        <v>Widzew Łódź</v>
      </c>
      <c r="J403" s="1">
        <f>IFERROR(INDEX(F$2:F$500,201),"")</f>
        <v>2</v>
      </c>
      <c r="K403" s="1">
        <f>IFERROR(INDEX(E$2:E$500,201),"")</f>
        <v>1</v>
      </c>
      <c r="L403">
        <f>IF(ISTEXT(I403),COUNTIF(I$2:I403,I403),0)</f>
        <v>23</v>
      </c>
    </row>
    <row r="404" spans="9:12" x14ac:dyDescent="0.25">
      <c r="I404" s="1" t="str">
        <f>IFERROR(INDEX(D$2:D$500,202),"")</f>
        <v>Raków Częstochowa</v>
      </c>
      <c r="J404" s="1">
        <f>IFERROR(INDEX(E$2:E$500,202),"")</f>
        <v>1</v>
      </c>
      <c r="K404" s="1">
        <f>IFERROR(INDEX(F$2:F$500,202),"")</f>
        <v>0</v>
      </c>
      <c r="L404">
        <f>IF(ISTEXT(I404),COUNTIF(I$2:I404,I404),0)</f>
        <v>23</v>
      </c>
    </row>
    <row r="405" spans="9:12" x14ac:dyDescent="0.25">
      <c r="I405" s="1" t="str">
        <f>IFERROR(INDEX(G$2:G$500,202),"")</f>
        <v>Miedź Legnica</v>
      </c>
      <c r="J405" s="1">
        <f>IFERROR(INDEX(F$2:F$500,202),"")</f>
        <v>0</v>
      </c>
      <c r="K405" s="1">
        <f>IFERROR(INDEX(E$2:E$500,202),"")</f>
        <v>1</v>
      </c>
      <c r="L405">
        <f>IF(ISTEXT(I405),COUNTIF(I$2:I405,I405),0)</f>
        <v>24</v>
      </c>
    </row>
    <row r="406" spans="9:12" x14ac:dyDescent="0.25">
      <c r="I406" s="1" t="str">
        <f>IFERROR(INDEX(D$2:D$500,203),"")</f>
        <v>Lech Poznań</v>
      </c>
      <c r="J406" s="1">
        <f>IFERROR(INDEX(E$2:E$500,203),"")</f>
        <v>1</v>
      </c>
      <c r="K406" s="1">
        <f>IFERROR(INDEX(F$2:F$500,203),"")</f>
        <v>0</v>
      </c>
      <c r="L406">
        <f>IF(ISTEXT(I406),COUNTIF(I$2:I406,I406),0)</f>
        <v>24</v>
      </c>
    </row>
    <row r="407" spans="9:12" x14ac:dyDescent="0.25">
      <c r="I407" s="1" t="str">
        <f>IFERROR(INDEX(G$2:G$500,203),"")</f>
        <v>Radomiak Radom</v>
      </c>
      <c r="J407" s="1">
        <f>IFERROR(INDEX(F$2:F$500,203),"")</f>
        <v>0</v>
      </c>
      <c r="K407" s="1">
        <f>IFERROR(INDEX(E$2:E$500,203),"")</f>
        <v>1</v>
      </c>
      <c r="L407">
        <f>IF(ISTEXT(I407),COUNTIF(I$2:I407,I407),0)</f>
        <v>23</v>
      </c>
    </row>
    <row r="408" spans="9:12" x14ac:dyDescent="0.25">
      <c r="I408" s="1" t="str">
        <f>IFERROR(INDEX(D$2:D$500,204),"")</f>
        <v>Zagłębie Lubin</v>
      </c>
      <c r="J408" s="1">
        <f>IFERROR(INDEX(E$2:E$500,204),"")</f>
        <v>1</v>
      </c>
      <c r="K408" s="1">
        <f>IFERROR(INDEX(F$2:F$500,204),"")</f>
        <v>1</v>
      </c>
      <c r="L408">
        <f>IF(ISTEXT(I408),COUNTIF(I$2:I408,I408),0)</f>
        <v>23</v>
      </c>
    </row>
    <row r="409" spans="9:12" x14ac:dyDescent="0.25">
      <c r="I409" s="1" t="str">
        <f>IFERROR(INDEX(G$2:G$500,204),"")</f>
        <v>Korona Kielce</v>
      </c>
      <c r="J409" s="1">
        <f>IFERROR(INDEX(F$2:F$500,204),"")</f>
        <v>1</v>
      </c>
      <c r="K409" s="1">
        <f>IFERROR(INDEX(E$2:E$500,204),"")</f>
        <v>1</v>
      </c>
      <c r="L409">
        <f>IF(ISTEXT(I409),COUNTIF(I$2:I409,I409),0)</f>
        <v>23</v>
      </c>
    </row>
    <row r="410" spans="9:12" x14ac:dyDescent="0.25">
      <c r="I410" s="1" t="str">
        <f>IFERROR(INDEX(D$2:D$500,205),"")</f>
        <v>Cracovia</v>
      </c>
      <c r="J410" s="1">
        <f>IFERROR(INDEX(E$2:E$500,205),"")</f>
        <v>0</v>
      </c>
      <c r="K410" s="1">
        <f>IFERROR(INDEX(F$2:F$500,205),"")</f>
        <v>1</v>
      </c>
      <c r="L410">
        <f>IF(ISTEXT(I410),COUNTIF(I$2:I410,I410),0)</f>
        <v>23</v>
      </c>
    </row>
    <row r="411" spans="9:12" x14ac:dyDescent="0.25">
      <c r="I411" s="1" t="str">
        <f>IFERROR(INDEX(G$2:G$500,205),"")</f>
        <v>Lechia Gdańsk</v>
      </c>
      <c r="J411" s="1">
        <f>IFERROR(INDEX(F$2:F$500,205),"")</f>
        <v>1</v>
      </c>
      <c r="K411" s="1">
        <f>IFERROR(INDEX(E$2:E$500,205),"")</f>
        <v>0</v>
      </c>
      <c r="L411">
        <f>IF(ISTEXT(I411),COUNTIF(I$2:I411,I411),0)</f>
        <v>24</v>
      </c>
    </row>
    <row r="412" spans="9:12" x14ac:dyDescent="0.25">
      <c r="I412" s="1" t="str">
        <f>IFERROR(INDEX(D$2:D$500,206),"")</f>
        <v>Legia Warszawa</v>
      </c>
      <c r="J412" s="1">
        <f>IFERROR(INDEX(E$2:E$500,206),"")</f>
        <v>1</v>
      </c>
      <c r="K412" s="1">
        <f>IFERROR(INDEX(F$2:F$500,206),"")</f>
        <v>0</v>
      </c>
      <c r="L412">
        <f>IF(ISTEXT(I412),COUNTIF(I$2:I412,I412),0)</f>
        <v>23</v>
      </c>
    </row>
    <row r="413" spans="9:12" x14ac:dyDescent="0.25">
      <c r="I413" s="1" t="str">
        <f>IFERROR(INDEX(G$2:G$500,206),"")</f>
        <v>Warta Poznań</v>
      </c>
      <c r="J413" s="1">
        <f>IFERROR(INDEX(F$2:F$500,206),"")</f>
        <v>0</v>
      </c>
      <c r="K413" s="1">
        <f>IFERROR(INDEX(E$2:E$500,206),"")</f>
        <v>1</v>
      </c>
      <c r="L413">
        <f>IF(ISTEXT(I413),COUNTIF(I$2:I413,I413),0)</f>
        <v>23</v>
      </c>
    </row>
    <row r="414" spans="9:12" x14ac:dyDescent="0.25">
      <c r="I414" s="1" t="str">
        <f>IFERROR(INDEX(D$2:D$500,207),"")</f>
        <v>Śląsk Wrocław</v>
      </c>
      <c r="J414" s="1">
        <f>IFERROR(INDEX(E$2:E$500,207),"")</f>
        <v>4</v>
      </c>
      <c r="K414" s="1">
        <f>IFERROR(INDEX(F$2:F$500,207),"")</f>
        <v>1</v>
      </c>
      <c r="L414">
        <f>IF(ISTEXT(I414),COUNTIF(I$2:I414,I414),0)</f>
        <v>23</v>
      </c>
    </row>
    <row r="415" spans="9:12" x14ac:dyDescent="0.25">
      <c r="I415" s="1" t="str">
        <f>IFERROR(INDEX(G$2:G$500,207),"")</f>
        <v>Górnik Zabrze</v>
      </c>
      <c r="J415" s="1">
        <f>IFERROR(INDEX(F$2:F$500,207),"")</f>
        <v>1</v>
      </c>
      <c r="K415" s="1">
        <f>IFERROR(INDEX(E$2:E$500,207),"")</f>
        <v>4</v>
      </c>
      <c r="L415">
        <f>IF(ISTEXT(I415),COUNTIF(I$2:I415,I415),0)</f>
        <v>24</v>
      </c>
    </row>
    <row r="416" spans="9:12" x14ac:dyDescent="0.25">
      <c r="I416" s="1" t="str">
        <f>IFERROR(INDEX(D$2:D$500,208),"")</f>
        <v>Jagiellonia Białystok</v>
      </c>
      <c r="J416" s="1">
        <f>IFERROR(INDEX(E$2:E$500,208),"")</f>
        <v>1</v>
      </c>
      <c r="K416" s="1">
        <f>IFERROR(INDEX(F$2:F$500,208),"")</f>
        <v>1</v>
      </c>
      <c r="L416">
        <f>IF(ISTEXT(I416),COUNTIF(I$2:I416,I416),0)</f>
        <v>23</v>
      </c>
    </row>
    <row r="417" spans="9:12" x14ac:dyDescent="0.25">
      <c r="I417" s="1" t="str">
        <f>IFERROR(INDEX(G$2:G$500,208),"")</f>
        <v>Wisła Płock</v>
      </c>
      <c r="J417" s="1">
        <f>IFERROR(INDEX(F$2:F$500,208),"")</f>
        <v>1</v>
      </c>
      <c r="K417" s="1">
        <f>IFERROR(INDEX(E$2:E$500,208),"")</f>
        <v>1</v>
      </c>
      <c r="L417">
        <f>IF(ISTEXT(I417),COUNTIF(I$2:I417,I417),0)</f>
        <v>23</v>
      </c>
    </row>
    <row r="418" spans="9:12" x14ac:dyDescent="0.25">
      <c r="I418" s="1" t="str">
        <f>IFERROR(INDEX(D$2:D$500,209),"")</f>
        <v>Stal Mielec</v>
      </c>
      <c r="J418" s="1">
        <f>IFERROR(INDEX(E$2:E$500,209),"")</f>
        <v>4</v>
      </c>
      <c r="K418" s="1">
        <f>IFERROR(INDEX(F$2:F$500,209),"")</f>
        <v>2</v>
      </c>
      <c r="L418">
        <f>IF(ISTEXT(I418),COUNTIF(I$2:I418,I418),0)</f>
        <v>23</v>
      </c>
    </row>
    <row r="419" spans="9:12" x14ac:dyDescent="0.25">
      <c r="I419" s="1" t="str">
        <f>IFERROR(INDEX(G$2:G$500,209),"")</f>
        <v>Pogoń Szczecin</v>
      </c>
      <c r="J419" s="1">
        <f>IFERROR(INDEX(F$2:F$500,209),"")</f>
        <v>2</v>
      </c>
      <c r="K419" s="1">
        <f>IFERROR(INDEX(E$2:E$500,209),"")</f>
        <v>4</v>
      </c>
      <c r="L419">
        <f>IF(ISTEXT(I419),COUNTIF(I$2:I419,I419),0)</f>
        <v>23</v>
      </c>
    </row>
  </sheetData>
  <mergeCells count="12">
    <mergeCell ref="AL1:AM1"/>
    <mergeCell ref="O1:P1"/>
    <mergeCell ref="Q1:R1"/>
    <mergeCell ref="S1:T1"/>
    <mergeCell ref="U1:V1"/>
    <mergeCell ref="W1:X1"/>
    <mergeCell ref="Y1:Z1"/>
    <mergeCell ref="AA1:AB1"/>
    <mergeCell ref="AC1:AD1"/>
    <mergeCell ref="AF1:AG1"/>
    <mergeCell ref="AH1:AI1"/>
    <mergeCell ref="AJ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7774-8FCE-4A48-A0CC-C5E549EA93D9}">
  <dimension ref="A1:R13"/>
  <sheetViews>
    <sheetView tabSelected="1" workbookViewId="0">
      <selection activeCell="B10" sqref="B10"/>
    </sheetView>
  </sheetViews>
  <sheetFormatPr defaultRowHeight="15" x14ac:dyDescent="0.25"/>
  <cols>
    <col min="1" max="1" width="20.7109375" customWidth="1"/>
    <col min="2" max="3" width="10.7109375" customWidth="1"/>
    <col min="4" max="4" width="20.7109375" customWidth="1"/>
  </cols>
  <sheetData>
    <row r="1" spans="1:18" ht="16.5" thickTop="1" thickBot="1" x14ac:dyDescent="0.3">
      <c r="A1" s="5" t="s">
        <v>179</v>
      </c>
      <c r="D1" s="5" t="s">
        <v>180</v>
      </c>
      <c r="H1" s="18" t="str">
        <f>D2</f>
        <v>Legia Warszawa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6.5" thickTop="1" thickBot="1" x14ac:dyDescent="0.3">
      <c r="A2" s="5" t="s">
        <v>7</v>
      </c>
      <c r="B2" s="4">
        <f>SUM(VLOOKUP(A2,Dane!AR$2:AV$19,2,FALSE)*VLOOKUP(D2,Dane!AR$2:AV$19,5,FALSE))*SUM((Dane!AP$2+Dane!AQ$3)/2)</f>
        <v>1.3809313179100982</v>
      </c>
      <c r="C2" s="4">
        <f>SUM(VLOOKUP(A2,Dane!AR$2:AV$19,4,FALSE)*VLOOKUP(D2,Dane!AR$2:AV$19,3,FALSE))*SUM((Dane!AQ$2+Dane!AP$3)/2)</f>
        <v>1.2283611882896621</v>
      </c>
      <c r="D2" s="5" t="s">
        <v>9</v>
      </c>
      <c r="G2" s="6" t="s">
        <v>177</v>
      </c>
      <c r="H2" s="6">
        <v>0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</row>
    <row r="3" spans="1:18" ht="15.75" thickTop="1" x14ac:dyDescent="0.25">
      <c r="F3" s="17" t="str">
        <f>A2</f>
        <v>Lech Poznań</v>
      </c>
      <c r="G3" s="6">
        <v>0</v>
      </c>
      <c r="H3" s="3">
        <f t="shared" ref="H3:R13" si="0">((POISSON($G3,$B$2,FALSE)*POISSON(H$2,$C$2,FALSE)))*100</f>
        <v>7.3586587404979058</v>
      </c>
      <c r="I3" s="3">
        <f t="shared" si="0"/>
        <v>9.039090794696115</v>
      </c>
      <c r="J3" s="3">
        <f t="shared" si="0"/>
        <v>5.5516341548155346</v>
      </c>
      <c r="K3" s="3">
        <f t="shared" si="0"/>
        <v>2.2731373091195608</v>
      </c>
      <c r="L3" s="3">
        <f t="shared" si="0"/>
        <v>0.69805841154391757</v>
      </c>
      <c r="M3" s="3">
        <f t="shared" si="0"/>
        <v>0.17149357197993581</v>
      </c>
      <c r="N3" s="3">
        <f t="shared" si="0"/>
        <v>3.5109341310218797E-2</v>
      </c>
      <c r="O3" s="3">
        <f t="shared" si="0"/>
        <v>6.1609931731268063E-3</v>
      </c>
      <c r="P3" s="3">
        <f t="shared" si="0"/>
        <v>9.4599061189831865E-4</v>
      </c>
      <c r="Q3" s="3">
        <f t="shared" si="0"/>
        <v>1.2911312801580925E-4</v>
      </c>
      <c r="R3" s="3">
        <f t="shared" si="0"/>
        <v>1.5859755535329417E-5</v>
      </c>
    </row>
    <row r="4" spans="1:18" x14ac:dyDescent="0.25">
      <c r="B4" s="7" t="s">
        <v>179</v>
      </c>
      <c r="C4" s="8">
        <f>SUM(H4,H5:I5,H6:J6,H7:K7,H8:L8,H9:M9,H10:N10,H11:O11,H12:P12,H13:Q13)/100</f>
        <v>0.40442640632079624</v>
      </c>
      <c r="F4" s="17"/>
      <c r="G4" s="6">
        <v>1</v>
      </c>
      <c r="H4" s="3">
        <f t="shared" si="0"/>
        <v>10.161802312566435</v>
      </c>
      <c r="I4" s="3">
        <f t="shared" si="0"/>
        <v>12.482363563828743</v>
      </c>
      <c r="J4" s="3">
        <f t="shared" si="0"/>
        <v>7.6664254699641292</v>
      </c>
      <c r="K4" s="3">
        <f t="shared" si="0"/>
        <v>3.1390465000730892</v>
      </c>
      <c r="L4" s="3">
        <f t="shared" si="0"/>
        <v>0.96397072223157165</v>
      </c>
      <c r="M4" s="3">
        <f t="shared" si="0"/>
        <v>0.236820844367363</v>
      </c>
      <c r="N4" s="3">
        <f t="shared" si="0"/>
        <v>4.8483588966475887E-2</v>
      </c>
      <c r="O4" s="3">
        <f t="shared" si="0"/>
        <v>8.5079084222011176E-3</v>
      </c>
      <c r="P4" s="3">
        <f t="shared" si="0"/>
        <v>1.3063480624193251E-3</v>
      </c>
      <c r="Q4" s="3">
        <f t="shared" si="0"/>
        <v>1.7829636203036667E-4</v>
      </c>
      <c r="R4" s="3">
        <f t="shared" si="0"/>
        <v>2.1901233113134423E-5</v>
      </c>
    </row>
    <row r="5" spans="1:18" x14ac:dyDescent="0.25">
      <c r="B5" s="7" t="s">
        <v>181</v>
      </c>
      <c r="C5" s="8">
        <f>100%-C4-C6</f>
        <v>0.26245435472346956</v>
      </c>
      <c r="F5" s="17"/>
      <c r="G5" s="6">
        <v>2</v>
      </c>
      <c r="H5" s="3">
        <f t="shared" si="0"/>
        <v>7.0163755299171262</v>
      </c>
      <c r="I5" s="3">
        <f t="shared" si="0"/>
        <v>8.6186433834155078</v>
      </c>
      <c r="J5" s="3">
        <f t="shared" si="0"/>
        <v>5.2934035139485554</v>
      </c>
      <c r="K5" s="3">
        <f t="shared" si="0"/>
        <v>2.1674038101635063</v>
      </c>
      <c r="L5" s="3">
        <f t="shared" si="0"/>
        <v>0.66558867993899684</v>
      </c>
      <c r="M5" s="3">
        <f t="shared" si="0"/>
        <v>0.16351666036040247</v>
      </c>
      <c r="N5" s="3">
        <f t="shared" si="0"/>
        <v>3.3476253204243529E-2</v>
      </c>
      <c r="O5" s="3">
        <f t="shared" si="0"/>
        <v>5.874418595064307E-3</v>
      </c>
      <c r="P5" s="3">
        <f t="shared" si="0"/>
        <v>9.0198847574301123E-4</v>
      </c>
      <c r="Q5" s="3">
        <f t="shared" si="0"/>
        <v>1.2310751509858514E-4</v>
      </c>
      <c r="R5" s="3">
        <f t="shared" si="0"/>
        <v>1.5122049353388504E-5</v>
      </c>
    </row>
    <row r="6" spans="1:18" x14ac:dyDescent="0.25">
      <c r="B6" s="7" t="s">
        <v>180</v>
      </c>
      <c r="C6" s="8">
        <f>SUM(I3,J3:J4,K3:K5,L3:L6,M3:M7,N3:N8,O3:O9,P3:P10,Q3:Q11,R3:R12)/100</f>
        <v>0.33311923895573414</v>
      </c>
      <c r="F6" s="17"/>
      <c r="G6" s="6">
        <v>3</v>
      </c>
      <c r="H6" s="3">
        <f t="shared" si="0"/>
        <v>3.2297109024935393</v>
      </c>
      <c r="I6" s="3">
        <f t="shared" si="0"/>
        <v>3.9672515220190405</v>
      </c>
      <c r="J6" s="3">
        <f t="shared" si="0"/>
        <v>2.4366088969156401</v>
      </c>
      <c r="K6" s="3">
        <f t="shared" si="0"/>
        <v>0.99767860000415276</v>
      </c>
      <c r="L6" s="3">
        <f t="shared" si="0"/>
        <v>0.30637741765806703</v>
      </c>
      <c r="M6" s="3">
        <f t="shared" si="0"/>
        <v>7.5268425763916125E-2</v>
      </c>
      <c r="N6" s="3">
        <f t="shared" si="0"/>
        <v>1.540946881867605E-2</v>
      </c>
      <c r="O6" s="3">
        <f t="shared" si="0"/>
        <v>2.7040562041459127E-3</v>
      </c>
      <c r="P6" s="3">
        <f t="shared" si="0"/>
        <v>4.1519471151583884E-4</v>
      </c>
      <c r="Q6" s="3">
        <f t="shared" si="0"/>
        <v>5.6667674356575475E-5</v>
      </c>
      <c r="R6" s="3">
        <f t="shared" si="0"/>
        <v>6.9608371810254428E-6</v>
      </c>
    </row>
    <row r="7" spans="1:18" x14ac:dyDescent="0.25">
      <c r="B7" s="7"/>
      <c r="C7" s="9"/>
      <c r="F7" s="17"/>
      <c r="G7" s="6">
        <v>4</v>
      </c>
      <c r="H7" s="3">
        <f t="shared" si="0"/>
        <v>1.1150022332622542</v>
      </c>
      <c r="I7" s="3">
        <f t="shared" si="0"/>
        <v>1.3696254681956497</v>
      </c>
      <c r="J7" s="3">
        <f t="shared" si="0"/>
        <v>0.8411973838122967</v>
      </c>
      <c r="K7" s="3">
        <f t="shared" si="0"/>
        <v>0.34443140598860916</v>
      </c>
      <c r="L7" s="3">
        <f t="shared" si="0"/>
        <v>0.10577154278611181</v>
      </c>
      <c r="M7" s="3">
        <f t="shared" si="0"/>
        <v>2.5985131596795778E-2</v>
      </c>
      <c r="N7" s="3">
        <f t="shared" si="0"/>
        <v>5.3198545210172213E-3</v>
      </c>
      <c r="O7" s="3">
        <f t="shared" si="0"/>
        <v>9.3352897442354856E-4</v>
      </c>
      <c r="P7" s="3">
        <f t="shared" si="0"/>
        <v>1.4333884504071762E-4</v>
      </c>
      <c r="Q7" s="3">
        <f t="shared" si="0"/>
        <v>1.9563541558031515E-5</v>
      </c>
      <c r="R7" s="3">
        <f t="shared" si="0"/>
        <v>2.40310951553777E-6</v>
      </c>
    </row>
    <row r="8" spans="1:18" x14ac:dyDescent="0.25">
      <c r="B8" s="7" t="s">
        <v>182</v>
      </c>
      <c r="C8" s="8">
        <f>100%-C9</f>
        <v>0.48390074903678137</v>
      </c>
      <c r="F8" s="17"/>
      <c r="G8" s="6">
        <v>5</v>
      </c>
      <c r="H8" s="3">
        <f t="shared" si="0"/>
        <v>0.30794830069030937</v>
      </c>
      <c r="I8" s="3">
        <f t="shared" si="0"/>
        <v>0.3782717405677305</v>
      </c>
      <c r="J8" s="3">
        <f t="shared" si="0"/>
        <v>0.23232716237008819</v>
      </c>
      <c r="K8" s="3">
        <f t="shared" si="0"/>
        <v>9.5127223080295586E-2</v>
      </c>
      <c r="L8" s="3">
        <f t="shared" si="0"/>
        <v>2.9212647195401929E-2</v>
      </c>
      <c r="M8" s="3">
        <f t="shared" si="0"/>
        <v>7.1767364044061019E-3</v>
      </c>
      <c r="N8" s="3">
        <f t="shared" si="0"/>
        <v>1.4692707429596603E-3</v>
      </c>
      <c r="O8" s="3">
        <f t="shared" si="0"/>
        <v>2.5782787939159451E-4</v>
      </c>
      <c r="P8" s="3">
        <f t="shared" si="0"/>
        <v>3.9588220037957887E-5</v>
      </c>
      <c r="Q8" s="3">
        <f t="shared" si="0"/>
        <v>5.4031814453442847E-6</v>
      </c>
      <c r="R8" s="3">
        <f t="shared" si="0"/>
        <v>6.6370583807477363E-7</v>
      </c>
    </row>
    <row r="9" spans="1:18" x14ac:dyDescent="0.25">
      <c r="B9" s="7" t="s">
        <v>183</v>
      </c>
      <c r="C9" s="8">
        <f>SUM(H3:H5,I3:I4,J3)/100</f>
        <v>0.51609925096321863</v>
      </c>
      <c r="F9" s="17"/>
      <c r="G9" s="6">
        <v>6</v>
      </c>
      <c r="H9" s="3">
        <f t="shared" si="0"/>
        <v>7.0875908786740549E-2</v>
      </c>
      <c r="I9" s="3">
        <f t="shared" si="0"/>
        <v>8.7061215538390316E-2</v>
      </c>
      <c r="J9" s="3">
        <f t="shared" si="0"/>
        <v>5.3471309086339777E-2</v>
      </c>
      <c r="K9" s="3">
        <f t="shared" si="0"/>
        <v>2.1894026922900042E-2</v>
      </c>
      <c r="L9" s="3">
        <f t="shared" si="0"/>
        <v>6.7234432318648406E-3</v>
      </c>
      <c r="M9" s="3">
        <f t="shared" si="0"/>
        <v>1.6517633435383134E-3</v>
      </c>
      <c r="N9" s="3">
        <f t="shared" si="0"/>
        <v>3.3816033057367152E-4</v>
      </c>
      <c r="O9" s="3">
        <f t="shared" si="0"/>
        <v>5.9340432213699968E-5</v>
      </c>
      <c r="P9" s="3">
        <f t="shared" si="0"/>
        <v>9.1114354784553402E-6</v>
      </c>
      <c r="Q9" s="3">
        <f t="shared" si="0"/>
        <v>1.2435704123711098E-6</v>
      </c>
      <c r="R9" s="3">
        <f t="shared" si="0"/>
        <v>1.5275536294620363E-7</v>
      </c>
    </row>
    <row r="10" spans="1:18" x14ac:dyDescent="0.25">
      <c r="B10" s="7"/>
      <c r="C10" s="9"/>
      <c r="F10" s="17"/>
      <c r="G10" s="6">
        <v>7</v>
      </c>
      <c r="H10" s="3">
        <f t="shared" si="0"/>
        <v>1.3982108875564248E-2</v>
      </c>
      <c r="I10" s="3">
        <f t="shared" si="0"/>
        <v>1.7175079873183528E-2</v>
      </c>
      <c r="J10" s="3">
        <f t="shared" si="0"/>
        <v>1.0548600760996792E-2</v>
      </c>
      <c r="K10" s="3">
        <f t="shared" si="0"/>
        <v>4.3191639218570837E-3</v>
      </c>
      <c r="L10" s="3">
        <f t="shared" si="0"/>
        <v>1.3263733318675517E-3</v>
      </c>
      <c r="M10" s="3">
        <f t="shared" si="0"/>
        <v>3.2585310440970823E-4</v>
      </c>
      <c r="N10" s="3">
        <f t="shared" si="0"/>
        <v>6.6710884423430803E-5</v>
      </c>
      <c r="O10" s="3">
        <f t="shared" si="0"/>
        <v>1.1706437323174243E-5</v>
      </c>
      <c r="P10" s="3">
        <f t="shared" si="0"/>
        <v>1.7974666576165979E-6</v>
      </c>
      <c r="Q10" s="3">
        <f t="shared" si="0"/>
        <v>2.4532647549566347E-7</v>
      </c>
      <c r="R10" s="3">
        <f t="shared" si="0"/>
        <v>3.0134952095876681E-8</v>
      </c>
    </row>
    <row r="11" spans="1:18" x14ac:dyDescent="0.25">
      <c r="B11" s="7" t="s">
        <v>178</v>
      </c>
      <c r="C11" s="8">
        <f>SUM(I4:R13)/100</f>
        <v>0.52947000824432588</v>
      </c>
      <c r="F11" s="17"/>
      <c r="G11" s="6">
        <v>8</v>
      </c>
      <c r="H11" s="3">
        <f t="shared" si="0"/>
        <v>2.4135415045869247E-3</v>
      </c>
      <c r="I11" s="3">
        <f t="shared" si="0"/>
        <v>2.9647007105608135E-3</v>
      </c>
      <c r="J11" s="3">
        <f t="shared" si="0"/>
        <v>1.8208616438738436E-3</v>
      </c>
      <c r="K11" s="3">
        <f t="shared" si="0"/>
        <v>7.4555859085998052E-4</v>
      </c>
      <c r="L11" s="3">
        <f t="shared" si="0"/>
        <v>2.2895380915208304E-4</v>
      </c>
      <c r="M11" s="3">
        <f t="shared" si="0"/>
        <v>5.6247594614699349E-5</v>
      </c>
      <c r="N11" s="3">
        <f t="shared" si="0"/>
        <v>1.1515393693224555E-5</v>
      </c>
      <c r="O11" s="3">
        <f t="shared" si="0"/>
        <v>2.0207232400903691E-6</v>
      </c>
      <c r="P11" s="3">
        <f t="shared" si="0"/>
        <v>3.1027225005024308E-7</v>
      </c>
      <c r="Q11" s="3">
        <f t="shared" si="0"/>
        <v>4.2347376640558194E-8</v>
      </c>
      <c r="R11" s="3">
        <f t="shared" si="0"/>
        <v>5.201787389114577E-9</v>
      </c>
    </row>
    <row r="12" spans="1:18" x14ac:dyDescent="0.25">
      <c r="F12" s="17"/>
      <c r="G12" s="6">
        <v>9</v>
      </c>
      <c r="H12" s="3">
        <f t="shared" si="0"/>
        <v>3.7032611675110518E-4</v>
      </c>
      <c r="I12" s="3">
        <f t="shared" si="0"/>
        <v>4.548942288270837E-4</v>
      </c>
      <c r="J12" s="3">
        <f t="shared" si="0"/>
        <v>2.7938720773407303E-4</v>
      </c>
      <c r="K12" s="3">
        <f t="shared" si="0"/>
        <v>1.1439613416171885E-4</v>
      </c>
      <c r="L12" s="3">
        <f t="shared" si="0"/>
        <v>3.5129942823658164E-5</v>
      </c>
      <c r="M12" s="3">
        <f t="shared" si="0"/>
        <v>8.6304516622833105E-6</v>
      </c>
      <c r="N12" s="3">
        <f t="shared" si="0"/>
        <v>1.7668853098931371E-6</v>
      </c>
      <c r="O12" s="3">
        <f t="shared" si="0"/>
        <v>3.1005333411883996E-7</v>
      </c>
      <c r="P12" s="3">
        <f t="shared" si="0"/>
        <v>4.7607185241423792E-8</v>
      </c>
      <c r="Q12" s="3">
        <f t="shared" si="0"/>
        <v>6.4976465149201556E-9</v>
      </c>
      <c r="R12" s="3">
        <f t="shared" si="0"/>
        <v>7.9814567941534768E-10</v>
      </c>
    </row>
    <row r="13" spans="1:18" x14ac:dyDescent="0.25">
      <c r="F13" s="17"/>
      <c r="G13" s="6">
        <v>10</v>
      </c>
      <c r="H13" s="3">
        <f t="shared" si="0"/>
        <v>5.1139493246163158E-5</v>
      </c>
      <c r="I13" s="3">
        <f t="shared" si="0"/>
        <v>6.2817768692388122E-5</v>
      </c>
      <c r="J13" s="3">
        <f t="shared" si="0"/>
        <v>3.8581454498343504E-5</v>
      </c>
      <c r="K13" s="3">
        <f t="shared" si="0"/>
        <v>1.5797320431176254E-5</v>
      </c>
      <c r="L13" s="3">
        <f t="shared" si="0"/>
        <v>4.8512038241580569E-6</v>
      </c>
      <c r="M13" s="3">
        <f t="shared" si="0"/>
        <v>1.1918060988156267E-6</v>
      </c>
      <c r="N13" s="3">
        <f t="shared" si="0"/>
        <v>2.4399472595867177E-7</v>
      </c>
      <c r="O13" s="3">
        <f t="shared" si="0"/>
        <v>4.2816235930714889E-8</v>
      </c>
      <c r="P13" s="3">
        <f t="shared" si="0"/>
        <v>6.5742253057429418E-9</v>
      </c>
      <c r="Q13" s="3">
        <f t="shared" si="0"/>
        <v>8.9728035651626296E-10</v>
      </c>
      <c r="R13" s="3">
        <f t="shared" si="0"/>
        <v>1.1021843649592847E-10</v>
      </c>
    </row>
  </sheetData>
  <mergeCells count="2">
    <mergeCell ref="F3:F13"/>
    <mergeCell ref="H1:R1"/>
  </mergeCells>
  <conditionalFormatting sqref="H3:R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2" rank="5"/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14C376-A56D-43E6-AFC7-ABC1EC93293E}">
          <x14:formula1>
            <xm:f>Dane!$AR$2:$AR$19</xm:f>
          </x14:formula1>
          <xm:sqref>D2 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Wyliczenia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2023-06-12T19:07:14Z</dcterms:created>
  <dcterms:modified xsi:type="dcterms:W3CDTF">2023-06-19T21:16:56Z</dcterms:modified>
</cp:coreProperties>
</file>