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arccas/Dropbox/Didattica/Penetration Testing &amp; Ethical Hacking/A.A. 2024 - 2025/Lezioni/Argomento 2 - Tipi e Metodologie di Testing/Security Audit Framework/"/>
    </mc:Choice>
  </mc:AlternateContent>
  <xr:revisionPtr revIDLastSave="0" documentId="13_ncr:1_{6A9F511F-B405-D541-93CD-885289EAC38E}" xr6:coauthVersionLast="47" xr6:coauthVersionMax="47" xr10:uidLastSave="{00000000-0000-0000-0000-000000000000}"/>
  <bookViews>
    <workbookView xWindow="0" yWindow="500" windowWidth="51200" windowHeight="26600" tabRatio="999" firstSheet="5" activeTab="16" xr2:uid="{00000000-000D-0000-FFFF-FFFF00000000}"/>
  </bookViews>
  <sheets>
    <sheet name="Instruction" sheetId="19" r:id="rId1"/>
    <sheet name="3.1 Access Control" sheetId="1" r:id="rId2"/>
    <sheet name="3.2 Awareness and Training" sheetId="3" r:id="rId3"/>
    <sheet name="3.3 Audit and Accountability" sheetId="4" r:id="rId4"/>
    <sheet name="3.4 Configuration Management" sheetId="5" r:id="rId5"/>
    <sheet name="3.5 Identification and Auth." sheetId="6" r:id="rId6"/>
    <sheet name="3.6 Incident Response" sheetId="7" r:id="rId7"/>
    <sheet name="3.7 Maintenance" sheetId="8" r:id="rId8"/>
    <sheet name="3.8 Media Protection" sheetId="9" r:id="rId9"/>
    <sheet name="3.9 Personnel Security" sheetId="10" r:id="rId10"/>
    <sheet name="3.10 Physical Protection" sheetId="11" r:id="rId11"/>
    <sheet name="3.11 Risk Assessment" sheetId="12" r:id="rId12"/>
    <sheet name="3.12 Security Assessment" sheetId="13" r:id="rId13"/>
    <sheet name="3.13 System and Communications" sheetId="14" r:id="rId14"/>
    <sheet name="3.14 System and Information" sheetId="15" r:id="rId15"/>
    <sheet name="Completion of the Questionnaire" sheetId="18" r:id="rId16"/>
    <sheet name="Summary" sheetId="17" r:id="rId17"/>
    <sheet name="Master POAM List" sheetId="23" r:id="rId18"/>
    <sheet name="Reference" sheetId="22" r:id="rId19"/>
    <sheet name="Sheet2" sheetId="2" state="hidden" r:id="rId20"/>
  </sheets>
  <definedNames>
    <definedName name="Options">Sheet2!$A$2:$A$4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2" l="1"/>
  <c r="A4" i="7"/>
  <c r="A3" i="7"/>
  <c r="A2" i="6"/>
  <c r="A4" i="3"/>
  <c r="D12" i="14" l="1"/>
  <c r="D5" i="13"/>
  <c r="D11" i="6"/>
  <c r="D4" i="6"/>
  <c r="D20" i="1"/>
  <c r="D11" i="1" l="1"/>
  <c r="D11" i="14"/>
  <c r="D8" i="15"/>
  <c r="D6" i="15"/>
  <c r="D3" i="15"/>
  <c r="D4" i="15"/>
  <c r="D5" i="15"/>
  <c r="D7" i="15"/>
  <c r="D2" i="15"/>
  <c r="D16" i="14"/>
  <c r="D9" i="14"/>
  <c r="D7" i="14"/>
  <c r="D6" i="14"/>
  <c r="D5" i="14"/>
  <c r="D8" i="14"/>
  <c r="D10" i="14"/>
  <c r="D13" i="14"/>
  <c r="D14" i="14"/>
  <c r="D15" i="14"/>
  <c r="D17" i="14"/>
  <c r="D4" i="14"/>
  <c r="D3" i="14"/>
  <c r="D2" i="14"/>
  <c r="D3" i="13"/>
  <c r="D4" i="13"/>
  <c r="D2" i="13"/>
  <c r="D4" i="12"/>
  <c r="D3" i="12"/>
  <c r="D2" i="12"/>
  <c r="D5" i="11"/>
  <c r="D6" i="11"/>
  <c r="D7" i="11"/>
  <c r="D4" i="11"/>
  <c r="D3" i="11"/>
  <c r="D2" i="11"/>
  <c r="D3" i="10"/>
  <c r="D2" i="10"/>
  <c r="F2" i="10" s="1"/>
  <c r="D10" i="9"/>
  <c r="D9" i="9"/>
  <c r="D8" i="9"/>
  <c r="D7" i="9"/>
  <c r="D6" i="9"/>
  <c r="D5" i="9"/>
  <c r="D4" i="9"/>
  <c r="D3" i="9"/>
  <c r="D2" i="9"/>
  <c r="D7" i="8"/>
  <c r="D6" i="8"/>
  <c r="D4" i="8"/>
  <c r="D3" i="8"/>
  <c r="D5" i="8"/>
  <c r="D2" i="8"/>
  <c r="D4" i="7"/>
  <c r="D3" i="7"/>
  <c r="D2" i="7"/>
  <c r="D12" i="6"/>
  <c r="D6" i="6"/>
  <c r="D7" i="6"/>
  <c r="D8" i="6"/>
  <c r="D9" i="6"/>
  <c r="D10" i="6"/>
  <c r="D5" i="6"/>
  <c r="D3" i="6"/>
  <c r="D2" i="6"/>
  <c r="D10" i="5"/>
  <c r="D5" i="5"/>
  <c r="D4" i="5"/>
  <c r="D3" i="5"/>
  <c r="D6" i="5"/>
  <c r="D7" i="5"/>
  <c r="D8" i="5"/>
  <c r="D9" i="5"/>
  <c r="D2" i="5"/>
  <c r="D9" i="4"/>
  <c r="D10" i="4"/>
  <c r="D8" i="4"/>
  <c r="D7" i="4"/>
  <c r="D5" i="4"/>
  <c r="D4" i="4"/>
  <c r="D3" i="4"/>
  <c r="D6" i="4"/>
  <c r="D2" i="4"/>
  <c r="D4" i="3"/>
  <c r="D3" i="3"/>
  <c r="D2" i="3"/>
  <c r="D18" i="1"/>
  <c r="D19" i="1"/>
  <c r="D17" i="1"/>
  <c r="D14" i="1"/>
  <c r="D13" i="1"/>
  <c r="D6" i="1"/>
  <c r="D5" i="1"/>
  <c r="D7" i="1"/>
  <c r="D8" i="1"/>
  <c r="D9" i="1"/>
  <c r="D10" i="1"/>
  <c r="D12" i="1"/>
  <c r="D15" i="1"/>
  <c r="D16" i="1"/>
  <c r="D21" i="1"/>
  <c r="D22" i="1"/>
  <c r="D23" i="1"/>
  <c r="D4" i="1"/>
  <c r="D3" i="1"/>
  <c r="D2" i="1"/>
  <c r="F2" i="14" l="1"/>
  <c r="F2" i="13"/>
  <c r="F2" i="12"/>
  <c r="F2" i="11"/>
  <c r="F2" i="9"/>
  <c r="F2" i="8"/>
  <c r="F2" i="7"/>
  <c r="F2" i="6"/>
  <c r="F2" i="3"/>
  <c r="F2" i="1"/>
  <c r="F2" i="15"/>
  <c r="F2" i="5"/>
  <c r="F2" i="4"/>
  <c r="A23" i="1"/>
  <c r="C2" i="18"/>
  <c r="A22" i="1" l="1"/>
  <c r="A21" i="1"/>
  <c r="A20" i="1"/>
  <c r="A19" i="1"/>
  <c r="A18" i="1"/>
  <c r="A17" i="1"/>
  <c r="A16" i="1"/>
  <c r="A15" i="1"/>
  <c r="A14" i="1"/>
  <c r="A13" i="1"/>
  <c r="A12" i="1"/>
  <c r="A11" i="1"/>
  <c r="A10" i="1"/>
  <c r="A9" i="1"/>
  <c r="A8" i="1"/>
  <c r="A7" i="1"/>
  <c r="A6" i="1"/>
  <c r="A5" i="1"/>
  <c r="A4" i="1"/>
  <c r="A3" i="1"/>
  <c r="A8" i="15" l="1"/>
  <c r="A7" i="15"/>
  <c r="A6" i="15"/>
  <c r="A5" i="15"/>
  <c r="A4" i="15"/>
  <c r="A3" i="15"/>
  <c r="A2" i="15"/>
  <c r="A17" i="14"/>
  <c r="A16" i="14"/>
  <c r="A15" i="14"/>
  <c r="A14" i="14"/>
  <c r="A13" i="14"/>
  <c r="A12" i="14"/>
  <c r="A11" i="14"/>
  <c r="A10" i="14"/>
  <c r="A9" i="14"/>
  <c r="A8" i="14"/>
  <c r="A7" i="14"/>
  <c r="A6" i="14"/>
  <c r="A5" i="14"/>
  <c r="A4" i="14"/>
  <c r="A3" i="14"/>
  <c r="A2" i="14"/>
  <c r="A5" i="13"/>
  <c r="A4" i="13"/>
  <c r="A3" i="13"/>
  <c r="A2" i="13"/>
  <c r="A4" i="12"/>
  <c r="A2" i="12"/>
  <c r="A7" i="11"/>
  <c r="A6" i="11"/>
  <c r="A5" i="11"/>
  <c r="A4" i="11"/>
  <c r="A3" i="11"/>
  <c r="A2" i="11"/>
  <c r="A3" i="10"/>
  <c r="A2" i="10"/>
  <c r="A10" i="9"/>
  <c r="A9" i="9"/>
  <c r="A8" i="9"/>
  <c r="A2" i="9"/>
  <c r="A7" i="9"/>
  <c r="A6" i="9"/>
  <c r="A5" i="9"/>
  <c r="A4" i="9"/>
  <c r="A3" i="9"/>
  <c r="A2" i="8"/>
  <c r="A3" i="8"/>
  <c r="A4" i="8"/>
  <c r="A5" i="8"/>
  <c r="A6" i="8"/>
  <c r="A7" i="8"/>
  <c r="A2" i="7"/>
  <c r="A11" i="6"/>
  <c r="A12" i="6"/>
  <c r="A10" i="6"/>
  <c r="A9" i="6"/>
  <c r="A8" i="6"/>
  <c r="A7" i="6"/>
  <c r="A6" i="6"/>
  <c r="A4" i="6"/>
  <c r="A5" i="6"/>
  <c r="A3" i="6"/>
  <c r="A10" i="5"/>
  <c r="A9" i="5"/>
  <c r="A8" i="5"/>
  <c r="A7" i="5"/>
  <c r="A6" i="5"/>
  <c r="A5" i="5"/>
  <c r="A4" i="5"/>
  <c r="A3" i="5"/>
  <c r="A2" i="5"/>
  <c r="A10" i="4"/>
  <c r="A9" i="4"/>
  <c r="A8" i="4"/>
  <c r="A7" i="4"/>
  <c r="A6" i="4"/>
  <c r="A5" i="4"/>
  <c r="A4" i="4"/>
  <c r="A3" i="4"/>
  <c r="A2" i="4"/>
  <c r="A3" i="3"/>
  <c r="A2" i="3"/>
  <c r="A2" i="1"/>
  <c r="C15" i="18" l="1"/>
  <c r="C14" i="18"/>
  <c r="C13" i="18"/>
  <c r="C11" i="18"/>
  <c r="C10" i="18"/>
  <c r="C9" i="18"/>
  <c r="C8" i="18"/>
  <c r="C7" i="18"/>
  <c r="C6" i="18"/>
  <c r="C5" i="18"/>
  <c r="C4" i="18"/>
  <c r="C3" i="18"/>
  <c r="C12" i="18"/>
  <c r="C6" i="17" l="1"/>
  <c r="C5" i="17"/>
  <c r="C3" i="17"/>
  <c r="C4" i="17"/>
  <c r="C13" i="17" l="1"/>
  <c r="C2" i="17"/>
  <c r="C7" i="17"/>
  <c r="C14" i="17"/>
  <c r="C12" i="17"/>
  <c r="C11" i="17"/>
  <c r="C10" i="17"/>
  <c r="C8" i="17"/>
  <c r="C9" i="17"/>
  <c r="C15" i="17"/>
  <c r="C16" i="17" l="1"/>
</calcChain>
</file>

<file path=xl/sharedStrings.xml><?xml version="1.0" encoding="utf-8"?>
<sst xmlns="http://schemas.openxmlformats.org/spreadsheetml/2006/main" count="478" uniqueCount="403">
  <si>
    <t>3.1.1</t>
  </si>
  <si>
    <t>Limit system access to authorized users, processes acting on behalf of authorized users, and devices (including other systems).</t>
  </si>
  <si>
    <t>3.1.2</t>
  </si>
  <si>
    <t>Access Control</t>
  </si>
  <si>
    <t>Limit system access to the types of transactions and functions that authorized users are permitted to execute.</t>
  </si>
  <si>
    <t>Control the flow of CUI in accordance with approved authorizations.</t>
  </si>
  <si>
    <t>Separate the duties of individuals to reduce the risk of malevolent activity without collusion.</t>
  </si>
  <si>
    <t>Employ the principle of least privilege, including for specific security functions and privileged accounts.</t>
  </si>
  <si>
    <t>Use non-privileged accounts or roles when accessing nonsecurity functions.</t>
  </si>
  <si>
    <t>Prevent non-privileged users from executing privileged functions and capture the execution of such functions in audit logs.</t>
  </si>
  <si>
    <t>Limit unsuccessful logon attempts.</t>
  </si>
  <si>
    <t>Provide privacy and security notices consistent with applicable CUI rules.</t>
  </si>
  <si>
    <t>Use session lock with pattern-hiding displays to prevent access and viewing of data after a period of inactivity.</t>
  </si>
  <si>
    <t>Terminate (automatically) a user session after a defined condition.</t>
  </si>
  <si>
    <t>Monitor and control remote access sessions.</t>
  </si>
  <si>
    <t>Employ cryptographic mechanisms to protect the confidentiality of remote access sessions.</t>
  </si>
  <si>
    <t>Route remote access via managed access control points.</t>
  </si>
  <si>
    <t>3.1.3</t>
  </si>
  <si>
    <t>3.1.4</t>
  </si>
  <si>
    <t>3.1.5</t>
  </si>
  <si>
    <t>3.1.6</t>
  </si>
  <si>
    <t>3.1.7</t>
  </si>
  <si>
    <t>3.1.8</t>
  </si>
  <si>
    <t>3.1.9</t>
  </si>
  <si>
    <t>3.1.10</t>
  </si>
  <si>
    <t>3.1.11</t>
  </si>
  <si>
    <t>3.1.12</t>
  </si>
  <si>
    <t>3.1.13</t>
  </si>
  <si>
    <t>3.1.14</t>
  </si>
  <si>
    <t>Authorize remote execution of privileged commands and remote access to security-relevant information.</t>
  </si>
  <si>
    <t>Authorize wireless access prior to allowing such connections.</t>
  </si>
  <si>
    <t>Protect wireless access using authentication and encryption.</t>
  </si>
  <si>
    <t>Control connection of mobile devices.</t>
  </si>
  <si>
    <t>Verify and control/limit connections to and use of external systems.</t>
  </si>
  <si>
    <t>Limit use of portable storage devices on external systems.</t>
  </si>
  <si>
    <t>Control CUI posted or processed on publicly accessible systems.</t>
  </si>
  <si>
    <t>3.1.15</t>
  </si>
  <si>
    <t>3.1.16</t>
  </si>
  <si>
    <t>3.1.17</t>
  </si>
  <si>
    <t>3.1.18</t>
  </si>
  <si>
    <t>3.1.19</t>
  </si>
  <si>
    <t>3.1.20</t>
  </si>
  <si>
    <t>3.1.21</t>
  </si>
  <si>
    <t>3.1.22</t>
  </si>
  <si>
    <t>Awareness and Training</t>
  </si>
  <si>
    <t>3.2.1</t>
  </si>
  <si>
    <t>Ensure that managers, systems administrators, and users of organizational systems are made aware of the security risks associated with their activities and of the applicable policies, standards, and procedures related to the security of those systems.</t>
  </si>
  <si>
    <t>Ensure that personnel are trained to carry out their assigned information security-related duties and responsibilities.</t>
  </si>
  <si>
    <t>Provide security awareness training on recognizing and reporting potential indicators of insider threat.</t>
  </si>
  <si>
    <t>Audit and Accountability</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</si>
  <si>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</si>
  <si>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</si>
  <si>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Review and update logged events.</t>
  </si>
  <si>
    <t>Alert in the event of an audit logging process failure.</t>
  </si>
  <si>
    <t>Correlate audit record review, analysis, and reporting processes for investigation and response to indications of unlawful, unauthorized, suspicious, or unusual activity.</t>
  </si>
  <si>
    <t>Provide audit record reduction and report generation to support on-demand analysis and reporting.</t>
  </si>
  <si>
    <t>Provide a system capability that compares and synchronizes internal system clocks with an authoritative source to generate time stamps for audit records.</t>
  </si>
  <si>
    <t>Protect audit information and audit logging tools from unauthorized access, modification, and deletion.</t>
  </si>
  <si>
    <t>Limit management of audit logging functionality to a subset of privileged users.</t>
  </si>
  <si>
    <t>Configuration Management</t>
  </si>
  <si>
    <t>Establish and maintain baseline configurations and inventories of organizational systems (including hardware, software, firmware, and documentation) throughout the respective system development life cycles.</t>
  </si>
  <si>
    <t>Establish and enforce security configuration settings for information technology products employed in organizational systems.</t>
  </si>
  <si>
    <t>Track, review, approve or disapprove, and log changes to organizational systems.</t>
  </si>
  <si>
    <t>Analyze the security impact of changes prior to implementation.</t>
  </si>
  <si>
    <t>Define, document, approve, and enforce physical and logical access restrictions associated with changes to organizational systems.</t>
  </si>
  <si>
    <t>Employ the principle of least functionality by configuring organizational systems to provide only essential capabilities.</t>
  </si>
  <si>
    <t>Restrict, disable, or prevent the use of nonessential programs, functions, ports, protocols, and services.</t>
  </si>
  <si>
    <t>Apply deny-by-exception (blacklisting) policy to prevent the use of unauthorized software or deny-all, permit-by-exception (whitelisting) policy to allow the execution of authorized software.</t>
  </si>
  <si>
    <t>Control and monitor user-installed software.</t>
  </si>
  <si>
    <t>Identification and Authentication</t>
  </si>
  <si>
    <t>Identify system users, processes acting on behalf of users, and devices.</t>
  </si>
  <si>
    <t>Authenticate (or verify) the identities of users, processes, or devices, as a prerequisite to allowing access to organizational systems.</t>
  </si>
  <si>
    <t>Use multifactor authentication for local and network access to privileged accounts and for network access to non-privileged accounts</t>
  </si>
  <si>
    <t>Employ replay-resistant authentication mechanisms for network access to privileged and non-privileged accounts.</t>
  </si>
  <si>
    <t>Prevent reuse of identifiers for a defined period.</t>
  </si>
  <si>
    <t>Disable identifiers after a defined period of inactivity.</t>
  </si>
  <si>
    <t>Enforce a minimum password complexity and change of characters when new passwords are created.</t>
  </si>
  <si>
    <t>Prohibit password reuse for a specified number of generations.</t>
  </si>
  <si>
    <t>Allow temporary password use for system logons with an immediate change to a permanent password.</t>
  </si>
  <si>
    <t>Store and transmit only cryptographically-protected passwords.</t>
  </si>
  <si>
    <t>Obscure feedback of authentication information.</t>
  </si>
  <si>
    <t>Incident Response</t>
  </si>
  <si>
    <t>Establish an operational incident-handling capability for organizational systems that includes preparation, detection, analysis, containment, recovery, and user response activities.</t>
  </si>
  <si>
    <t>Track, document, and report incidents to designated officials and/or authorities both internal and external to the organization.</t>
  </si>
  <si>
    <t>Test the organizational incident response capability.</t>
  </si>
  <si>
    <t>Perform maintenance on organizational systems.</t>
  </si>
  <si>
    <t>Maintenance</t>
  </si>
  <si>
    <t>Provide controls on the tools, techniques, mechanisms, and personnel used to conduct system maintenance.</t>
  </si>
  <si>
    <t>Ensure equipment removed for off-site maintenance is sanitized of any CUI.</t>
  </si>
  <si>
    <t>Check media containing diagnostic and test programs for malicious code before the media are used in organizational systems.</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</si>
  <si>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</si>
  <si>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</si>
  <si>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Media Protection</t>
  </si>
  <si>
    <t>Protect (i.e., physically control and securely store) system media containing CUI, both paper and digital.</t>
  </si>
  <si>
    <t>Limit access to CUI on system media to authorized users.</t>
  </si>
  <si>
    <t>Sanitize or destroy system media containing CUI before disposal or release for reuse.</t>
  </si>
  <si>
    <t>Mark media with necessary CUI markings and distribution limitations.</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</si>
  <si>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</si>
  <si>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</si>
  <si>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Control the use of removable media on system components.</t>
  </si>
  <si>
    <t>Prohibit the use of portable storage devices when such devices have no identifiable owner.</t>
  </si>
  <si>
    <t>Protect the confidentiality of backup CUI at storage locations.</t>
  </si>
  <si>
    <t>Personnel Security</t>
  </si>
  <si>
    <t>Screen individuals prior to authorizing access to organizational systems containing CUI.</t>
  </si>
  <si>
    <t>Ensure that organizational systems containing CUI are protected during and after personnel actions such as terminations and transfers.</t>
  </si>
  <si>
    <t>3.10</t>
  </si>
  <si>
    <t>Limit physical access to organizational systems, equipment, and the respective operating environments to authorized individuals.</t>
  </si>
  <si>
    <t>Physical Protection</t>
  </si>
  <si>
    <t>Protect and monitor the physical facility and support infrastructure for organizational systems.</t>
  </si>
  <si>
    <t>Escort visitors and monitor visitor activity.</t>
  </si>
  <si>
    <t>Maintain audit logs of physical access.</t>
  </si>
  <si>
    <t>Control and manage physical access devices.</t>
  </si>
  <si>
    <t>Enforce safeguarding measures for CUI at alternate work sites.</t>
  </si>
  <si>
    <t>Risk Assessment</t>
  </si>
  <si>
    <t>Periodically assess the risk to organizational operations (including mission, functions, image, or reputation), organizational assets, and individuals, resulting from the operation of organizational systems and the associated processing, storage, or transmission of CUI.</t>
  </si>
  <si>
    <t>Scan for vulnerabilities in organizational systems and applications periodically and when new vulnerabilities affecting those systems and applications are identified.</t>
  </si>
  <si>
    <t>Remediate vulnerabilities in accordance with risk assessments.</t>
  </si>
  <si>
    <t>Security Assessment</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</si>
  <si>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</si>
  <si>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</si>
  <si>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</si>
  <si>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</si>
  <si>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System and Communications Protection</t>
  </si>
  <si>
    <t>Monitor, control, and protect communications (i.e., information transmitted or received by organizational systems) at the external boundaries and key internal boundaries of organizational systems.</t>
  </si>
  <si>
    <t>Employ architectural designs, software development techniques, and systems engineering principles that promote effective information security within organizational systems.</t>
  </si>
  <si>
    <t>Separate user functionality from system management functionality.</t>
  </si>
  <si>
    <t>Prevent unauthorized and unintended information transfer via shared system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</si>
  <si>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</si>
  <si>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</si>
  <si>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Prevent remote devices from simultaneously establishing non-remote connections with organizational systems and communicating via some other connection to resources in external networks (i.e., split tunneling).</t>
  </si>
  <si>
    <t>Implement cryptographic mechanisms to prevent unauthorized disclosure of CUI during transmission unless otherwise protected by alternative physical safeguards.</t>
  </si>
  <si>
    <t>Terminate network connections associated with communications sessions at the end of the sessions or after a defined period of inactivity.</t>
  </si>
  <si>
    <t>Establish and manage cryptographic keys for cryptography employed in organizational systems.</t>
  </si>
  <si>
    <t>Employ FIPS-validated cryptography when used to protect the confidentiality of CUI.</t>
  </si>
  <si>
    <t>Prohibit remote activation of collaborative computing devices and provide indication of devices in use to users present at the device</t>
  </si>
  <si>
    <t>Control and monitor the use of mobile code.</t>
  </si>
  <si>
    <t>Protect the authenticity of communications sessions.</t>
  </si>
  <si>
    <t>Protect the confidentiality of CUI at rest.</t>
  </si>
  <si>
    <t>System and Information Integrity</t>
  </si>
  <si>
    <t>Identify, report, and correct system flaws in a timely manner.</t>
  </si>
  <si>
    <t>Provide protection from malicious code at designated locations within organizational systems.</t>
  </si>
  <si>
    <t>Monitor system security alerts and advisories and take action in response.</t>
  </si>
  <si>
    <t>Update malicious code protection mechanisms when new releases are available.</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</si>
  <si>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</si>
  <si>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</si>
  <si>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Identify unauthorized use of organizational systems.</t>
  </si>
  <si>
    <t>3.2.2</t>
  </si>
  <si>
    <t>3.2.3</t>
  </si>
  <si>
    <t>3.3.1</t>
  </si>
  <si>
    <t>3.3.2</t>
  </si>
  <si>
    <t>3.3.3</t>
  </si>
  <si>
    <t>3.3.4</t>
  </si>
  <si>
    <t>3.3.5</t>
  </si>
  <si>
    <t>3.3.6</t>
  </si>
  <si>
    <t>3.3.7</t>
  </si>
  <si>
    <t>3.3.8</t>
  </si>
  <si>
    <t>3.3.9</t>
  </si>
  <si>
    <t>3.4.1</t>
  </si>
  <si>
    <t>3.4.2</t>
  </si>
  <si>
    <t>3.4.3</t>
  </si>
  <si>
    <t>3.4.4</t>
  </si>
  <si>
    <t>3.4.5</t>
  </si>
  <si>
    <t>3.4.6</t>
  </si>
  <si>
    <t>3.4.7</t>
  </si>
  <si>
    <t>3.4.8</t>
  </si>
  <si>
    <t>3.4.9</t>
  </si>
  <si>
    <t>3.5.1</t>
  </si>
  <si>
    <t>3.5.2</t>
  </si>
  <si>
    <t>3.5.3</t>
  </si>
  <si>
    <t>3.5.4</t>
  </si>
  <si>
    <t>3.5.5</t>
  </si>
  <si>
    <t>3.5.6</t>
  </si>
  <si>
    <t>3.5.7</t>
  </si>
  <si>
    <t>3.5.8</t>
  </si>
  <si>
    <t>3.5.9</t>
  </si>
  <si>
    <t>3.5.10</t>
  </si>
  <si>
    <t>3.5.11</t>
  </si>
  <si>
    <t>3.6.1</t>
  </si>
  <si>
    <t>3.6.2</t>
  </si>
  <si>
    <t>3.6.3</t>
  </si>
  <si>
    <t>3.7.1</t>
  </si>
  <si>
    <t>3.7.2</t>
  </si>
  <si>
    <t>3.7.3</t>
  </si>
  <si>
    <t>3.7.4</t>
  </si>
  <si>
    <t>3.7.5</t>
  </si>
  <si>
    <t>3.7.6</t>
  </si>
  <si>
    <t>3.8.1</t>
  </si>
  <si>
    <t>3.8.2</t>
  </si>
  <si>
    <t>3.8.3</t>
  </si>
  <si>
    <t>3.8.4</t>
  </si>
  <si>
    <t>3.8.5</t>
  </si>
  <si>
    <t>3.8.6</t>
  </si>
  <si>
    <t>3.8.7</t>
  </si>
  <si>
    <t>3.8.8</t>
  </si>
  <si>
    <t>3.8.9</t>
  </si>
  <si>
    <t>3.9.1</t>
  </si>
  <si>
    <t>3.10.1</t>
  </si>
  <si>
    <t>3.10.2</t>
  </si>
  <si>
    <t>3.10.3</t>
  </si>
  <si>
    <t>3.10.4</t>
  </si>
  <si>
    <t>3.10.5</t>
  </si>
  <si>
    <t>3.10.6</t>
  </si>
  <si>
    <t>3.11.1</t>
  </si>
  <si>
    <t>3.11.2</t>
  </si>
  <si>
    <t>3.11.3</t>
  </si>
  <si>
    <t>3.12.1</t>
  </si>
  <si>
    <t>3.12.2</t>
  </si>
  <si>
    <t>3.12.3</t>
  </si>
  <si>
    <t>3.12.4</t>
  </si>
  <si>
    <t>3.13.1</t>
  </si>
  <si>
    <t>3.13.2</t>
  </si>
  <si>
    <t>3.13.3</t>
  </si>
  <si>
    <t>3.13.4</t>
  </si>
  <si>
    <t>3.13.5</t>
  </si>
  <si>
    <t>3.13.6</t>
  </si>
  <si>
    <t>3.13.7</t>
  </si>
  <si>
    <t>3.13.8</t>
  </si>
  <si>
    <t>3.13.9</t>
  </si>
  <si>
    <t>3.13.10</t>
  </si>
  <si>
    <t>3.13.11</t>
  </si>
  <si>
    <t>3.13.12</t>
  </si>
  <si>
    <t>3.13.13</t>
  </si>
  <si>
    <t>3.13.14</t>
  </si>
  <si>
    <t>3.13.15</t>
  </si>
  <si>
    <t>3.13.16</t>
  </si>
  <si>
    <t>3.14.1</t>
  </si>
  <si>
    <t>3.14.2</t>
  </si>
  <si>
    <t>3.14.3</t>
  </si>
  <si>
    <t>3.14.4</t>
  </si>
  <si>
    <t>3.14.5</t>
  </si>
  <si>
    <t>3.14.6</t>
  </si>
  <si>
    <t>3.14.7</t>
  </si>
  <si>
    <t>Answer</t>
  </si>
  <si>
    <t>Not Applicable</t>
  </si>
  <si>
    <t>Options</t>
  </si>
  <si>
    <t>3.9.2</t>
  </si>
  <si>
    <t>Score</t>
  </si>
  <si>
    <t xml:space="preserve">                      </t>
  </si>
  <si>
    <t>Implemented</t>
  </si>
  <si>
    <t>Planned to be implemented</t>
  </si>
  <si>
    <t>Completion</t>
  </si>
  <si>
    <t xml:space="preserve">Security Family </t>
  </si>
  <si>
    <t xml:space="preserve">Subject </t>
  </si>
  <si>
    <t xml:space="preserve">Awareness and Training </t>
  </si>
  <si>
    <t xml:space="preserve">Audit and Accountability </t>
  </si>
  <si>
    <t xml:space="preserve">Configuration Management </t>
  </si>
  <si>
    <t xml:space="preserve">Identification and Authentication </t>
  </si>
  <si>
    <t xml:space="preserve">Incident Response </t>
  </si>
  <si>
    <t xml:space="preserve">Personnel Security </t>
  </si>
  <si>
    <t xml:space="preserve">Physical Protection </t>
  </si>
  <si>
    <t xml:space="preserve">Security Assessment </t>
  </si>
  <si>
    <t>Systems and Communications Protection</t>
  </si>
  <si>
    <t xml:space="preserve">Systems and Information Integrity  </t>
  </si>
  <si>
    <t>Control and monitor the use of Voice over Internet Protocol (VoIP) technologies.</t>
  </si>
  <si>
    <t>Section Code</t>
  </si>
  <si>
    <t>Discussion</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</si>
  <si>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systems and applications. The definition of and enforcement of access authorizations, other than those determined by account type (e.g., privileged verses non-privileged) are addressed in requirement 3.1.2.</t>
  </si>
  <si>
    <t>Organizations may choose to define access privileges or other attributes by account, by type of account, or a combination of both. System account types include individual, shared, group, system, anonymous, guest, emergency, developer, manufacturer, vendor, and temporary. Other attributes required for authorizing access include restrictions on time-of-day, day-of-week, and point-of-origin. In defining other account attributes, organizations consider system-related requirements (e.g., system upgrades scheduled maintenance,) and mission or business requirements, (e.g., time zone differences, customer requirements, remote access to support travel requirements).</t>
  </si>
  <si>
    <t>Information flow control regulates where information can travel within a system and between systems (versus who can access the information) and without explicit regard to subsequent accesses to that information. Flow control restrictions include the following: keeping export-controlled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t>
  </si>
  <si>
    <t>Separation of duties addresses the potential for abuse of authorized privileges and helps to reduce the risk of malevolent activity without collusion. Separation of duties includes dividing mission functions and system support functions among different individuals or roles; conducting system support functions with different individuals (e.g., configuration management, quality assurance and testing, system management, programming,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</si>
  <si>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establishing system accounts, setting events to be logged, setting intrusion detection parameters, and configuring access authorizations (i.e., permissions, privileges).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</si>
  <si>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t>
  </si>
  <si>
    <t>Privileged functions include establishing system accounts, performing system integrity checks, conducting patching operations,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Note that this requirement represents a condition to be achieved by the definition of authorized privileges in 3.1.2.
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</si>
  <si>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application levels.</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</si>
  <si>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 risk assessment, organizations consider whether a secondary system use notification is needed to access applications or other system resources after the initial network logon. Where necessary, posters or other printed materials may be used in lieu of an automated system banner. Organizations consult with the Office of General Counsel for legal review and approval of warning banner content.</t>
  </si>
  <si>
    <t>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
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</si>
  <si>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organization-defined periods of user inactivity, targeted responses to certain types of incidents, and time-of-day restrictions on system use.</t>
  </si>
  <si>
    <t>Remote access is access to organizational systems by users (or processes acting on behalf of users) communicating through external networks (e.g., the Internet). Remote access methods include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control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t>
  </si>
  <si>
    <t>Routing remote access through managed access control points enhances explicit, organizational control over such connections, reducing the susceptibility to unauthorized access to organizational systems resulting in the unauthorized disclosure of CUI.</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</si>
  <si>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</si>
  <si>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External systems are systems or components of systems for which organizations typically have no direct supervision and authority over the application of security requirements and controls or the determination of the effectiveness of implemented controls on those systems. External systems include personally owned systems, components, or devices and privately-owned computing and communications devices resident in commercial or public facilities. This requirement also addresses the use of external systems for the processing, storage, or transmission of CUI, including accessing cloud services (e.g., infrastructure as a service, platform as a service, or software as a service) from organizational systems.</t>
  </si>
  <si>
    <t>Limits on the use of organization-controlled portable storage devices in external systems include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Among the systems that process CUI there are likely access restrictions for CUI that apply between systems. Therefore, from the perspective of a given system, other systems within the organization may be considered “external" to that system.</t>
  </si>
  <si>
    <t>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</si>
  <si>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include: formal training; offering supplies inscribed with security reminders; generating email advisories or notices from organizational officials; displaying logon screen messages; displaying security awareness posters; and conducting information security awareness events.</t>
  </si>
  <si>
    <t>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the policies, procedures, directives, rules, or practices of organizations.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</si>
  <si>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
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t>
  </si>
  <si>
    <t>This requirement ensures that the contents of the audit record include the information needed to link the audit event to the actions of an individual to the extent feasible. Organizations consider logging for traceability including results from monitoring of account usage, remote access, wireless connectivity, mobile device connection, communications at system boundaries, configuration settings, physical access, nonlocal maintenance, use of maintenance tools, temperature and humidity, equipment delivery and removal, system component inventory, use of mobile code, and use of Voice over Internet Protocol (VoIP).</t>
  </si>
  <si>
    <t>The intent of this requirement is to periodically re-evaluate which logged events will continue to be included in the list of events to be logged. The event types that are logged by organizations may change over time. Reviewing and updating the set of logged event types periodically is necessary to ensure that the current set remains necessary and sufficient.</t>
  </si>
  <si>
    <t>Audit logging process failures include software and 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</si>
  <si>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Correlating audit record review, analysis, and reporting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</si>
  <si>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</si>
  <si>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</si>
  <si>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</si>
  <si>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Baseline configurations are documented, formally reviewed, and agreed-upon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also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t>
  </si>
  <si>
    <t>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mainframe computers, servers, workstations, input and output devices (e.g., scanners, copiers, and printers), network components (e.g., firewalls, routers, gateways, voice and data switches, wireless access points, network appliances, sensors), operating systems, middleware, and applications.
Security parameters are those parameters impacting the security state of systems including the parameters required to satisfy other security requirements. Security parameters include: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</si>
  <si>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
Processes for managing configuration changes to systems include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</si>
  <si>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reviewing security plans to understand security requirements and reviewing system design documentation to understand the implementation of controls and how specific changes might affect the controls. Security impact analyses may also include risk assessments to better understand the impact of the changes and to determine if additional controls are required.</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</si>
  <si>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
Access restrictions include physical and logical access control requirements, workflow automation, media libraries, abstract layers (e.g., changes implemented into external interfaces rather than directly into systems), and change windows (e.g., changes occur only during certain specified times). In addition to security concerns, commonly-accepted due diligence for configuration management includes access restrictions as an essential part in ensuring the ability to effectively manage the configuration.</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</si>
  <si>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However, doing so increases risk over limiting the services provided by any one component. Where feasible, organizations limit component functionality to a single function per component.
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</si>
  <si>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Restricting the use of nonessential software (programs) includes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File Transfer Protocol (FTP), and peer-to-peer networking are examples of protocols organizations consider preventing the use of, restricting, or disabling.</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</si>
  <si>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t>
  </si>
  <si>
    <t>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updates and security patches to existing software and applications from organization-approved “app stores.” Prohibited software installations may include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automated methods, or both.</t>
  </si>
  <si>
    <t>Common device identifiers include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t>
  </si>
  <si>
    <t>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t>
  </si>
  <si>
    <t>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authentication solutions that feature physical authenticators include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
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connections between organization-controlled and non-organization controlled endpoints may be treated as internal networks with regard to protecting the confidentiality of information.</t>
  </si>
  <si>
    <t>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authenticators.</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</si>
  <si>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</si>
  <si>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</si>
  <si>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</si>
  <si>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Password lifetime restrictions do not apply to temporary passwords.</t>
  </si>
  <si>
    <t>Changing temporary passwords to permanent passwords immediately after system logon ensures that the necessary strength of the authentication mechanism is implemented at the earliest opportunity, reducing the susceptibility to authenticator compromises.</t>
  </si>
  <si>
    <t>Cryptographically-protected passwords use salted one-way cryptographic hashes of passwords.</t>
  </si>
  <si>
    <t>The feedback from systems does not provide any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displaying asterisks when users type passwords into input devices or displaying feedback for a very limited time before fully obscuring it.</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</si>
  <si>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audit monitoring, network monitoring, physical access monitoring, user and administrator reports, and reported supply chain events. Effective incident handling capability includes coordination among many organizational entities including mission/business owners, system owners, authorizing officials, human resources offices, physical and personnel security offices, legal departments, operations personnel, procurement offices, and the risk executive.
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t>
  </si>
  <si>
    <t>Tracking and documenting system security incidents includes maintaining records about each incident, the status of the incident, and other pertinent information necessary for forensics, evaluating incident details, trends, and handling. Incident information can be obtained from a variety of sources including incident reports, incident response teams, audit monitoring, network monitoring, physical access monitoring, and user/administrator reports.
Reporting incidents addresses specific incident reporting requirements within an organization and the formal incident reporting requirements for the organization. Suspected security incidents may also be reported and include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t>
  </si>
  <si>
    <t>Organizations test incident response capabilities to determine the effectiveness of the capabilities and to identify potential weaknesses or deficiencies. Incident response testing includes the use of checklists, walk-through or tabletop exercises, simulations (both parallel and full interrupt), and comprehensive exercises. Incident response testing can also include a determination of the effects on organizational operations (e.g., reduction in mission capabilities), organizational assets, and individuals due to incident response.</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</si>
  <si>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t>
  </si>
  <si>
    <t>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</si>
  <si>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This requirement addresses the information security aspects of system maintenance that are performed off-site and applies to all types of maintenance to any system component (including applications) conducted by a local or nonlocal entity (e.g., in-contract, warranty, in- house, software maintenance agreement).</t>
  </si>
  <si>
    <t>If, upon inspection of media containing maintenance diagnostic and test programs, organizations determine that the media contain malicious code, the incident is handled consistent with incident handling policies and procedures.</t>
  </si>
  <si>
    <t>Nonlocal maintenance and diagnostic activities are those activities conducted by individuals communicating through an external network. The authentication techniques employed in the establishment of these nonlocal maintenance and diagnostic sessions reflect the network access requirements in 3.5.3.</t>
  </si>
  <si>
    <t>This requirement applies to individuals who are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</si>
  <si>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System media includes digital and non-digital media. Digital media includes diskettes, magnetic tapes, external and removable hard disk drives, flash drives, compact disks, and digital video disks. Non-digital media includes paper and microfilm. Protecting digital media includes limiting access to design specifications stored on compact disks or flash drives in the media library to the project leader and any individuals on the development team. Physically controlling system media includes conducting inventories, maintaining accountability for stored media, and ensuring procedures are in place to allow individuals to check out and return media to the media library. Secure storage includes a locked drawer, desk, or cabinet, or a controlled media library.
Access to CUI on system media can be limited by physically controlling such media, which includes conducting inventories, ensuring procedures are in place to allow individuals to check out and return media to the media library, and maintaining accountability for all stored media.</t>
  </si>
  <si>
    <t>Access can be limited by physically controlling system media and secure storage areas. Physically controlling system media includes conducting inventories, ensuring procedures are in place to allow individuals to check out and return system media to the media library, and maintaining accountability for all stored media. Secure storage includes a locked drawer, desk, or cabinet, or a controlled media library.</t>
  </si>
  <si>
    <t>This requirement applies to all system media, digital and non-digital, subject to disposal or reuse. Examples include: digital media found in workstations, network components, scanners, copiers, printers, notebook computers,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
Organizations determine the appropriate sanitization methods, recognizing that destruction may be necessary when other methods cannot be applied to the media requiring sanitization. Organizations use discretion on the employment of sanitization techniques and procedures for media containing information that is in the public domain or publicly releasable or deemed to have no adverse impact on organizations or individuals if released for reuse or disposal. Sanitization of non-digital media includes destruction, removing CUI from documents, or redacting selected sections or words from a document by obscuring the redacted sections or words in a manner equivalent in effectiveness to removing the words or sections from the document. NARA policy and guidance control sanitization processes for controlled unclassified information.</t>
  </si>
  <si>
    <t>The term security marking refers to the application or use of human-readable security attributes. System media includes digital and non-digital media. Marking of system media reflects applicable federal laws, Executive Orders, directives, policies, and regulations</t>
  </si>
  <si>
    <t>Controlled areas are areas or spaces for which organizations provide physical or procedural controls to meet the requirements established for protecting systems and information. Controls to maintain accountability for media during transport include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external to the organization. Maintaining accountability of media during transport includes restricting transport activities to authorized personnel and tracking and obtaining explicit records of transport activities as the media moves through the transportation system to prevent and detect loss, destruction, or tampering.</t>
  </si>
  <si>
    <t>This requirement applies to portable storage devices (e.g., USB memory sticks, digital video disks, compact disks, external or removable hard disk drives).</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</si>
  <si>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controls (e.g., policies, procedures, and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control the use of portable storage devices based on the type of device, prohibiting the use of writeable, portable devices, and implementing this restriction by disabling or removing the capability to write to such devices.</t>
  </si>
  <si>
    <t>Requiring identifiable owners (e.g., individuals, organizations, or projects) for portable storage devices reduces the overall risk of using such technologies by allowing organizations to assign responsibility and accountability for addressing known vulnerabilities in the devices (e.g., insertion of malicious code).</t>
  </si>
  <si>
    <t>Organizations can employ cryptographic mechanisms or alternative physical controls to protect the confidentiality of backup information at designated storage locations. Backed-up information containing CUI may include system-level information and user-level information. System-level information includes system-state information, operating system software, application software, and licenses. User-level information includes information other than system-level information.</t>
  </si>
  <si>
    <t>Personnel security screening (vetting) activities involve the evaluation/assessment of individual’s conduct, integrity, judgment, loyalty, reliability, and stability (i.e., the trustworthiness of the individual) prior to authorizing access to organizational systems containing CUI. The screening activities reflect applicable federal laws, Executive Orders, directives, policies, regulations, and specific criteria established for the level of access required for assigned positions.</t>
  </si>
  <si>
    <t>Protecting CUI during and after personnel actions may include returning system-related property and conducting exit interviews. System-related property includes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
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returning old and issuing new keys, identification cards, and building passes; changing system access authorizations (i.e., privileges); closing system accounts and establishing new accounts; and providing for access to official records to which individuals had access at previous work locations and in previous system accounts.</t>
  </si>
  <si>
    <t>This requirement applies to employees, individuals with permanent physical access authorization credentials, and visitors. Authorized individuals have credentials that include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
Limiting physical access to equipment may include placing equipment in locked rooms or other secured areas and allowing access to authorized individuals only; and placing equipment in locations that can be monitored by organizational personnel. Computing devices, external disk drives, networking devices, monitors, printers, copiers, scanners, facsimile machines, and audio devices are examples of equipment.</t>
  </si>
  <si>
    <t>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controls applied to the support infrastructure prevent accidental damage, disruption, and physical tampering. Such controls may also be necessary to prevent eavesdropping or modification of unencrypted transmissions. Physical access controls to support infrastructure include locked wiring closets; disconnected or locked spare jacks; protection of cabling by conduit or cable trays; and wiretapping sensors.</t>
  </si>
  <si>
    <t>Individuals with permanent physical access authorization credentials are not considered visitors. Audit logs can be used to monitor visitor activity.</t>
  </si>
  <si>
    <t>Organizations have flexibility in the types of audit logs employed. Audit logs can be procedural (e.g., a written log of individuals accessing the facility), automated (e.g., capturing ID provided by a PIV card), or some combination thereof. Physical access points can include facility access points, interior access points to systems or system components requiring supplemental access controls, or both. System components (e.g., workstations, notebook computers) may be in areas designated as publicly accessible with organizations safeguarding access to such devices.</t>
  </si>
  <si>
    <t>Physical access devices include keys, locks, combinations, and card readers.</t>
  </si>
  <si>
    <t>Alternate work sites may include government facilities or the private residences of employees. Organizations may define different security requirements for specific alternate work sites or types of sites depending on the work-related activities conducted at those sites.</t>
  </si>
  <si>
    <t>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t>
  </si>
  <si>
    <t>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scanning for patch levels; scanning for functions, ports, protocols, and services that should not be accessible to users or devices; and scanning for improperly configured or incorrectly operating information flow control mechanisms.</t>
  </si>
  <si>
    <t>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</si>
  <si>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</si>
  <si>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effective and timely risk management decisions.
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t>
  </si>
  <si>
    <t>System security plans relate security requirements to a set of security controls. System security plans also describe, at a high level, how the security controls meet those security requirements, but do not provide detailed, technical descriptions of the design or implementation of the controls. System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t>
  </si>
  <si>
    <t>Communications can be monitored, controlled, and protected at boundary components and by restricting or prohibiting interfaces in organizational systems. Boundary components include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restricting external web communications traffic to designated web servers within managed interfaces and prohibiting external traffic that appears to be spoofing internal addresses.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</si>
  <si>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t>
  </si>
  <si>
    <t>System management functionality includes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web administrative interfaces that use separate authentication methods for users of any other system resources. Separation of system and user functionality may include isolating administrative interfaces on different domains and with additional access controls.</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</si>
  <si>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</si>
  <si>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Subnetworks that are physically or logically separated from internal networks are referred to as demilitarized zones (DMZs). DMZs are typically implemented with boundary control devices and techniques that include routers, gateways, firewalls, virtualization, or cloud-based technologies.</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</si>
  <si>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t>
  </si>
  <si>
    <t>Split tunneling might be desirable by remote users to communicate with local system resources such as printers or file servers. However, split tunneling allows unauthorized external connections, making the system more vulnerable to attack and to exfiltration of organizational information. This requirement is implemented in remote devices (e.g., notebook computers, smart phones, and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t>
  </si>
  <si>
    <t>This requirement applies to internal and external networks. Terminating network connections associated with communications sessions include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time periods by type of network access or for specific network accesses.</t>
  </si>
  <si>
    <t>Cryptographic key management and establishment can be performed using manual procedures or mechanisms supported by manual procedures. Organizations define key management requirements in accordance with applicable federal laws, Executive Orders, policies, directives, regulations, and standards specifying appropriate options, levels, and parameters.</t>
  </si>
  <si>
    <t>Cryptography can be employed to support many security solutions including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Cryptographic standards include FIPS-validated cryptography and/or NSA-approved cryptography.</t>
  </si>
  <si>
    <t>Collaborative computing devices include networked white boards, cameras, and microphones. Indication of use includes signals to users when collaborative computing devices are activated. Dedicated video conferencing systems, which rely on one of the participants calling or connecting to the other party to activate the video conference, are excluded.</t>
  </si>
  <si>
    <t>Mobile code technologies include Java, JavaScript, ActiveX, Postscript, PDF,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requiring mobile code to be digitally signed by a trusted source.</t>
  </si>
  <si>
    <t>VoIP has different requirements, features, functionality, availability, and service limitations when compared with the Plain Old Telephone Service (POTS) (i.e., the standard telephone service).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t>
  </si>
  <si>
    <t>Authenticity protection includes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t>
  </si>
  <si>
    <t>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use other controls including secure off-line storage in lieu of online storage when adequate protection of information at rest cannot otherwise be achieved or continuous monitoring to identify malicious code at rest.</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</si>
  <si>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patches, service packs, hot fixes, and anti-virus signatures. Organizations address flaws discovered during security assessments, continuous monitoring, incident response activities, and system error handling. Organizations can take advantage of available resources such as the Common Weakness Enumeration (CWE) database or Common Vulnerabilities and Exposures (CVE) database in remediating flaws discovered in organizational systems.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 of remediation.</t>
  </si>
  <si>
    <t>Designated locations include system entry and exit points which may include firewalls, remote-access servers, workstations, electronic mail servers, web servers, proxy servers, notebook computers, and mobile devices. Malicious code includes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t>
  </si>
  <si>
    <t>There are many publicly available sources of system security alerts and advisories. For example, the Department of Homeland Security’s Cybersecurity and Infrastructure Security Agency (CISA) generates security alerts and advisories to maintain situational awareness across the federal government and in nonfederal organizations. Software vendors, subscription services, and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t>
  </si>
  <si>
    <t>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</si>
  <si>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</si>
  <si>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
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t>
  </si>
  <si>
    <t>System monitoring includes external and internal monitoring. System monitoring can detect unauthorized use of organizational systems. System monitoring is an integral part of continuous monitoring and incident response programs. Monitoring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
Unusual/unauthorized activities or conditions related to inbound and 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t>
  </si>
  <si>
    <t xml:space="preserve">Cryptographic standards include FIPS-validated cryptography and NSA-approved cryptography. </t>
  </si>
  <si>
    <t>Organizations authenticate individuals and devices to help protect wireless access to the system. Special attention is given to the wide variety of devices that are part of the Internet of Things with potential wireless access to organizational systems.</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</si>
  <si>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device identification and authentication; configuration management;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controls for mobile devices are reflected in other CUI security requirements.</t>
  </si>
  <si>
    <t>Organizations can employ full-device encryption or container-based encryption to protect the confidentiality of CUI on mobile devices and computing platforms. Container-based encryption provides a more fine-grained approach to the encryption of data and information including encrypting selected data structures such as files, records, or fields.</t>
  </si>
  <si>
    <t>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systems integrators, system/network administrators, personnel conducting configuration management and auditing activities, personnel performing independent verification and validation, security assessors, and other personnel having access to system-level software, security-related technical training specifically tailored for their assigned duties.
Comprehensive role-based training addresses management, operational, and technical roles and responsibilities covering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t>
  </si>
  <si>
    <t>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</si>
  <si>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t>
  </si>
  <si>
    <t xml:space="preserve">This requirement applies to internal and external networks and any system components that can transmit information including servers, notebook computers, desktop computers, mobile devices, printers, copiers, scanners, and facsimile machines. Communication paths outside the physical protection of controlled boundaries are susceptible to both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the controls for transmission confidentiality. In such situations, organizations determine what types of confidentiality services are available in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 </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</si>
  <si>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t>
  </si>
  <si>
    <t>Section Score</t>
  </si>
  <si>
    <t>POAM ID</t>
  </si>
  <si>
    <t>Creation Date</t>
  </si>
  <si>
    <t>Weakness Name</t>
  </si>
  <si>
    <t>Weakness Description</t>
  </si>
  <si>
    <t>Point of Contact</t>
  </si>
  <si>
    <t>Scheduled Completion Date</t>
  </si>
  <si>
    <t>Milestones</t>
  </si>
  <si>
    <t>Changes to Milestones</t>
  </si>
  <si>
    <t>Source of Weakness</t>
  </si>
  <si>
    <t>Actual Completion Date</t>
  </si>
  <si>
    <t>Comments</t>
  </si>
  <si>
    <r>
      <t xml:space="preserve">Question </t>
    </r>
    <r>
      <rPr>
        <b/>
        <sz val="12"/>
        <color rgb="FFFF0000"/>
        <rFont val="Calibri"/>
        <family val="2"/>
        <scheme val="minor"/>
      </rPr>
      <t>Not</t>
    </r>
    <r>
      <rPr>
        <b/>
        <sz val="12"/>
        <color theme="1"/>
        <rFont val="Calibri"/>
        <family val="2"/>
        <scheme val="minor"/>
      </rPr>
      <t xml:space="preserve"> Answered</t>
    </r>
  </si>
  <si>
    <t>1. The tasks needed to correct the deficiency</t>
  </si>
  <si>
    <t>2. The resources required to make the plan work</t>
  </si>
  <si>
    <t>3. Milestones in completing the tasks</t>
  </si>
  <si>
    <t>4. Scheduled completion dates for the milestones</t>
  </si>
  <si>
    <t>No. of questions to answer</t>
  </si>
  <si>
    <t>Plan of Action and Milestones (POAM) (refer 'Master POAMs List' for detailed information)</t>
  </si>
  <si>
    <t>*SPRS Score</t>
  </si>
  <si>
    <t>Encrypt CUI on mobile devices and mobile computing platforms.</t>
  </si>
  <si>
    <t>This is the final score to post into SPRS</t>
  </si>
  <si>
    <t>How to use the Gap Analysis:</t>
  </si>
  <si>
    <t>1. Go through each spreadsheet and address the standards.</t>
  </si>
  <si>
    <t>3. To answer standards, click column C cells and then the drop down arrow.  Choose the answer and the sheet will automatically calculate the score.</t>
  </si>
  <si>
    <t>4. After finishing the spreadsheets, check 'Completion of the Questionnaire' tab to see if you answered all the standards.</t>
  </si>
  <si>
    <t>A POAM is a plan that describes specific measures to be taken to correct deficiencies found during a self-assessment.</t>
  </si>
  <si>
    <t>The POAM Sheet is a template that you may change based on your needs.</t>
  </si>
  <si>
    <t>Please Refer to 'NIST SP 800-171 DoD Assessment Methodology, Version 1.2.1' Page 12 for Scoring Information.</t>
  </si>
  <si>
    <t>The Score of each individual Control Family which is then added to the 110 base score.</t>
  </si>
  <si>
    <t>Severity Level                                        (Low, Moderate, High)</t>
  </si>
  <si>
    <t>2.If you do not understand the standard, please click the standard ID number to navigate to the reference page. Click the ID number again, to return to the assessment.</t>
  </si>
  <si>
    <t>What should a POAM identify?</t>
  </si>
  <si>
    <t>What is a POAM?</t>
  </si>
  <si>
    <t>5. If you answered all the standards, go to the 'Summary' page to check the score for each control family as well as the SPRS score.</t>
  </si>
  <si>
    <t>Tale questionario assegnerà un punteggio alle risposte di autovalutazione, in base alla metodologia di valutazione "DoD NIST SP 800-171, versione 1.2.1", e visualizzerà il "Supplier Performance Risk System (SPRS) score" nel foglio denominato "Summary". Il punteggio più alto che si potrà ricevere (sicurezza massima) è pari a 110. Tale punteggio è anche detto "punteggio base". Per ciascun controllo di sicurezza non implementato o non applicabile verranno sottratti dei punti da questo punteggio base. È possibile avere un "SPRS score" negativo, con valore più basso pari a -178 (sicurezza minima).</t>
  </si>
  <si>
    <t>La metodologia utilizzata per calcolare il punteggio è la seguente e si basa sui controlli di sicurezza verificati da ciascuna domanda:
1. Se il controllo di sicurezza è "Implemented" il punteggio assegnato (sottratto dal "punteggio base") è 0
2. Se il controllo di sicurezza è "Planned to be Implemented", il valore sottratto dal "punteggio base" dipenderà dalla tabella della metodologia che inizia a pagina 12 del "NIST SP 800-171 DoD Assessment Methodology, Version 1.2.1". Ad esempio, la domanda 3.1.1 ha un valore di 5. Quindi, il punteggio sarà -5 se tale controllo è "Planned to be Implemented".
3. Se lo standard è "Not Applicable", il valore sottratto del punteggio si baserà sulla tabella della metodologia, salvo diversa indicazione. Ad esempio, per quanto riguarda la domanda 3.1.12, se non si consente l'accesso remoto, il punteggio è 0. Se invece l'accesso remoto è consentito, il punteggio sarà -5.
4. In generale, fare riferimento a 'NIST SP 800-171 DoD Assessment Methodology, Version 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</si>
</sst>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1"/>
      <color theme="1"/>
      <name val="Calibri"/>
      <family val="2"/>
      <scheme val="minor"/>
    </font>
    <font>
      <sz val="8"/>
      <name val="Calibri"/>
      <family val="2"/>
      <scheme val="minor"/>
    </font>
    <font>
      <b/>
      <sz val="14"/>
      <color theme="1"/>
      <name val="Calibri"/>
      <family val="2"/>
      <scheme val="minor"/>
    </font>
    <font>
      <b/>
      <sz val="14"/>
      <color indexed="8"/>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b/>
      <sz val="11"/>
      <color theme="1"/>
      <name val="Calibri"/>
      <family val="2"/>
      <scheme val="minor"/>
    </font>
    <font>
      <b/>
      <sz val="11"/>
      <color rgb="FFFF0000"/>
      <name val="Calibri"/>
      <family val="2"/>
      <scheme val="minor"/>
    </font>
    <font>
      <sz val="12"/>
      <color rgb="FFFF0000"/>
      <name val="Calibri"/>
      <family val="2"/>
      <scheme val="minor"/>
    </font>
    <font>
      <b/>
      <sz val="12"/>
      <color rgb="FFFF0000"/>
      <name val="Calibri"/>
      <family val="2"/>
      <scheme val="minor"/>
    </font>
    <font>
      <b/>
      <sz val="12"/>
      <name val="Calibri"/>
      <family val="2"/>
      <scheme val="minor"/>
    </font>
    <font>
      <sz val="12"/>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0" fontId="8" fillId="0" borderId="0" applyNumberFormat="0" applyFill="0" applyBorder="0" applyAlignment="0" applyProtection="0"/>
  </cellStyleXfs>
  <cellXfs count="5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6" fillId="0" borderId="0" xfId="0" applyFont="1"/>
    <xf numFmtId="0" fontId="6" fillId="0" borderId="0" xfId="0" applyFont="1" applyAlignment="1">
      <alignment horizontal="center"/>
    </xf>
    <xf numFmtId="0" fontId="6" fillId="0" borderId="0" xfId="0" applyFont="1" applyAlignment="1">
      <alignment horizontal="center" vertical="center"/>
    </xf>
    <xf numFmtId="2" fontId="6" fillId="0" borderId="0" xfId="0" applyNumberFormat="1" applyFont="1" applyAlignment="1">
      <alignment horizontal="center" vertical="center"/>
    </xf>
    <xf numFmtId="0" fontId="6" fillId="0" borderId="0" xfId="1" applyNumberFormat="1" applyFont="1" applyFill="1" applyBorder="1" applyAlignment="1">
      <alignment horizontal="center"/>
    </xf>
    <xf numFmtId="0" fontId="7" fillId="0" borderId="0" xfId="0" applyFont="1" applyAlignment="1">
      <alignment horizontal="center"/>
    </xf>
    <xf numFmtId="0" fontId="7" fillId="0" borderId="0" xfId="1" applyNumberFormat="1" applyFont="1" applyFill="1" applyBorder="1" applyAlignment="1">
      <alignment horizontal="center"/>
    </xf>
    <xf numFmtId="0" fontId="8" fillId="0" borderId="0" xfId="2" applyFill="1" applyAlignment="1">
      <alignment horizontal="center" vertical="center"/>
    </xf>
    <xf numFmtId="0" fontId="0" fillId="0" borderId="0" xfId="0" applyAlignment="1">
      <alignment horizontal="left" wrapText="1"/>
    </xf>
    <xf numFmtId="0" fontId="6" fillId="0" borderId="1" xfId="0" applyFont="1" applyBorder="1" applyAlignment="1">
      <alignment horizontal="center" vertical="center"/>
    </xf>
    <xf numFmtId="0" fontId="6" fillId="0" borderId="1" xfId="0" applyFont="1" applyBorder="1" applyAlignment="1">
      <alignment horizontal="center"/>
    </xf>
    <xf numFmtId="0" fontId="6" fillId="0" borderId="1" xfId="1" applyNumberFormat="1" applyFont="1" applyFill="1" applyBorder="1" applyAlignment="1">
      <alignment horizontal="center"/>
    </xf>
    <xf numFmtId="0" fontId="7"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center" wrapText="1"/>
    </xf>
    <xf numFmtId="0" fontId="5" fillId="0" borderId="0" xfId="0" applyFont="1" applyAlignment="1">
      <alignment horizontal="center"/>
    </xf>
    <xf numFmtId="0" fontId="4" fillId="0" borderId="0" xfId="0" applyFont="1" applyAlignment="1">
      <alignment horizontal="center"/>
    </xf>
    <xf numFmtId="2" fontId="0" fillId="0" borderId="0" xfId="1" applyNumberFormat="1" applyFont="1" applyFill="1" applyAlignment="1">
      <alignment horizontal="center"/>
    </xf>
    <xf numFmtId="0" fontId="0" fillId="0" borderId="0" xfId="0" applyAlignment="1">
      <alignment vertical="center"/>
    </xf>
    <xf numFmtId="0" fontId="4" fillId="0" borderId="0" xfId="0" quotePrefix="1" applyFont="1" applyAlignment="1">
      <alignment horizontal="center" vertical="center"/>
    </xf>
    <xf numFmtId="0" fontId="4" fillId="0" borderId="0" xfId="0" applyFont="1" applyAlignment="1">
      <alignment vertical="center"/>
    </xf>
    <xf numFmtId="0" fontId="4" fillId="0" borderId="0" xfId="0" applyFont="1"/>
    <xf numFmtId="0" fontId="4" fillId="0" borderId="0" xfId="0" applyFont="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horizontal="center" wrapText="1"/>
    </xf>
    <xf numFmtId="0" fontId="8" fillId="0" borderId="2" xfId="2" applyBorder="1" applyAlignment="1">
      <alignment horizontal="center" vertical="center"/>
    </xf>
    <xf numFmtId="0" fontId="0" fillId="0" borderId="2" xfId="0" applyBorder="1" applyAlignment="1">
      <alignment wrapText="1"/>
    </xf>
    <xf numFmtId="0" fontId="7" fillId="0" borderId="0" xfId="0" applyFont="1" applyAlignment="1">
      <alignment horizontal="center" vertical="center" wrapText="1"/>
    </xf>
    <xf numFmtId="0" fontId="0" fillId="0" borderId="0" xfId="0" applyAlignment="1">
      <alignment horizontal="left"/>
    </xf>
    <xf numFmtId="0" fontId="13" fillId="0" borderId="2" xfId="0" applyFont="1" applyBorder="1" applyAlignment="1">
      <alignment horizontal="center"/>
    </xf>
    <xf numFmtId="0" fontId="14" fillId="0" borderId="2" xfId="0" applyFont="1" applyBorder="1" applyAlignment="1">
      <alignment horizontal="center" vertical="center"/>
    </xf>
    <xf numFmtId="0" fontId="14" fillId="0" borderId="2" xfId="0" applyFont="1" applyBorder="1" applyAlignment="1">
      <alignment horizontal="center"/>
    </xf>
    <xf numFmtId="2" fontId="14" fillId="0" borderId="2" xfId="0" applyNumberFormat="1" applyFont="1" applyBorder="1" applyAlignment="1">
      <alignment horizontal="center" vertical="center"/>
    </xf>
    <xf numFmtId="0" fontId="11" fillId="0" borderId="0" xfId="0" applyFont="1" applyAlignment="1">
      <alignment wrapText="1"/>
    </xf>
    <xf numFmtId="0" fontId="6" fillId="0" borderId="0" xfId="0" applyFont="1" applyAlignment="1">
      <alignment wrapText="1"/>
    </xf>
    <xf numFmtId="0" fontId="0" fillId="0" borderId="2" xfId="0" applyBorder="1" applyAlignment="1">
      <alignment horizontal="center"/>
    </xf>
    <xf numFmtId="0" fontId="6" fillId="0" borderId="2" xfId="0" applyFont="1" applyBorder="1" applyAlignment="1">
      <alignment horizontal="left" wrapText="1"/>
    </xf>
    <xf numFmtId="0" fontId="7" fillId="0" borderId="2" xfId="0" applyFont="1" applyBorder="1" applyAlignment="1">
      <alignment horizontal="left" wrapText="1"/>
    </xf>
    <xf numFmtId="0" fontId="0" fillId="0" borderId="0" xfId="0" applyAlignment="1">
      <alignment horizontal="center" wrapText="1"/>
    </xf>
    <xf numFmtId="0" fontId="10" fillId="0" borderId="0" xfId="0" applyFont="1" applyAlignment="1">
      <alignment horizontal="left" wrapText="1"/>
    </xf>
    <xf numFmtId="0" fontId="0" fillId="0" borderId="2" xfId="0" applyBorder="1" applyAlignment="1">
      <alignment horizontal="left" wrapText="1"/>
    </xf>
    <xf numFmtId="0" fontId="0" fillId="0" borderId="0" xfId="0" applyAlignment="1">
      <alignment horizontal="left" wrapText="1"/>
    </xf>
    <xf numFmtId="0" fontId="9" fillId="0" borderId="2" xfId="0" applyFont="1" applyBorder="1" applyAlignment="1">
      <alignment horizontal="left" wrapText="1"/>
    </xf>
    <xf numFmtId="0" fontId="6" fillId="0" borderId="0" xfId="0" applyFont="1" applyAlignment="1">
      <alignment horizontal="left" wrapText="1"/>
    </xf>
    <xf numFmtId="0" fontId="11" fillId="0" borderId="0" xfId="0" applyFont="1" applyAlignment="1">
      <alignment horizontal="left" wrapText="1"/>
    </xf>
    <xf numFmtId="0" fontId="6" fillId="0" borderId="0" xfId="0" applyFont="1" applyAlignment="1">
      <alignment horizontal="left" vertical="center" wrapText="1"/>
    </xf>
    <xf numFmtId="0" fontId="1" fillId="0" borderId="0" xfId="0" applyFont="1" applyAlignment="1">
      <alignment horizontal="left" vertical="center" wrapText="1"/>
    </xf>
  </cellXfs>
  <cellStyles count="3">
    <cellStyle name="Collegamento ipertestuale" xfId="2" builtinId="8"/>
    <cellStyle name="Normale" xfId="0" builtinId="0"/>
    <cellStyle name="Percentual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5773</xdr:colOff>
      <xdr:row>1</xdr:row>
      <xdr:rowOff>0</xdr:rowOff>
    </xdr:from>
    <xdr:to>
      <xdr:col>3</xdr:col>
      <xdr:colOff>155864</xdr:colOff>
      <xdr:row>15</xdr:row>
      <xdr:rowOff>0</xdr:rowOff>
    </xdr:to>
    <xdr:sp macro="" textlink="">
      <xdr:nvSpPr>
        <xdr:cNvPr id="2" name="Right Brace 1">
          <a:extLst>
            <a:ext uri="{FF2B5EF4-FFF2-40B4-BE49-F238E27FC236}">
              <a16:creationId xmlns:a16="http://schemas.microsoft.com/office/drawing/2014/main" id="{6FF84805-AD10-4D23-86E4-1C41EDA9C0FC}"/>
            </a:ext>
          </a:extLst>
        </xdr:cNvPr>
        <xdr:cNvSpPr/>
      </xdr:nvSpPr>
      <xdr:spPr>
        <a:xfrm>
          <a:off x="4231409" y="196273"/>
          <a:ext cx="150091" cy="2753591"/>
        </a:xfrm>
        <a:prstGeom prst="rightBrace">
          <a:avLst>
            <a:gd name="adj1" fmla="val 177564"/>
            <a:gd name="adj2" fmla="val 50000"/>
          </a:avLst>
        </a:prstGeom>
        <a:ln w="1905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34637</xdr:colOff>
      <xdr:row>15</xdr:row>
      <xdr:rowOff>28863</xdr:rowOff>
    </xdr:from>
    <xdr:to>
      <xdr:col>3</xdr:col>
      <xdr:colOff>305955</xdr:colOff>
      <xdr:row>15</xdr:row>
      <xdr:rowOff>173181</xdr:rowOff>
    </xdr:to>
    <xdr:sp macro="" textlink="">
      <xdr:nvSpPr>
        <xdr:cNvPr id="5" name="Arrow: Right 4">
          <a:extLst>
            <a:ext uri="{FF2B5EF4-FFF2-40B4-BE49-F238E27FC236}">
              <a16:creationId xmlns:a16="http://schemas.microsoft.com/office/drawing/2014/main" id="{117F8731-2061-4506-A6BA-D4EE569C742B}"/>
            </a:ext>
          </a:extLst>
        </xdr:cNvPr>
        <xdr:cNvSpPr/>
      </xdr:nvSpPr>
      <xdr:spPr>
        <a:xfrm>
          <a:off x="4260273" y="2978727"/>
          <a:ext cx="271318" cy="14431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31"/>
  <sheetViews>
    <sheetView zoomScaleNormal="100" workbookViewId="0">
      <selection activeCell="C13" sqref="C13"/>
    </sheetView>
  </sheetViews>
  <sheetFormatPr baseColWidth="10" defaultColWidth="8.83203125" defaultRowHeight="15" x14ac:dyDescent="0.2"/>
  <cols>
    <col min="1" max="1" width="17.1640625" style="1" customWidth="1"/>
    <col min="2" max="2" width="49.5" customWidth="1"/>
    <col min="3" max="3" width="51.6640625" customWidth="1"/>
  </cols>
  <sheetData>
    <row r="1" spans="1:3" ht="15.5" customHeight="1" x14ac:dyDescent="0.2">
      <c r="A1" s="41" t="s">
        <v>388</v>
      </c>
      <c r="B1" s="41"/>
      <c r="C1" s="41"/>
    </row>
    <row r="2" spans="1:3" ht="15.5" customHeight="1" x14ac:dyDescent="0.2">
      <c r="A2" s="40" t="s">
        <v>389</v>
      </c>
      <c r="B2" s="40"/>
      <c r="C2" s="40"/>
    </row>
    <row r="3" spans="1:3" ht="31.5" customHeight="1" x14ac:dyDescent="0.2">
      <c r="A3" s="40" t="s">
        <v>397</v>
      </c>
      <c r="B3" s="40"/>
      <c r="C3" s="40"/>
    </row>
    <row r="4" spans="1:3" ht="31" customHeight="1" x14ac:dyDescent="0.2">
      <c r="A4" s="40" t="s">
        <v>390</v>
      </c>
      <c r="B4" s="40"/>
      <c r="C4" s="40"/>
    </row>
    <row r="5" spans="1:3" ht="15.5" customHeight="1" x14ac:dyDescent="0.2">
      <c r="A5" s="40" t="s">
        <v>391</v>
      </c>
      <c r="B5" s="40"/>
      <c r="C5" s="40"/>
    </row>
    <row r="6" spans="1:3" ht="16" x14ac:dyDescent="0.2">
      <c r="A6" s="40" t="s">
        <v>400</v>
      </c>
      <c r="B6" s="40"/>
      <c r="C6" s="40"/>
    </row>
    <row r="7" spans="1:3" x14ac:dyDescent="0.2">
      <c r="A7" s="45"/>
      <c r="B7" s="45"/>
      <c r="C7" s="45"/>
    </row>
    <row r="8" spans="1:3" ht="16" x14ac:dyDescent="0.2">
      <c r="A8" s="41" t="s">
        <v>384</v>
      </c>
      <c r="B8" s="41"/>
      <c r="C8" s="41"/>
    </row>
    <row r="9" spans="1:3" x14ac:dyDescent="0.2">
      <c r="A9" s="46" t="s">
        <v>399</v>
      </c>
      <c r="B9" s="46"/>
      <c r="C9" s="46"/>
    </row>
    <row r="10" spans="1:3" ht="14.5" customHeight="1" x14ac:dyDescent="0.2">
      <c r="A10" s="44" t="s">
        <v>392</v>
      </c>
      <c r="B10" s="44"/>
      <c r="C10" s="44"/>
    </row>
    <row r="11" spans="1:3" x14ac:dyDescent="0.2">
      <c r="A11" s="46" t="s">
        <v>398</v>
      </c>
      <c r="B11" s="46"/>
      <c r="C11" s="46"/>
    </row>
    <row r="12" spans="1:3" ht="14.5" customHeight="1" x14ac:dyDescent="0.2">
      <c r="A12" s="44" t="s">
        <v>379</v>
      </c>
      <c r="B12" s="44"/>
      <c r="C12" s="30" t="s">
        <v>381</v>
      </c>
    </row>
    <row r="13" spans="1:3" ht="14.5" customHeight="1" x14ac:dyDescent="0.2">
      <c r="A13" s="44" t="s">
        <v>380</v>
      </c>
      <c r="B13" s="44"/>
      <c r="C13" s="30" t="s">
        <v>382</v>
      </c>
    </row>
    <row r="14" spans="1:3" ht="14.5" customHeight="1" x14ac:dyDescent="0.2">
      <c r="A14" s="42"/>
      <c r="B14" s="42"/>
      <c r="C14" s="42"/>
    </row>
    <row r="15" spans="1:3" x14ac:dyDescent="0.2">
      <c r="A15" s="43" t="s">
        <v>393</v>
      </c>
      <c r="B15" s="43"/>
      <c r="C15" s="43"/>
    </row>
    <row r="16" spans="1:3" x14ac:dyDescent="0.2">
      <c r="A16" s="12"/>
      <c r="B16" s="32"/>
      <c r="C16" s="32"/>
    </row>
    <row r="17" spans="1:3" ht="16" x14ac:dyDescent="0.2">
      <c r="A17" s="33" t="s">
        <v>241</v>
      </c>
      <c r="B17" s="33" t="s">
        <v>242</v>
      </c>
      <c r="C17" s="33" t="s">
        <v>383</v>
      </c>
    </row>
    <row r="18" spans="1:3" ht="16" x14ac:dyDescent="0.2">
      <c r="A18" s="34">
        <v>3.1</v>
      </c>
      <c r="B18" s="35" t="s">
        <v>3</v>
      </c>
      <c r="C18" s="39">
        <v>22</v>
      </c>
    </row>
    <row r="19" spans="1:3" ht="16" x14ac:dyDescent="0.2">
      <c r="A19" s="34">
        <v>3.2</v>
      </c>
      <c r="B19" s="35" t="s">
        <v>243</v>
      </c>
      <c r="C19" s="39">
        <v>3</v>
      </c>
    </row>
    <row r="20" spans="1:3" ht="16" x14ac:dyDescent="0.2">
      <c r="A20" s="34">
        <v>3.3</v>
      </c>
      <c r="B20" s="35" t="s">
        <v>244</v>
      </c>
      <c r="C20" s="39">
        <v>9</v>
      </c>
    </row>
    <row r="21" spans="1:3" ht="16" x14ac:dyDescent="0.2">
      <c r="A21" s="34">
        <v>3.4</v>
      </c>
      <c r="B21" s="35" t="s">
        <v>245</v>
      </c>
      <c r="C21" s="39">
        <v>9</v>
      </c>
    </row>
    <row r="22" spans="1:3" ht="16" x14ac:dyDescent="0.2">
      <c r="A22" s="34">
        <v>3.5</v>
      </c>
      <c r="B22" s="35" t="s">
        <v>246</v>
      </c>
      <c r="C22" s="39">
        <v>11</v>
      </c>
    </row>
    <row r="23" spans="1:3" ht="16" x14ac:dyDescent="0.2">
      <c r="A23" s="34">
        <v>3.6</v>
      </c>
      <c r="B23" s="35" t="s">
        <v>247</v>
      </c>
      <c r="C23" s="39">
        <v>3</v>
      </c>
    </row>
    <row r="24" spans="1:3" ht="16" x14ac:dyDescent="0.2">
      <c r="A24" s="34">
        <v>3.7</v>
      </c>
      <c r="B24" s="35" t="s">
        <v>86</v>
      </c>
      <c r="C24" s="39">
        <v>6</v>
      </c>
    </row>
    <row r="25" spans="1:3" ht="16" x14ac:dyDescent="0.2">
      <c r="A25" s="34">
        <v>3.8</v>
      </c>
      <c r="B25" s="35" t="s">
        <v>92</v>
      </c>
      <c r="C25" s="39">
        <v>9</v>
      </c>
    </row>
    <row r="26" spans="1:3" ht="16" x14ac:dyDescent="0.2">
      <c r="A26" s="34">
        <v>3.9</v>
      </c>
      <c r="B26" s="35" t="s">
        <v>248</v>
      </c>
      <c r="C26" s="39">
        <v>2</v>
      </c>
    </row>
    <row r="27" spans="1:3" ht="16" x14ac:dyDescent="0.2">
      <c r="A27" s="36">
        <v>3.1</v>
      </c>
      <c r="B27" s="35" t="s">
        <v>249</v>
      </c>
      <c r="C27" s="39">
        <v>6</v>
      </c>
    </row>
    <row r="28" spans="1:3" ht="16" x14ac:dyDescent="0.2">
      <c r="A28" s="36">
        <v>3.11</v>
      </c>
      <c r="B28" s="35" t="s">
        <v>113</v>
      </c>
      <c r="C28" s="39">
        <v>3</v>
      </c>
    </row>
    <row r="29" spans="1:3" ht="16" x14ac:dyDescent="0.2">
      <c r="A29" s="36">
        <v>3.12</v>
      </c>
      <c r="B29" s="35" t="s">
        <v>250</v>
      </c>
      <c r="C29" s="39">
        <v>4</v>
      </c>
    </row>
    <row r="30" spans="1:3" ht="16" x14ac:dyDescent="0.2">
      <c r="A30" s="34">
        <v>3.13</v>
      </c>
      <c r="B30" s="35" t="s">
        <v>251</v>
      </c>
      <c r="C30" s="39">
        <v>16</v>
      </c>
    </row>
    <row r="31" spans="1:3" ht="16" x14ac:dyDescent="0.2">
      <c r="A31" s="34">
        <v>3.14</v>
      </c>
      <c r="B31" s="35" t="s">
        <v>252</v>
      </c>
      <c r="C31" s="39">
        <v>7</v>
      </c>
    </row>
  </sheetData>
  <mergeCells count="15">
    <mergeCell ref="A6:C6"/>
    <mergeCell ref="A14:C14"/>
    <mergeCell ref="A15:C15"/>
    <mergeCell ref="A12:B12"/>
    <mergeCell ref="A13:B13"/>
    <mergeCell ref="A7:C7"/>
    <mergeCell ref="A8:C8"/>
    <mergeCell ref="A9:C9"/>
    <mergeCell ref="A10:C10"/>
    <mergeCell ref="A11:C11"/>
    <mergeCell ref="A3:C3"/>
    <mergeCell ref="A1:C1"/>
    <mergeCell ref="A2:C2"/>
    <mergeCell ref="A4:C4"/>
    <mergeCell ref="A5:C5"/>
  </mergeCells>
  <pageMargins left="0.7" right="0.7" top="0.75" bottom="0.75" header="0.3" footer="0.3"/>
  <pageSetup orientation="landscape" r:id="rId1"/>
  <headerFooter>
    <oddHeader>&amp;L&amp;D &amp;T&amp;C&amp;A</oddHead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41"/>
  <sheetViews>
    <sheetView zoomScaleNormal="100" workbookViewId="0">
      <selection activeCell="E11" sqref="E11"/>
    </sheetView>
  </sheetViews>
  <sheetFormatPr baseColWidth="10" defaultColWidth="8.6640625" defaultRowHeight="15" x14ac:dyDescent="0.2"/>
  <cols>
    <col min="1" max="1" width="10.83203125" style="3" customWidth="1"/>
    <col min="2" max="2" width="75.1640625" style="1" bestFit="1" customWidth="1"/>
    <col min="3" max="3" width="27.33203125" style="3" customWidth="1"/>
    <col min="4" max="4" width="6.83203125" style="2" hidden="1" customWidth="1"/>
    <col min="5" max="5" width="53.83203125" customWidth="1"/>
    <col min="6" max="6" width="15.33203125" style="2" hidden="1" customWidth="1"/>
  </cols>
  <sheetData>
    <row r="1" spans="1:6" s="20" customFormat="1" ht="20" x14ac:dyDescent="0.25">
      <c r="A1" s="17">
        <v>3.1</v>
      </c>
      <c r="B1" s="18" t="s">
        <v>3</v>
      </c>
      <c r="C1" s="17" t="s">
        <v>232</v>
      </c>
      <c r="D1" s="20" t="s">
        <v>236</v>
      </c>
      <c r="F1" s="19" t="s">
        <v>366</v>
      </c>
    </row>
    <row r="2" spans="1:6" ht="32" x14ac:dyDescent="0.2">
      <c r="A2" s="11" t="str">
        <f>HYPERLINK("#Reference!A2","3.1.1")</f>
        <v>3.1.1</v>
      </c>
      <c r="B2" s="1" t="s">
        <v>1</v>
      </c>
      <c r="D2" s="2">
        <f>IF(C2 = "Implemented", 0, IF(C2 = "Planned to be implemented", -5, -5))</f>
        <v>-5</v>
      </c>
      <c r="F2" s="21">
        <f>SUM(D2:D23)</f>
        <v>-29</v>
      </c>
    </row>
    <row r="3" spans="1:6" ht="32" x14ac:dyDescent="0.2">
      <c r="A3" s="11" t="str">
        <f>HYPERLINK("#Reference!$A3","3.1.2")</f>
        <v>3.1.2</v>
      </c>
      <c r="B3" s="1" t="s">
        <v>4</v>
      </c>
      <c r="D3" s="2">
        <f t="shared" ref="D3" si="0">IF(C3 = "Implemented", 0, IF(C3 = "Planned to be implemented", -5, -5))</f>
        <v>-5</v>
      </c>
    </row>
    <row r="4" spans="1:6" ht="16" x14ac:dyDescent="0.2">
      <c r="A4" s="11" t="str">
        <f>HYPERLINK("#Reference!A4","3.1.3")</f>
        <v>3.1.3</v>
      </c>
      <c r="B4" s="1" t="s">
        <v>5</v>
      </c>
      <c r="D4" s="2">
        <f>IF(C4 = "Implemented", 0, IF(C4 = "Planned to be implemented", -1, -1))</f>
        <v>-1</v>
      </c>
    </row>
    <row r="5" spans="1:6" ht="16" x14ac:dyDescent="0.2">
      <c r="A5" s="11" t="str">
        <f>HYPERLINK("#Reference!A5","3.1.4")</f>
        <v>3.1.4</v>
      </c>
      <c r="B5" s="1" t="s">
        <v>6</v>
      </c>
      <c r="D5" s="2">
        <f t="shared" ref="D5:D23" si="1">IF(C5 = "Implemented", 0, IF(C5 = "Planned to be implemented", -1, -1))</f>
        <v>-1</v>
      </c>
    </row>
    <row r="6" spans="1:6" ht="32" x14ac:dyDescent="0.2">
      <c r="A6" s="11" t="str">
        <f>HYPERLINK("#Reference!A6","3.1.5")</f>
        <v>3.1.5</v>
      </c>
      <c r="B6" s="1" t="s">
        <v>7</v>
      </c>
      <c r="D6" s="2">
        <f>IF(C6 = "Implemented", 0, IF(C6 = "Planned to be implemented", -3, -3))</f>
        <v>-3</v>
      </c>
    </row>
    <row r="7" spans="1:6" ht="16" x14ac:dyDescent="0.2">
      <c r="A7" s="11" t="str">
        <f>HYPERLINK("#Reference!A7","3.1.6")</f>
        <v>3.1.6</v>
      </c>
      <c r="B7" s="1" t="s">
        <v>8</v>
      </c>
      <c r="D7" s="2">
        <f t="shared" si="1"/>
        <v>-1</v>
      </c>
    </row>
    <row r="8" spans="1:6" ht="32" x14ac:dyDescent="0.2">
      <c r="A8" s="11" t="str">
        <f>HYPERLINK("#Reference!A8","3.1.7")</f>
        <v>3.1.7</v>
      </c>
      <c r="B8" s="1" t="s">
        <v>9</v>
      </c>
      <c r="D8" s="2">
        <f t="shared" si="1"/>
        <v>-1</v>
      </c>
    </row>
    <row r="9" spans="1:6" ht="16" x14ac:dyDescent="0.2">
      <c r="A9" s="11" t="str">
        <f>HYPERLINK("#Reference!A9","3.1.8")</f>
        <v>3.1.8</v>
      </c>
      <c r="B9" s="1" t="s">
        <v>10</v>
      </c>
      <c r="D9" s="2">
        <f t="shared" si="1"/>
        <v>-1</v>
      </c>
    </row>
    <row r="10" spans="1:6" ht="16" x14ac:dyDescent="0.2">
      <c r="A10" s="11" t="str">
        <f>HYPERLINK("#Reference!A10","3.1.9")</f>
        <v>3.1.9</v>
      </c>
      <c r="B10" s="1" t="s">
        <v>11</v>
      </c>
      <c r="D10" s="2">
        <f t="shared" si="1"/>
        <v>-1</v>
      </c>
    </row>
    <row r="11" spans="1:6" ht="32" x14ac:dyDescent="0.2">
      <c r="A11" s="11" t="str">
        <f>HYPERLINK("#Reference!A11","3.1.10")</f>
        <v>3.1.10</v>
      </c>
      <c r="B11" s="1" t="s">
        <v>12</v>
      </c>
      <c r="D11" s="2">
        <f t="shared" si="1"/>
        <v>-1</v>
      </c>
    </row>
    <row r="12" spans="1:6" ht="16" x14ac:dyDescent="0.2">
      <c r="A12" s="11" t="str">
        <f>HYPERLINK("#Reference!A12","3.1.11")</f>
        <v>3.1.11</v>
      </c>
      <c r="B12" s="1" t="s">
        <v>13</v>
      </c>
      <c r="D12" s="2">
        <f t="shared" si="1"/>
        <v>-1</v>
      </c>
    </row>
    <row r="13" spans="1:6" ht="16" x14ac:dyDescent="0.2">
      <c r="A13" s="11" t="str">
        <f>HYPERLINK("#Reference!A13","3.1.12")</f>
        <v>3.1.12</v>
      </c>
      <c r="B13" s="1" t="s">
        <v>14</v>
      </c>
      <c r="D13" s="2">
        <f>IF(C13 = "Implemented", 0, IF(C13 = "Planned to be implemented", -5, 0))</f>
        <v>0</v>
      </c>
    </row>
    <row r="14" spans="1:6" ht="16" x14ac:dyDescent="0.2">
      <c r="A14" s="11" t="str">
        <f>HYPERLINK("#Reference!A14","3.1.13")</f>
        <v>3.1.13</v>
      </c>
      <c r="B14" s="1" t="s">
        <v>15</v>
      </c>
      <c r="D14" s="2">
        <f>IF(C14 = "Implemented", 0, IF(C14 = "Planned to be implemented", -5, 0))</f>
        <v>0</v>
      </c>
    </row>
    <row r="15" spans="1:6" ht="16" x14ac:dyDescent="0.2">
      <c r="A15" s="11" t="str">
        <f>HYPERLINK("#Reference!A15","3.1.14")</f>
        <v>3.1.14</v>
      </c>
      <c r="B15" s="1" t="s">
        <v>16</v>
      </c>
      <c r="D15" s="2">
        <f t="shared" si="1"/>
        <v>-1</v>
      </c>
    </row>
    <row r="16" spans="1:6" ht="32" x14ac:dyDescent="0.2">
      <c r="A16" s="11" t="str">
        <f>HYPERLINK("#Reference!A16","3.1.15")</f>
        <v>3.1.15</v>
      </c>
      <c r="B16" s="1" t="s">
        <v>29</v>
      </c>
      <c r="D16" s="2">
        <f t="shared" si="1"/>
        <v>-1</v>
      </c>
    </row>
    <row r="17" spans="1:6" ht="16" x14ac:dyDescent="0.2">
      <c r="A17" s="11" t="str">
        <f>HYPERLINK("#Reference!A17","3.1.16")</f>
        <v>3.1.16</v>
      </c>
      <c r="B17" s="1" t="s">
        <v>30</v>
      </c>
      <c r="D17" s="2">
        <f>IF(C17 = "Implemented", 0, IF(C17 = "Planned to be implemented", -5, 0))</f>
        <v>0</v>
      </c>
    </row>
    <row r="18" spans="1:6" ht="16" x14ac:dyDescent="0.2">
      <c r="A18" s="11" t="str">
        <f>HYPERLINK("#Reference!A18","3.1.17")</f>
        <v>3.1.17</v>
      </c>
      <c r="B18" s="1" t="s">
        <v>31</v>
      </c>
      <c r="D18" s="2">
        <f t="shared" ref="D18:D19" si="2">IF(C18 = "Implemented", 0, IF(C18 = "Planned to be implemented", -5, 0))</f>
        <v>0</v>
      </c>
    </row>
    <row r="19" spans="1:6" ht="16" x14ac:dyDescent="0.2">
      <c r="A19" s="11" t="str">
        <f>HYPERLINK("#Reference!A19","3.1.18")</f>
        <v>3.1.18</v>
      </c>
      <c r="B19" s="1" t="s">
        <v>32</v>
      </c>
      <c r="D19" s="2">
        <f t="shared" si="2"/>
        <v>0</v>
      </c>
    </row>
    <row r="20" spans="1:6" ht="16" x14ac:dyDescent="0.2">
      <c r="A20" s="11" t="str">
        <f>HYPERLINK("#Reference!A20","3.1.19")</f>
        <v>3.1.19</v>
      </c>
      <c r="B20" s="1" t="s">
        <v>386</v>
      </c>
      <c r="D20" s="2">
        <f>IF(C20 = "Implemented", 0, IF(C20 = "Planned to be implemented", -3, -3))</f>
        <v>-3</v>
      </c>
    </row>
    <row r="21" spans="1:6" ht="16" x14ac:dyDescent="0.2">
      <c r="A21" s="11" t="str">
        <f>HYPERLINK("#Reference!A21","3.1.20")</f>
        <v>3.1.20</v>
      </c>
      <c r="B21" s="1" t="s">
        <v>33</v>
      </c>
      <c r="D21" s="2">
        <f t="shared" si="1"/>
        <v>-1</v>
      </c>
    </row>
    <row r="22" spans="1:6" ht="16" x14ac:dyDescent="0.2">
      <c r="A22" s="11" t="str">
        <f>HYPERLINK("#Reference!A22","3.1.21")</f>
        <v>3.1.21</v>
      </c>
      <c r="B22" s="1" t="s">
        <v>34</v>
      </c>
      <c r="D22" s="2">
        <f t="shared" si="1"/>
        <v>-1</v>
      </c>
    </row>
    <row r="23" spans="1:6" ht="16" x14ac:dyDescent="0.2">
      <c r="A23" s="11" t="str">
        <f>HYPERLINK("#Reference!A23","3.1.22")</f>
        <v>3.1.22</v>
      </c>
      <c r="B23" s="1" t="s">
        <v>35</v>
      </c>
      <c r="D23" s="2">
        <f t="shared" si="1"/>
        <v>-1</v>
      </c>
    </row>
    <row r="24" spans="1:6" ht="19" x14ac:dyDescent="0.25">
      <c r="F24" s="20"/>
    </row>
    <row r="25" spans="1:6" s="25" customFormat="1" ht="19" x14ac:dyDescent="0.25">
      <c r="A25" s="24"/>
      <c r="C25" s="17"/>
      <c r="D25" s="20"/>
      <c r="E25"/>
      <c r="F25" s="20"/>
    </row>
    <row r="29" spans="1:6" ht="19" x14ac:dyDescent="0.25">
      <c r="F29" s="20"/>
    </row>
    <row r="30" spans="1:6" s="25" customFormat="1" ht="19" x14ac:dyDescent="0.25">
      <c r="A30" s="24"/>
      <c r="C30" s="17"/>
      <c r="D30" s="20"/>
      <c r="F30" s="2"/>
    </row>
    <row r="40" spans="1:6" ht="19" x14ac:dyDescent="0.25">
      <c r="F40" s="20"/>
    </row>
    <row r="41" spans="1:6" s="25" customFormat="1" ht="19" x14ac:dyDescent="0.25">
      <c r="A41" s="24"/>
      <c r="C41" s="17"/>
      <c r="D41" s="20"/>
      <c r="F41" s="2"/>
    </row>
  </sheetData>
  <protectedRanges>
    <protectedRange sqref="C2:C23" name="Range1"/>
  </protectedRanges>
  <phoneticPr fontId="3" type="noConversion"/>
  <dataValidations count="1">
    <dataValidation type="list" allowBlank="1" showInputMessage="1" showErrorMessage="1" sqref="C2:C45" xr:uid="{00000000-0002-0000-0200-000000000000}">
      <formula1>Options</formula1>
    </dataValidation>
  </dataValidations>
  <pageMargins left="0.7" right="0.7" top="0.75" bottom="0.75" header="0.3" footer="0.3"/>
  <pageSetup firstPageNumber="2" orientation="landscape" useFirstPageNumber="1" r:id="rId1"/>
  <headerFooter>
    <oddHeader>&amp;L&amp;D &amp;T&amp;C&amp;A</oddHeader>
    <oddFooter>&amp;R&amp;P</oddFooter>
  </headerFooter>
  <ignoredErrors>
    <ignoredError sqref="D4 D6"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4"/>
  <sheetViews>
    <sheetView zoomScaleNormal="100" workbookViewId="0">
      <selection activeCell="C2" sqref="C2"/>
    </sheetView>
  </sheetViews>
  <sheetFormatPr baseColWidth="10" defaultColWidth="8.6640625" defaultRowHeight="15" x14ac:dyDescent="0.2"/>
  <cols>
    <col min="1" max="1" width="10.83203125" style="22" customWidth="1"/>
    <col min="2" max="2" width="76.1640625" bestFit="1" customWidth="1"/>
    <col min="3" max="3" width="27.33203125" style="22" customWidth="1"/>
    <col min="4" max="4" width="6.83203125" style="2" hidden="1" customWidth="1"/>
    <col min="5" max="5" width="53.83203125" customWidth="1"/>
    <col min="6" max="6" width="14" style="2" hidden="1" customWidth="1"/>
  </cols>
  <sheetData>
    <row r="1" spans="1:6" ht="20" x14ac:dyDescent="0.25">
      <c r="A1" s="17">
        <v>3.2</v>
      </c>
      <c r="B1" s="18" t="s">
        <v>44</v>
      </c>
      <c r="C1" s="26" t="s">
        <v>232</v>
      </c>
      <c r="D1" s="20" t="s">
        <v>236</v>
      </c>
      <c r="E1" s="20"/>
      <c r="F1" s="19" t="s">
        <v>240</v>
      </c>
    </row>
    <row r="2" spans="1:6" ht="48" x14ac:dyDescent="0.2">
      <c r="A2" s="11" t="str">
        <f>HYPERLINK("#Reference!A24","3.2.1")</f>
        <v>3.2.1</v>
      </c>
      <c r="B2" s="1" t="s">
        <v>46</v>
      </c>
      <c r="D2" s="2">
        <f>IF(C2 = "Implemented", 0, IF(C2 = "Planned to be implemented", -5, -5))</f>
        <v>-5</v>
      </c>
      <c r="F2" s="21">
        <f>SUM(D2:D23)</f>
        <v>-11</v>
      </c>
    </row>
    <row r="3" spans="1:6" ht="32" x14ac:dyDescent="0.2">
      <c r="A3" s="11" t="str">
        <f>HYPERLINK("#Reference!A25","3.2.2")</f>
        <v>3.2.2</v>
      </c>
      <c r="B3" s="1" t="s">
        <v>47</v>
      </c>
      <c r="D3" s="2">
        <f t="shared" ref="D3" si="0">IF(C3 = "Implemented", 0, IF(C3 = "Planned to be implemented", -5, -5))</f>
        <v>-5</v>
      </c>
    </row>
    <row r="4" spans="1:6" ht="32" x14ac:dyDescent="0.2">
      <c r="A4" s="11" t="str">
        <f>HYPERLINK("#Reference!A26","3.2.3")</f>
        <v>3.2.3</v>
      </c>
      <c r="B4" s="1" t="s">
        <v>48</v>
      </c>
      <c r="D4" s="2">
        <f>IF(C4 = "Implemented", 0, IF(C4 = "Planned to be implemented", -1, -1))</f>
        <v>-1</v>
      </c>
    </row>
  </sheetData>
  <protectedRanges>
    <protectedRange sqref="C2:C4" name="Range1"/>
  </protectedRanges>
  <dataValidations count="1">
    <dataValidation type="list" allowBlank="1" showInputMessage="1" showErrorMessage="1" sqref="C2:C4" xr:uid="{00000000-0002-0000-0300-000000000000}">
      <formula1>Options</formula1>
    </dataValidation>
  </dataValidations>
  <pageMargins left="0.7" right="0.7" top="0.75" bottom="0.75" header="0.3" footer="0.3"/>
  <pageSetup firstPageNumber="3" orientation="landscape" useFirstPageNumber="1" r:id="rId1"/>
  <headerFooter>
    <oddHeader>&amp;L&amp;D &amp;T&amp;C&amp;A</oddHeader>
    <oddFooter>&amp;R&amp;P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10"/>
  <sheetViews>
    <sheetView zoomScaleNormal="100" workbookViewId="0">
      <selection activeCell="E2" sqref="E2"/>
    </sheetView>
  </sheetViews>
  <sheetFormatPr baseColWidth="10" defaultColWidth="8.6640625" defaultRowHeight="15" x14ac:dyDescent="0.2"/>
  <cols>
    <col min="1" max="1" width="10.83203125" style="22" customWidth="1"/>
    <col min="2" max="2" width="76.1640625" bestFit="1" customWidth="1"/>
    <col min="3" max="3" width="27.33203125" style="22" customWidth="1"/>
    <col min="4" max="4" width="6.83203125" style="2" hidden="1" customWidth="1"/>
    <col min="5" max="5" width="53.83203125" customWidth="1"/>
    <col min="6" max="6" width="14.1640625" style="2" hidden="1" customWidth="1"/>
  </cols>
  <sheetData>
    <row r="1" spans="1:6" ht="20" x14ac:dyDescent="0.25">
      <c r="A1" s="17">
        <v>3.3</v>
      </c>
      <c r="B1" s="18" t="s">
        <v>49</v>
      </c>
      <c r="C1" s="26" t="s">
        <v>232</v>
      </c>
      <c r="D1" s="19" t="s">
        <v>236</v>
      </c>
      <c r="E1" s="20"/>
      <c r="F1" s="19" t="s">
        <v>240</v>
      </c>
    </row>
    <row r="2" spans="1:6" ht="32" x14ac:dyDescent="0.2">
      <c r="A2" s="11" t="str">
        <f>HYPERLINK("#Reference!A27","3.3.1")</f>
        <v>3.3.1</v>
      </c>
      <c r="B2" s="1" t="s">
        <v>50</v>
      </c>
      <c r="D2" s="2">
        <f>IF(C2 = "Implemented", 0, IF(C2 = "Planned to be implemented", -5, -5))</f>
        <v>-5</v>
      </c>
      <c r="F2" s="21">
        <f>SUM(D2:D23)</f>
        <v>-19</v>
      </c>
    </row>
    <row r="3" spans="1:6" ht="32" x14ac:dyDescent="0.2">
      <c r="A3" s="11" t="str">
        <f>HYPERLINK("#Reference!A28","3.3.2")</f>
        <v>3.3.2</v>
      </c>
      <c r="B3" s="1" t="s">
        <v>51</v>
      </c>
      <c r="D3" s="2">
        <f>IF(C3 = "Implemented", 0, IF(C3 = "Planned to be implemented", -3, -3))</f>
        <v>-3</v>
      </c>
    </row>
    <row r="4" spans="1:6" ht="16" x14ac:dyDescent="0.2">
      <c r="A4" s="11" t="str">
        <f>HYPERLINK("#Reference!A29","3.3.3")</f>
        <v>3.3.3</v>
      </c>
      <c r="B4" s="1" t="s">
        <v>52</v>
      </c>
      <c r="D4" s="2">
        <f>IF(C4 = "Implemented", 0, IF(C4 = "Planned to be implemented", -1, -1))</f>
        <v>-1</v>
      </c>
    </row>
    <row r="5" spans="1:6" ht="16" x14ac:dyDescent="0.2">
      <c r="A5" s="11" t="str">
        <f>HYPERLINK("#Reference!A30","3.3.4")</f>
        <v>3.3.4</v>
      </c>
      <c r="B5" s="1" t="s">
        <v>53</v>
      </c>
      <c r="D5" s="2">
        <f>IF(C5 = "Implemented", 0, IF(C5 = "Planned to be implemented", -1, -1))</f>
        <v>-1</v>
      </c>
    </row>
    <row r="6" spans="1:6" ht="32" x14ac:dyDescent="0.2">
      <c r="A6" s="11" t="str">
        <f>HYPERLINK("#Reference!A31","3.3.5")</f>
        <v>3.3.5</v>
      </c>
      <c r="B6" s="1" t="s">
        <v>54</v>
      </c>
      <c r="D6" s="2">
        <f t="shared" ref="D6" si="0">IF(C6 = "Implemented", 0, IF(C6 = "Planned to be implemented", -5, -5))</f>
        <v>-5</v>
      </c>
    </row>
    <row r="7" spans="1:6" ht="32" x14ac:dyDescent="0.2">
      <c r="A7" s="11" t="str">
        <f>HYPERLINK("#Reference!A32","3.3.6")</f>
        <v>3.3.6</v>
      </c>
      <c r="B7" s="1" t="s">
        <v>55</v>
      </c>
      <c r="D7" s="2">
        <f>IF(C7 = "Implemented", 0, IF(C7 = "Planned to be implemented", -1, -1))</f>
        <v>-1</v>
      </c>
    </row>
    <row r="8" spans="1:6" ht="32" x14ac:dyDescent="0.2">
      <c r="A8" s="11" t="str">
        <f>HYPERLINK("#Reference!A33","3.3.7")</f>
        <v>3.3.7</v>
      </c>
      <c r="B8" s="1" t="s">
        <v>56</v>
      </c>
      <c r="D8" s="2">
        <f>IF(C8 = "Implemented", 0, IF(C8 = "Planned to be implemented", -1, -1))</f>
        <v>-1</v>
      </c>
    </row>
    <row r="9" spans="1:6" ht="32" x14ac:dyDescent="0.2">
      <c r="A9" s="11" t="str">
        <f>HYPERLINK("#Reference!A34","3.3.8")</f>
        <v>3.3.8</v>
      </c>
      <c r="B9" s="1" t="s">
        <v>57</v>
      </c>
      <c r="D9" s="2">
        <f t="shared" ref="D9:D10" si="1">IF(C9 = "Implemented", 0, IF(C9 = "Planned to be implemented", -1, -1))</f>
        <v>-1</v>
      </c>
    </row>
    <row r="10" spans="1:6" ht="16" x14ac:dyDescent="0.2">
      <c r="A10" s="11" t="str">
        <f>HYPERLINK("#Reference!A35","3.3.9")</f>
        <v>3.3.9</v>
      </c>
      <c r="B10" s="1" t="s">
        <v>58</v>
      </c>
      <c r="D10" s="2">
        <f t="shared" si="1"/>
        <v>-1</v>
      </c>
    </row>
  </sheetData>
  <protectedRanges>
    <protectedRange sqref="C2:C10" name="Range1"/>
  </protectedRanges>
  <dataValidations count="1">
    <dataValidation type="list" allowBlank="1" showInputMessage="1" showErrorMessage="1" sqref="C2:C10" xr:uid="{00000000-0002-0000-0400-000000000000}">
      <formula1>Options</formula1>
    </dataValidation>
  </dataValidations>
  <pageMargins left="0.7" right="0.7" top="0.75" bottom="0.75" header="0.3" footer="0.3"/>
  <pageSetup firstPageNumber="4" orientation="landscape" useFirstPageNumber="1" r:id="rId1"/>
  <headerFooter>
    <oddHeader>&amp;L&amp;D &amp;T&amp;C&amp;A</oddHeader>
    <oddFooter>&amp;R&amp;P</oddFooter>
  </headerFooter>
  <ignoredErrors>
    <ignoredError sqref="D6"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10"/>
  <sheetViews>
    <sheetView zoomScaleNormal="100" workbookViewId="0">
      <selection activeCell="C2" sqref="C2"/>
    </sheetView>
  </sheetViews>
  <sheetFormatPr baseColWidth="10" defaultColWidth="8.6640625" defaultRowHeight="15" x14ac:dyDescent="0.2"/>
  <cols>
    <col min="1" max="1" width="10.83203125" style="22" customWidth="1"/>
    <col min="2" max="2" width="76.33203125" customWidth="1"/>
    <col min="3" max="3" width="27.33203125" style="22" customWidth="1"/>
    <col min="4" max="4" width="6.83203125" style="2" hidden="1" customWidth="1"/>
    <col min="5" max="5" width="53.83203125" customWidth="1"/>
    <col min="6" max="6" width="13.83203125" style="2" hidden="1" customWidth="1"/>
  </cols>
  <sheetData>
    <row r="1" spans="1:6" ht="20" x14ac:dyDescent="0.25">
      <c r="A1" s="17">
        <v>3.4</v>
      </c>
      <c r="B1" s="18" t="s">
        <v>59</v>
      </c>
      <c r="C1" s="26" t="s">
        <v>232</v>
      </c>
      <c r="D1" s="19" t="s">
        <v>236</v>
      </c>
      <c r="E1" s="20"/>
      <c r="F1" s="19" t="s">
        <v>240</v>
      </c>
    </row>
    <row r="2" spans="1:6" ht="48" x14ac:dyDescent="0.2">
      <c r="A2" s="11" t="str">
        <f>HYPERLINK("#Reference!A36","3.4.1")</f>
        <v>3.4.1</v>
      </c>
      <c r="B2" s="1" t="s">
        <v>60</v>
      </c>
      <c r="D2" s="2">
        <f>IF(C2 = "Implemented", 0, IF(C2 = "Planned to be implemented", -5, -5))</f>
        <v>-5</v>
      </c>
      <c r="F2" s="21">
        <f>SUM(D2:D23)</f>
        <v>-33</v>
      </c>
    </row>
    <row r="3" spans="1:6" ht="32" x14ac:dyDescent="0.2">
      <c r="A3" s="11" t="str">
        <f>HYPERLINK("#Reference!A37","3.4.2")</f>
        <v>3.4.2</v>
      </c>
      <c r="B3" s="1" t="s">
        <v>61</v>
      </c>
      <c r="D3" s="2">
        <f t="shared" ref="D3:D9" si="0">IF(C3 = "Implemented", 0, IF(C3 = "Planned to be implemented", -5, -5))</f>
        <v>-5</v>
      </c>
    </row>
    <row r="4" spans="1:6" ht="16" x14ac:dyDescent="0.2">
      <c r="A4" s="11" t="str">
        <f>HYPERLINK("#Reference!A38","3.4.3")</f>
        <v>3.4.3</v>
      </c>
      <c r="B4" s="1" t="s">
        <v>62</v>
      </c>
      <c r="D4" s="2">
        <f>IF(C4 = "Implemented", 0, IF(C4 = "Planned to be implemented", -1, -1))</f>
        <v>-1</v>
      </c>
    </row>
    <row r="5" spans="1:6" ht="16" x14ac:dyDescent="0.2">
      <c r="A5" s="11" t="str">
        <f>HYPERLINK("#Reference!A39","3.4.4")</f>
        <v>3.4.4</v>
      </c>
      <c r="B5" s="1" t="s">
        <v>63</v>
      </c>
      <c r="D5" s="2">
        <f>IF(C5 = "Implemented", 0, IF(C5 = "Planned to be implemented", -1, -1))</f>
        <v>-1</v>
      </c>
    </row>
    <row r="6" spans="1:6" ht="32" x14ac:dyDescent="0.2">
      <c r="A6" s="11" t="str">
        <f>HYPERLINK("#Reference!A40","3.4.5")</f>
        <v>3.4.5</v>
      </c>
      <c r="B6" s="1" t="s">
        <v>64</v>
      </c>
      <c r="D6" s="2">
        <f t="shared" si="0"/>
        <v>-5</v>
      </c>
    </row>
    <row r="7" spans="1:6" ht="32" x14ac:dyDescent="0.2">
      <c r="A7" s="11" t="str">
        <f>HYPERLINK("#Reference!A41","3.4.6")</f>
        <v>3.4.6</v>
      </c>
      <c r="B7" s="1" t="s">
        <v>65</v>
      </c>
      <c r="D7" s="2">
        <f t="shared" si="0"/>
        <v>-5</v>
      </c>
    </row>
    <row r="8" spans="1:6" ht="32" x14ac:dyDescent="0.2">
      <c r="A8" s="11" t="str">
        <f>HYPERLINK("#Reference!A42","3.4.7")</f>
        <v>3.4.7</v>
      </c>
      <c r="B8" s="1" t="s">
        <v>66</v>
      </c>
      <c r="D8" s="2">
        <f t="shared" si="0"/>
        <v>-5</v>
      </c>
    </row>
    <row r="9" spans="1:6" ht="32" x14ac:dyDescent="0.2">
      <c r="A9" s="11" t="str">
        <f>HYPERLINK("#Reference!A43","3.4.8")</f>
        <v>3.4.8</v>
      </c>
      <c r="B9" s="1" t="s">
        <v>67</v>
      </c>
      <c r="D9" s="2">
        <f t="shared" si="0"/>
        <v>-5</v>
      </c>
    </row>
    <row r="10" spans="1:6" ht="16" x14ac:dyDescent="0.2">
      <c r="A10" s="11" t="str">
        <f>HYPERLINK("#Reference!A44","3.4.9")</f>
        <v>3.4.9</v>
      </c>
      <c r="B10" s="1" t="s">
        <v>68</v>
      </c>
      <c r="D10" s="2">
        <f>IF(C10 = "Implemented", 0, IF(C10 = "Planned to be implemented", -1, -1))</f>
        <v>-1</v>
      </c>
    </row>
  </sheetData>
  <protectedRanges>
    <protectedRange sqref="C2:C10" name="Range1"/>
  </protectedRanges>
  <dataValidations count="1">
    <dataValidation type="list" allowBlank="1" showInputMessage="1" showErrorMessage="1" sqref="C2:C10" xr:uid="{00000000-0002-0000-0500-000000000000}">
      <formula1>Options</formula1>
    </dataValidation>
  </dataValidations>
  <pageMargins left="0.7" right="0.7" top="0.75" bottom="0.75" header="0.3" footer="0.3"/>
  <pageSetup firstPageNumber="5" orientation="landscape" useFirstPageNumber="1" r:id="rId1"/>
  <headerFooter>
    <oddHeader>&amp;L&amp;D &amp;T&amp;C&amp;A</oddHeader>
    <oddFooter>&amp;R&amp;P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F12"/>
  <sheetViews>
    <sheetView zoomScaleNormal="100" workbookViewId="0">
      <selection activeCell="C2" sqref="C2"/>
    </sheetView>
  </sheetViews>
  <sheetFormatPr baseColWidth="10" defaultColWidth="8.6640625" defaultRowHeight="15" x14ac:dyDescent="0.2"/>
  <cols>
    <col min="1" max="1" width="10.83203125" style="22" customWidth="1"/>
    <col min="2" max="2" width="76.33203125" customWidth="1"/>
    <col min="3" max="3" width="27.33203125" style="22" customWidth="1"/>
    <col min="4" max="4" width="6.83203125" style="2" hidden="1" customWidth="1"/>
    <col min="5" max="5" width="53.83203125" customWidth="1"/>
    <col min="6" max="6" width="13.5" style="2" hidden="1" customWidth="1"/>
  </cols>
  <sheetData>
    <row r="1" spans="1:6" ht="20" x14ac:dyDescent="0.25">
      <c r="A1" s="17">
        <v>3.5</v>
      </c>
      <c r="B1" s="18" t="s">
        <v>69</v>
      </c>
      <c r="C1" s="26" t="s">
        <v>232</v>
      </c>
      <c r="D1" s="19" t="s">
        <v>236</v>
      </c>
      <c r="E1" s="20"/>
      <c r="F1" s="19" t="s">
        <v>240</v>
      </c>
    </row>
    <row r="2" spans="1:6" ht="16" x14ac:dyDescent="0.2">
      <c r="A2" s="11" t="str">
        <f>HYPERLINK("#Reference!A45","3.5.1")</f>
        <v>3.5.1</v>
      </c>
      <c r="B2" s="1" t="s">
        <v>70</v>
      </c>
      <c r="D2" s="2">
        <f>IF(C2 = "Implemented", 0, IF(C2 = "Planned to be implemented", -5, -5))</f>
        <v>-5</v>
      </c>
      <c r="F2" s="21">
        <f>SUM(D2:D23)</f>
        <v>-27</v>
      </c>
    </row>
    <row r="3" spans="1:6" ht="32" x14ac:dyDescent="0.2">
      <c r="A3" s="11" t="str">
        <f>HYPERLINK("#Reference!A46","3.5.2")</f>
        <v>3.5.2</v>
      </c>
      <c r="B3" s="1" t="s">
        <v>71</v>
      </c>
      <c r="D3" s="2">
        <f>IF(C3 = "Implemented", 0, IF(C3 = "Planned to be implemented", -5, -5))</f>
        <v>-5</v>
      </c>
    </row>
    <row r="4" spans="1:6" ht="32" x14ac:dyDescent="0.2">
      <c r="A4" s="11" t="str">
        <f>HYPERLINK("#Reference!A47","3.5.3")</f>
        <v>3.5.3</v>
      </c>
      <c r="B4" s="1" t="s">
        <v>72</v>
      </c>
      <c r="D4" s="2">
        <f>IF(C4 = "Implemented", 0, IF(C4 = "Planned to be implemented", -5, -5))</f>
        <v>-5</v>
      </c>
    </row>
    <row r="5" spans="1:6" ht="32" x14ac:dyDescent="0.2">
      <c r="A5" s="11" t="str">
        <f>HYPERLINK("#Reference!A48","3.5.4")</f>
        <v>3.5.4</v>
      </c>
      <c r="B5" s="1" t="s">
        <v>73</v>
      </c>
      <c r="D5" s="2">
        <f>IF(C5 = "Implemented", 0, IF(C5 = "Planned to be implemented", -1, -1))</f>
        <v>-1</v>
      </c>
    </row>
    <row r="6" spans="1:6" ht="16" x14ac:dyDescent="0.2">
      <c r="A6" s="11" t="str">
        <f>HYPERLINK("#Reference!A49","3.5.5")</f>
        <v>3.5.5</v>
      </c>
      <c r="B6" s="1" t="s">
        <v>74</v>
      </c>
      <c r="D6" s="2">
        <f t="shared" ref="D6:D12" si="0">IF(C6 = "Implemented", 0, IF(C6 = "Planned to be implemented", -1, -1))</f>
        <v>-1</v>
      </c>
    </row>
    <row r="7" spans="1:6" ht="16" x14ac:dyDescent="0.2">
      <c r="A7" s="11" t="str">
        <f>HYPERLINK("#Reference!A50","3.5.6")</f>
        <v>3.5.6</v>
      </c>
      <c r="B7" s="1" t="s">
        <v>75</v>
      </c>
      <c r="D7" s="2">
        <f t="shared" si="0"/>
        <v>-1</v>
      </c>
    </row>
    <row r="8" spans="1:6" ht="32" x14ac:dyDescent="0.2">
      <c r="A8" s="11" t="str">
        <f>HYPERLINK("#Reference!A51","3.5.7")</f>
        <v>3.5.7</v>
      </c>
      <c r="B8" s="1" t="s">
        <v>76</v>
      </c>
      <c r="D8" s="2">
        <f t="shared" si="0"/>
        <v>-1</v>
      </c>
    </row>
    <row r="9" spans="1:6" ht="16" x14ac:dyDescent="0.2">
      <c r="A9" s="11" t="str">
        <f>HYPERLINK("#Reference!A52","3.5.8")</f>
        <v>3.5.8</v>
      </c>
      <c r="B9" s="1" t="s">
        <v>77</v>
      </c>
      <c r="D9" s="2">
        <f t="shared" si="0"/>
        <v>-1</v>
      </c>
    </row>
    <row r="10" spans="1:6" ht="32" x14ac:dyDescent="0.2">
      <c r="A10" s="11" t="str">
        <f>HYPERLINK("#Reference!A53","3.5.9")</f>
        <v>3.5.9</v>
      </c>
      <c r="B10" s="1" t="s">
        <v>78</v>
      </c>
      <c r="D10" s="2">
        <f t="shared" si="0"/>
        <v>-1</v>
      </c>
    </row>
    <row r="11" spans="1:6" ht="16" x14ac:dyDescent="0.2">
      <c r="A11" s="11" t="str">
        <f>HYPERLINK("#Reference!A54","3.5.10")</f>
        <v>3.5.10</v>
      </c>
      <c r="B11" s="1" t="s">
        <v>79</v>
      </c>
      <c r="D11" s="2">
        <f>IF(C11 = "Implemented", 0, IF(C11 = "Planned to be implemented", -5, -5))</f>
        <v>-5</v>
      </c>
    </row>
    <row r="12" spans="1:6" ht="16" x14ac:dyDescent="0.2">
      <c r="A12" s="11" t="str">
        <f>HYPERLINK("#Reference!A55","3.5.11")</f>
        <v>3.5.11</v>
      </c>
      <c r="B12" s="1" t="s">
        <v>80</v>
      </c>
      <c r="D12" s="2">
        <f t="shared" si="0"/>
        <v>-1</v>
      </c>
    </row>
  </sheetData>
  <protectedRanges>
    <protectedRange sqref="C2:C12" name="Range1"/>
  </protectedRanges>
  <dataValidations count="1">
    <dataValidation type="list" allowBlank="1" showInputMessage="1" showErrorMessage="1" sqref="C2:C12" xr:uid="{00000000-0002-0000-0600-000000000000}">
      <formula1>Options</formula1>
    </dataValidation>
  </dataValidations>
  <pageMargins left="0.7" right="0.7" top="0.75" bottom="0.75" header="0.3" footer="0.3"/>
  <pageSetup firstPageNumber="6" orientation="landscape" useFirstPageNumber="1" r:id="rId1"/>
  <headerFooter>
    <oddHeader>&amp;L&amp;D &amp;T&amp;C&amp;A</oddHeader>
    <oddFooter>&amp;R&amp;P</oddFooter>
  </headerFooter>
  <ignoredErrors>
    <ignoredError sqref="D11"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4"/>
  <sheetViews>
    <sheetView zoomScaleNormal="100" workbookViewId="0">
      <selection activeCell="C2" sqref="C2"/>
    </sheetView>
  </sheetViews>
  <sheetFormatPr baseColWidth="10" defaultColWidth="8.6640625" defaultRowHeight="15" x14ac:dyDescent="0.2"/>
  <cols>
    <col min="1" max="1" width="10.83203125" style="22" customWidth="1"/>
    <col min="2" max="2" width="72.5" bestFit="1" customWidth="1"/>
    <col min="3" max="3" width="27.33203125" style="22" customWidth="1"/>
    <col min="4" max="4" width="6.83203125" style="2" hidden="1" customWidth="1"/>
    <col min="5" max="5" width="53.83203125" customWidth="1"/>
    <col min="6" max="6" width="13.5" style="2" hidden="1" customWidth="1"/>
  </cols>
  <sheetData>
    <row r="1" spans="1:6" ht="20" x14ac:dyDescent="0.25">
      <c r="A1" s="17">
        <v>3.6</v>
      </c>
      <c r="B1" s="18" t="s">
        <v>81</v>
      </c>
      <c r="C1" s="26" t="s">
        <v>232</v>
      </c>
      <c r="D1" s="19" t="s">
        <v>236</v>
      </c>
      <c r="E1" s="20"/>
      <c r="F1" s="19" t="s">
        <v>240</v>
      </c>
    </row>
    <row r="2" spans="1:6" ht="48" x14ac:dyDescent="0.2">
      <c r="A2" s="11" t="str">
        <f>HYPERLINK("#Reference!A56","3.6.1")</f>
        <v>3.6.1</v>
      </c>
      <c r="B2" s="1" t="s">
        <v>82</v>
      </c>
      <c r="D2" s="2">
        <f>IF(C2 = "Implemented", 0, IF(C2 = "Planned to be implemented", -5, -5))</f>
        <v>-5</v>
      </c>
      <c r="F2" s="21">
        <f>SUM(D2:D23)</f>
        <v>-11</v>
      </c>
    </row>
    <row r="3" spans="1:6" ht="32" x14ac:dyDescent="0.2">
      <c r="A3" s="11" t="str">
        <f>HYPERLINK("#Reference!A57","3.6.2")</f>
        <v>3.6.2</v>
      </c>
      <c r="B3" s="1" t="s">
        <v>83</v>
      </c>
      <c r="D3" s="2">
        <f t="shared" ref="D3" si="0">IF(C3 = "Implemented", 0, IF(C3 = "Planned to be implemented", -5, -5))</f>
        <v>-5</v>
      </c>
    </row>
    <row r="4" spans="1:6" ht="16" x14ac:dyDescent="0.2">
      <c r="A4" s="11" t="str">
        <f>HYPERLINK("#Reference!A58","3.6.3")</f>
        <v>3.6.3</v>
      </c>
      <c r="B4" s="1" t="s">
        <v>84</v>
      </c>
      <c r="D4" s="2">
        <f>IF(C4 = "Implemented", 0, IF(C4 = "Planned to be implemented", -1, -1))</f>
        <v>-1</v>
      </c>
    </row>
  </sheetData>
  <protectedRanges>
    <protectedRange sqref="C2:C4" name="Range1"/>
  </protectedRanges>
  <dataValidations count="1">
    <dataValidation type="list" allowBlank="1" showInputMessage="1" showErrorMessage="1" sqref="C2:C4" xr:uid="{00000000-0002-0000-0700-000000000000}">
      <formula1>Options</formula1>
    </dataValidation>
  </dataValidations>
  <pageMargins left="0.7" right="0.7" top="0.75" bottom="0.75" header="0.3" footer="0.3"/>
  <pageSetup firstPageNumber="7" orientation="landscape" useFirstPageNumber="1" r:id="rId1"/>
  <headerFooter>
    <oddHeader>&amp;L&amp;D &amp;T&amp;C&amp;A</oddHeader>
    <oddFooter>&amp;R&amp;P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F7"/>
  <sheetViews>
    <sheetView zoomScaleNormal="100" workbookViewId="0">
      <selection activeCell="C2" sqref="C2"/>
    </sheetView>
  </sheetViews>
  <sheetFormatPr baseColWidth="10" defaultColWidth="8.6640625" defaultRowHeight="15" x14ac:dyDescent="0.2"/>
  <cols>
    <col min="1" max="1" width="10.83203125" style="22" customWidth="1"/>
    <col min="2" max="2" width="74.83203125" bestFit="1" customWidth="1"/>
    <col min="3" max="3" width="27.33203125" style="22" customWidth="1"/>
    <col min="4" max="4" width="6.83203125" style="2" hidden="1" customWidth="1"/>
    <col min="5" max="5" width="53.83203125" customWidth="1"/>
    <col min="6" max="6" width="13.5" style="2" hidden="1" customWidth="1"/>
  </cols>
  <sheetData>
    <row r="1" spans="1:6" ht="20" x14ac:dyDescent="0.25">
      <c r="A1" s="17">
        <v>3.7</v>
      </c>
      <c r="B1" s="18" t="s">
        <v>86</v>
      </c>
      <c r="C1" s="26" t="s">
        <v>232</v>
      </c>
      <c r="D1" s="19" t="s">
        <v>236</v>
      </c>
      <c r="E1" s="20"/>
      <c r="F1" s="19" t="s">
        <v>240</v>
      </c>
    </row>
    <row r="2" spans="1:6" ht="16" x14ac:dyDescent="0.2">
      <c r="A2" s="11" t="str">
        <f>HYPERLINK("#Reference!A59","3.7.1")</f>
        <v>3.7.1</v>
      </c>
      <c r="B2" s="1" t="s">
        <v>85</v>
      </c>
      <c r="D2" s="2">
        <f>IF(C2 = "Implemented", 0, IF(C2 = "Planned to be implemented", -3, -3))</f>
        <v>-3</v>
      </c>
      <c r="F2" s="21">
        <f>SUM(D2:D23)</f>
        <v>-18</v>
      </c>
    </row>
    <row r="3" spans="1:6" ht="32" x14ac:dyDescent="0.2">
      <c r="A3" s="11" t="str">
        <f>HYPERLINK("#Reference!A60","3.7.2")</f>
        <v>3.7.2</v>
      </c>
      <c r="B3" s="1" t="s">
        <v>87</v>
      </c>
      <c r="D3" s="2">
        <f>IF(C3 = "Implemented", 0, IF(C3 = "Planned to be implemented", -5, -5))</f>
        <v>-5</v>
      </c>
    </row>
    <row r="4" spans="1:6" ht="16" x14ac:dyDescent="0.2">
      <c r="A4" s="11" t="str">
        <f>HYPERLINK("#Reference!A61","3.7.3")</f>
        <v>3.7.3</v>
      </c>
      <c r="B4" s="1" t="s">
        <v>88</v>
      </c>
      <c r="D4" s="2">
        <f>IF(C4 = "Implemented", 0, IF(C4 = "Planned to be implemented", -1, -1))</f>
        <v>-1</v>
      </c>
    </row>
    <row r="5" spans="1:6" ht="32" x14ac:dyDescent="0.2">
      <c r="A5" s="11" t="str">
        <f>HYPERLINK("#Reference!A62","3.7.4")</f>
        <v>3.7.4</v>
      </c>
      <c r="B5" s="1" t="s">
        <v>89</v>
      </c>
      <c r="D5" s="2">
        <f t="shared" ref="D5" si="0">IF(C5 = "Implemented", 0, IF(C5 = "Planned to be implemented", -3, -3))</f>
        <v>-3</v>
      </c>
    </row>
    <row r="6" spans="1:6" ht="32" x14ac:dyDescent="0.2">
      <c r="A6" s="11" t="str">
        <f>HYPERLINK("#Reference!A63","3.7.5")</f>
        <v>3.7.5</v>
      </c>
      <c r="B6" s="1" t="s">
        <v>90</v>
      </c>
      <c r="D6" s="2">
        <f>IF(C6 = "Implemented", 0, IF(C6 = "Planned to be implemented", -5, -5))</f>
        <v>-5</v>
      </c>
    </row>
    <row r="7" spans="1:6" ht="32" x14ac:dyDescent="0.2">
      <c r="A7" s="11" t="str">
        <f>HYPERLINK("#Reference!A64","3.7.6")</f>
        <v>3.7.6</v>
      </c>
      <c r="B7" s="1" t="s">
        <v>91</v>
      </c>
      <c r="D7" s="2">
        <f>IF(C7 = "Implemented", 0, IF(C7 = "Planned to be implemented", -1, -1))</f>
        <v>-1</v>
      </c>
    </row>
  </sheetData>
  <protectedRanges>
    <protectedRange sqref="C2:C7" name="Range1"/>
  </protectedRanges>
  <dataValidations count="1">
    <dataValidation type="list" allowBlank="1" showInputMessage="1" showErrorMessage="1" sqref="C2:C7" xr:uid="{00000000-0002-0000-0800-000000000000}">
      <formula1>Options</formula1>
    </dataValidation>
  </dataValidations>
  <pageMargins left="0.7" right="0.7" top="0.75" bottom="0.75" header="0.3" footer="0.3"/>
  <pageSetup firstPageNumber="8" orientation="landscape" useFirstPageNumber="1" r:id="rId1"/>
  <headerFooter>
    <oddHeader>&amp;L&amp;D &amp;T&amp;C&amp;A</oddHeader>
    <oddFooter>&amp;R&amp;P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10"/>
  <sheetViews>
    <sheetView zoomScaleNormal="100" workbookViewId="0">
      <selection activeCell="C2" sqref="C2"/>
    </sheetView>
  </sheetViews>
  <sheetFormatPr baseColWidth="10" defaultColWidth="8.6640625" defaultRowHeight="15" x14ac:dyDescent="0.2"/>
  <cols>
    <col min="1" max="1" width="10.83203125" style="22" customWidth="1"/>
    <col min="2" max="2" width="72.5" bestFit="1" customWidth="1"/>
    <col min="3" max="3" width="27.33203125" style="22" customWidth="1"/>
    <col min="4" max="4" width="6.83203125" style="2" hidden="1" customWidth="1"/>
    <col min="5" max="5" width="53.83203125" customWidth="1"/>
    <col min="6" max="6" width="13.5" style="2" hidden="1" customWidth="1"/>
  </cols>
  <sheetData>
    <row r="1" spans="1:6" ht="20" x14ac:dyDescent="0.25">
      <c r="A1" s="17">
        <v>3.8</v>
      </c>
      <c r="B1" s="18" t="s">
        <v>92</v>
      </c>
      <c r="C1" s="26" t="s">
        <v>232</v>
      </c>
      <c r="D1" s="19" t="s">
        <v>236</v>
      </c>
      <c r="E1" s="20"/>
      <c r="F1" s="19" t="s">
        <v>240</v>
      </c>
    </row>
    <row r="2" spans="1:6" ht="32" x14ac:dyDescent="0.2">
      <c r="A2" s="11" t="str">
        <f>HYPERLINK("#Reference!A65","3.8.1")</f>
        <v>3.8.1</v>
      </c>
      <c r="B2" s="1" t="s">
        <v>93</v>
      </c>
      <c r="D2" s="2">
        <f>IF(C2 = "Implemented", 0, IF(C2 = "Planned to be implemented", -3, -3))</f>
        <v>-3</v>
      </c>
      <c r="F2" s="21">
        <f>SUM(D2:D23)</f>
        <v>-23</v>
      </c>
    </row>
    <row r="3" spans="1:6" ht="16" x14ac:dyDescent="0.2">
      <c r="A3" s="11" t="str">
        <f>HYPERLINK("#Reference!A66","3.8.2")</f>
        <v>3.8.2</v>
      </c>
      <c r="B3" s="1" t="s">
        <v>94</v>
      </c>
      <c r="D3" s="2">
        <f t="shared" ref="D3" si="0">IF(C3 = "Implemented", 0, IF(C3 = "Planned to be implemented", -3, -3))</f>
        <v>-3</v>
      </c>
    </row>
    <row r="4" spans="1:6" ht="16" x14ac:dyDescent="0.2">
      <c r="A4" s="11" t="str">
        <f>HYPERLINK("#Reference!A67","3.8.3")</f>
        <v>3.8.3</v>
      </c>
      <c r="B4" s="1" t="s">
        <v>95</v>
      </c>
      <c r="D4" s="2">
        <f>IF(C4 = "Implemented", 0, IF(C4 = "Planned to be implemented", -5, -5))</f>
        <v>-5</v>
      </c>
    </row>
    <row r="5" spans="1:6" ht="16" x14ac:dyDescent="0.2">
      <c r="A5" s="11" t="str">
        <f>HYPERLINK("#Reference!A68","3.8.4")</f>
        <v>3.8.4</v>
      </c>
      <c r="B5" s="1" t="s">
        <v>96</v>
      </c>
      <c r="D5" s="2">
        <f>IF(C5 = "Implemented", 0, IF(C5 = "Planned to be implemented", -1, -1))</f>
        <v>-1</v>
      </c>
    </row>
    <row r="6" spans="1:6" ht="32" x14ac:dyDescent="0.2">
      <c r="A6" s="11" t="str">
        <f>HYPERLINK("#Reference!A69","3.8.5")</f>
        <v>3.8.5</v>
      </c>
      <c r="B6" s="1" t="s">
        <v>97</v>
      </c>
      <c r="D6" s="2">
        <f>IF(C6 = "Implemented", 0, IF(C6 = "Planned to be implemented", -1, -1))</f>
        <v>-1</v>
      </c>
    </row>
    <row r="7" spans="1:6" ht="32" x14ac:dyDescent="0.2">
      <c r="A7" s="11" t="str">
        <f>HYPERLINK("#Reference!A70","3.8.6")</f>
        <v>3.8.6</v>
      </c>
      <c r="B7" s="1" t="s">
        <v>98</v>
      </c>
      <c r="D7" s="2">
        <f t="shared" ref="D7" si="1">IF(C7 = "Implemented", 0, IF(C7 = "Planned to be implemented", -1, -1))</f>
        <v>-1</v>
      </c>
    </row>
    <row r="8" spans="1:6" ht="16" x14ac:dyDescent="0.2">
      <c r="A8" s="11" t="str">
        <f>HYPERLINK("#Reference!A71","3.8.7")</f>
        <v>3.8.7</v>
      </c>
      <c r="B8" s="1" t="s">
        <v>99</v>
      </c>
      <c r="D8" s="2">
        <f>IF(C8 = "Implemented", 0, IF(C8 = "Planned to be implemented", -5, -5))</f>
        <v>-5</v>
      </c>
    </row>
    <row r="9" spans="1:6" ht="16" x14ac:dyDescent="0.2">
      <c r="A9" s="11" t="str">
        <f>HYPERLINK("#Reference!A72","3.8.8")</f>
        <v>3.8.8</v>
      </c>
      <c r="B9" s="1" t="s">
        <v>100</v>
      </c>
      <c r="D9" s="2">
        <f>IF(C9 = "Implemented", 0, IF(C9 = "Planned to be implemented", -3, -3))</f>
        <v>-3</v>
      </c>
    </row>
    <row r="10" spans="1:6" ht="16" x14ac:dyDescent="0.2">
      <c r="A10" s="11" t="str">
        <f>HYPERLINK("#Reference!A73","3.8.9")</f>
        <v>3.8.9</v>
      </c>
      <c r="B10" s="1" t="s">
        <v>101</v>
      </c>
      <c r="D10" s="2">
        <f>IF(C10 = "Implemented", 0, IF(C10 = "Planned to be implemented", -1, -1))</f>
        <v>-1</v>
      </c>
    </row>
  </sheetData>
  <protectedRanges>
    <protectedRange sqref="C2:C10" name="Range1"/>
  </protectedRanges>
  <dataValidations count="1">
    <dataValidation type="list" allowBlank="1" showInputMessage="1" showErrorMessage="1" sqref="C2:C10" xr:uid="{00000000-0002-0000-0900-000000000000}">
      <formula1>Options</formula1>
    </dataValidation>
  </dataValidations>
  <pageMargins left="0.7" right="0.7" top="0.75" bottom="0.75" header="0.3" footer="0.3"/>
  <pageSetup firstPageNumber="9" orientation="landscape" useFirstPageNumber="1" r:id="rId1"/>
  <headerFooter>
    <oddHeader>&amp;L&amp;D &amp;T&amp;C&amp;A</oddHeader>
    <oddFooter>&amp;R&amp;P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3"/>
  <sheetViews>
    <sheetView zoomScaleNormal="100" workbookViewId="0">
      <selection activeCell="C2" sqref="C2"/>
    </sheetView>
  </sheetViews>
  <sheetFormatPr baseColWidth="10" defaultColWidth="8.6640625" defaultRowHeight="15" x14ac:dyDescent="0.2"/>
  <cols>
    <col min="1" max="1" width="10.83203125" style="22" customWidth="1"/>
    <col min="2" max="2" width="73.83203125" bestFit="1" customWidth="1"/>
    <col min="3" max="3" width="27.33203125" style="22" customWidth="1"/>
    <col min="4" max="4" width="6.83203125" style="2" hidden="1" customWidth="1"/>
    <col min="5" max="5" width="53.83203125" customWidth="1"/>
    <col min="6" max="6" width="13.5" style="2" hidden="1" customWidth="1"/>
  </cols>
  <sheetData>
    <row r="1" spans="1:6" ht="20" x14ac:dyDescent="0.25">
      <c r="A1" s="17">
        <v>3.9</v>
      </c>
      <c r="B1" s="18" t="s">
        <v>102</v>
      </c>
      <c r="C1" s="26" t="s">
        <v>232</v>
      </c>
      <c r="D1" s="19" t="s">
        <v>236</v>
      </c>
      <c r="E1" s="20"/>
      <c r="F1" s="19" t="s">
        <v>240</v>
      </c>
    </row>
    <row r="2" spans="1:6" ht="16" x14ac:dyDescent="0.2">
      <c r="A2" s="11" t="str">
        <f>HYPERLINK("#Reference!A74","3.9.1")</f>
        <v>3.9.1</v>
      </c>
      <c r="B2" s="1" t="s">
        <v>103</v>
      </c>
      <c r="D2" s="2">
        <f>IF(C2 = "Implemented", 0, IF(C2 = "Planned to be implemented", -3, -3))</f>
        <v>-3</v>
      </c>
      <c r="F2" s="21">
        <f>SUM(D2:D23)</f>
        <v>-8</v>
      </c>
    </row>
    <row r="3" spans="1:6" ht="32" x14ac:dyDescent="0.2">
      <c r="A3" s="11" t="str">
        <f>HYPERLINK("#Reference!A75","3.9.2")</f>
        <v>3.9.2</v>
      </c>
      <c r="B3" s="1" t="s">
        <v>104</v>
      </c>
      <c r="D3" s="2">
        <f>IF(C3 = "Implemented", 0, IF(C3 = "Planned to be implemented", -5, -5))</f>
        <v>-5</v>
      </c>
    </row>
  </sheetData>
  <protectedRanges>
    <protectedRange sqref="C2:C3" name="Range1"/>
  </protectedRanges>
  <dataValidations count="1">
    <dataValidation type="list" allowBlank="1" showInputMessage="1" showErrorMessage="1" sqref="C2:C3" xr:uid="{00000000-0002-0000-0A00-000000000000}">
      <formula1>Options</formula1>
    </dataValidation>
  </dataValidations>
  <pageMargins left="0.7" right="0.7" top="0.75" bottom="0.75" header="0.3" footer="0.3"/>
  <pageSetup firstPageNumber="10" orientation="landscape" useFirstPageNumber="1" r:id="rId1"/>
  <headerFooter>
    <oddHeader>&amp;L&amp;D &amp;T&amp;C&amp;A</oddHeader>
    <oddFooter>&amp;R&amp;P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F7"/>
  <sheetViews>
    <sheetView zoomScaleNormal="100" workbookViewId="0">
      <selection activeCell="A2" sqref="A2"/>
    </sheetView>
  </sheetViews>
  <sheetFormatPr baseColWidth="10" defaultColWidth="8.6640625" defaultRowHeight="15" x14ac:dyDescent="0.2"/>
  <cols>
    <col min="1" max="1" width="10.83203125" style="22" customWidth="1"/>
    <col min="2" max="2" width="75.33203125" bestFit="1" customWidth="1"/>
    <col min="3" max="3" width="27.33203125" style="22" customWidth="1"/>
    <col min="4" max="4" width="6.83203125" style="2" hidden="1" customWidth="1"/>
    <col min="5" max="5" width="53.83203125" customWidth="1"/>
    <col min="6" max="6" width="13.5" style="2" hidden="1" customWidth="1"/>
  </cols>
  <sheetData>
    <row r="1" spans="1:6" ht="20" x14ac:dyDescent="0.25">
      <c r="A1" s="23" t="s">
        <v>105</v>
      </c>
      <c r="B1" s="18" t="s">
        <v>107</v>
      </c>
      <c r="C1" s="26" t="s">
        <v>232</v>
      </c>
      <c r="D1" s="19" t="s">
        <v>236</v>
      </c>
      <c r="E1" s="20"/>
      <c r="F1" s="19" t="s">
        <v>240</v>
      </c>
    </row>
    <row r="2" spans="1:6" ht="32" x14ac:dyDescent="0.2">
      <c r="A2" s="11" t="str">
        <f>HYPERLINK("#Reference!A76","3.10.1")</f>
        <v>3.10.1</v>
      </c>
      <c r="B2" s="1" t="s">
        <v>106</v>
      </c>
      <c r="D2" s="2">
        <f>IF(C2 = "Implemented", 0, IF(C2 = "Planned to be implemented", -5, -5))</f>
        <v>-5</v>
      </c>
      <c r="F2" s="21">
        <f>SUM(D2:D23)</f>
        <v>-14</v>
      </c>
    </row>
    <row r="3" spans="1:6" ht="16" x14ac:dyDescent="0.2">
      <c r="A3" s="11" t="str">
        <f>HYPERLINK("#Reference!A77","3.10.2")</f>
        <v>3.10.2</v>
      </c>
      <c r="B3" s="1" t="s">
        <v>108</v>
      </c>
      <c r="D3" s="2">
        <f>IF(C3 = "Implemented", 0, IF(C3 = "Planned to be implemented", -5, -5))</f>
        <v>-5</v>
      </c>
    </row>
    <row r="4" spans="1:6" ht="16" x14ac:dyDescent="0.2">
      <c r="A4" s="11" t="str">
        <f>HYPERLINK("#Reference!A78","3.10.3")</f>
        <v>3.10.3</v>
      </c>
      <c r="B4" s="1" t="s">
        <v>109</v>
      </c>
      <c r="D4" s="2">
        <f>IF(C4 = "Implemented", 0, IF(C4 = "Planned to be implemented", -1, -1))</f>
        <v>-1</v>
      </c>
    </row>
    <row r="5" spans="1:6" ht="16" x14ac:dyDescent="0.2">
      <c r="A5" s="11" t="str">
        <f>HYPERLINK("#Reference!A79","3.10.4")</f>
        <v>3.10.4</v>
      </c>
      <c r="B5" s="1" t="s">
        <v>110</v>
      </c>
      <c r="D5" s="2">
        <f t="shared" ref="D5:D7" si="0">IF(C5 = "Implemented", 0, IF(C5 = "Planned to be implemented", -1, -1))</f>
        <v>-1</v>
      </c>
    </row>
    <row r="6" spans="1:6" ht="16" x14ac:dyDescent="0.2">
      <c r="A6" s="11" t="str">
        <f>HYPERLINK("#Reference!A80","3.10.5")</f>
        <v>3.10.5</v>
      </c>
      <c r="B6" s="1" t="s">
        <v>111</v>
      </c>
      <c r="D6" s="2">
        <f t="shared" si="0"/>
        <v>-1</v>
      </c>
    </row>
    <row r="7" spans="1:6" ht="16" x14ac:dyDescent="0.2">
      <c r="A7" s="11" t="str">
        <f>HYPERLINK("#Reference!A81","3.10.6")</f>
        <v>3.10.6</v>
      </c>
      <c r="B7" s="1" t="s">
        <v>112</v>
      </c>
      <c r="D7" s="2">
        <f t="shared" si="0"/>
        <v>-1</v>
      </c>
    </row>
  </sheetData>
  <protectedRanges>
    <protectedRange sqref="C2:C7" name="Range1"/>
  </protectedRanges>
  <dataValidations count="1">
    <dataValidation type="list" allowBlank="1" showInputMessage="1" showErrorMessage="1" sqref="C2:C7" xr:uid="{00000000-0002-0000-0B00-000000000000}">
      <formula1>Options</formula1>
    </dataValidation>
  </dataValidations>
  <pageMargins left="0.7" right="0.7" top="0.75" bottom="0.75" header="0.3" footer="0.3"/>
  <pageSetup firstPageNumber="11" orientation="landscape" useFirstPageNumber="1" r:id="rId1"/>
  <headerFooter>
    <oddHeader>&amp;L&amp;D &amp;T&amp;C&amp;A</oddHeader>
    <oddFooter>&amp;R&amp;P</oddFooter>
  </headerFooter>
  <ignoredErrors>
    <ignoredError sqref="A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F4"/>
  <sheetViews>
    <sheetView zoomScaleNormal="100" workbookViewId="0">
      <selection activeCell="C2" sqref="C2"/>
    </sheetView>
  </sheetViews>
  <sheetFormatPr baseColWidth="10" defaultColWidth="8.6640625" defaultRowHeight="15" x14ac:dyDescent="0.2"/>
  <cols>
    <col min="1" max="1" width="10.83203125" style="22" customWidth="1"/>
    <col min="2" max="2" width="76.1640625" bestFit="1" customWidth="1"/>
    <col min="3" max="3" width="27.33203125" style="22" customWidth="1"/>
    <col min="4" max="4" width="6.83203125" style="2" hidden="1" customWidth="1"/>
    <col min="5" max="5" width="53.83203125" customWidth="1"/>
    <col min="6" max="6" width="13.5" style="2" hidden="1" customWidth="1"/>
  </cols>
  <sheetData>
    <row r="1" spans="1:6" ht="20" x14ac:dyDescent="0.25">
      <c r="A1" s="17">
        <v>3.11</v>
      </c>
      <c r="B1" s="18" t="s">
        <v>113</v>
      </c>
      <c r="C1" s="26" t="s">
        <v>232</v>
      </c>
      <c r="D1" s="19" t="s">
        <v>236</v>
      </c>
      <c r="E1" s="20"/>
      <c r="F1" s="19" t="s">
        <v>240</v>
      </c>
    </row>
    <row r="2" spans="1:6" ht="48" x14ac:dyDescent="0.2">
      <c r="A2" s="11" t="str">
        <f>HYPERLINK("#Reference!A82","3.11.1")</f>
        <v>3.11.1</v>
      </c>
      <c r="B2" s="1" t="s">
        <v>114</v>
      </c>
      <c r="D2" s="2">
        <f>IF(C2 = "Implemented", 0, IF(C2 = "Planned to be implemented", -3, -3))</f>
        <v>-3</v>
      </c>
      <c r="F2" s="21">
        <f>SUM(D2:D23)</f>
        <v>-9</v>
      </c>
    </row>
    <row r="3" spans="1:6" ht="32" x14ac:dyDescent="0.2">
      <c r="A3" s="11" t="str">
        <f>HYPERLINK("#Reference!A83","3.11.2")</f>
        <v>3.11.2</v>
      </c>
      <c r="B3" s="1" t="s">
        <v>115</v>
      </c>
      <c r="D3" s="2">
        <f>IF(C3 = "Implemented", 0, IF(C3 = "Planned to be implemented", -5, -5))</f>
        <v>-5</v>
      </c>
    </row>
    <row r="4" spans="1:6" ht="16" x14ac:dyDescent="0.2">
      <c r="A4" s="11" t="str">
        <f>HYPERLINK("#Reference!A84","3.11.3")</f>
        <v>3.11.3</v>
      </c>
      <c r="B4" s="1" t="s">
        <v>116</v>
      </c>
      <c r="D4" s="2">
        <f>IF(C4 = "Implemented", 0, IF(C4 = "Planned to be implemented", -1, -1))</f>
        <v>-1</v>
      </c>
    </row>
  </sheetData>
  <protectedRanges>
    <protectedRange sqref="C2:C4" name="Range1"/>
  </protectedRanges>
  <dataValidations count="1">
    <dataValidation type="list" allowBlank="1" showInputMessage="1" showErrorMessage="1" sqref="C2:C4" xr:uid="{00000000-0002-0000-0C00-000000000000}">
      <formula1>Options</formula1>
    </dataValidation>
  </dataValidations>
  <pageMargins left="0.7" right="0.7" top="0.75" bottom="0.75" header="0.3" footer="0.3"/>
  <pageSetup firstPageNumber="12" orientation="landscape" useFirstPageNumber="1" r:id="rId1"/>
  <headerFooter>
    <oddHeader>&amp;L&amp;D &amp;T&amp;C&amp;A</oddHeader>
    <oddFooter>&amp;R&amp;P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F5"/>
  <sheetViews>
    <sheetView zoomScaleNormal="100" workbookViewId="0">
      <selection activeCell="C2" sqref="C2"/>
    </sheetView>
  </sheetViews>
  <sheetFormatPr baseColWidth="10" defaultColWidth="8.6640625" defaultRowHeight="15" x14ac:dyDescent="0.2"/>
  <cols>
    <col min="1" max="1" width="10.83203125" style="22" customWidth="1"/>
    <col min="2" max="2" width="74.5" bestFit="1" customWidth="1"/>
    <col min="3" max="3" width="27.33203125" style="22" customWidth="1"/>
    <col min="4" max="4" width="6.83203125" style="2" hidden="1" customWidth="1"/>
    <col min="5" max="5" width="53.83203125" customWidth="1"/>
    <col min="6" max="6" width="13.5" style="2" hidden="1" customWidth="1"/>
  </cols>
  <sheetData>
    <row r="1" spans="1:6" ht="20" x14ac:dyDescent="0.25">
      <c r="A1" s="17">
        <v>3.12</v>
      </c>
      <c r="B1" s="18" t="s">
        <v>117</v>
      </c>
      <c r="C1" s="26" t="s">
        <v>232</v>
      </c>
      <c r="D1" s="19" t="s">
        <v>236</v>
      </c>
      <c r="E1" s="20"/>
      <c r="F1" s="19" t="s">
        <v>240</v>
      </c>
    </row>
    <row r="2" spans="1:6" ht="32" x14ac:dyDescent="0.2">
      <c r="A2" s="11" t="str">
        <f>HYPERLINK("#Reference!A85","3.12.1")</f>
        <v>3.12.1</v>
      </c>
      <c r="B2" s="1" t="s">
        <v>118</v>
      </c>
      <c r="D2" s="2">
        <f>IF(C2 = "Implemented", 0, IF(C2 = "Planned to be implemented", -5, -5))</f>
        <v>-5</v>
      </c>
      <c r="F2" s="21">
        <f>SUM(D2:D23)</f>
        <v>-13</v>
      </c>
    </row>
    <row r="3" spans="1:6" ht="32" x14ac:dyDescent="0.2">
      <c r="A3" s="11" t="str">
        <f>HYPERLINK("#Reference!A86","3.12.2")</f>
        <v>3.12.2</v>
      </c>
      <c r="B3" s="1" t="s">
        <v>119</v>
      </c>
      <c r="D3" s="2">
        <f>IF(C3 = "Implemented", 0, IF(C3 = "Planned to be implemented", -3, -3))</f>
        <v>-3</v>
      </c>
    </row>
    <row r="4" spans="1:6" ht="32" x14ac:dyDescent="0.2">
      <c r="A4" s="11" t="str">
        <f>HYPERLINK("#Reference!A87","3.12.3")</f>
        <v>3.12.3</v>
      </c>
      <c r="B4" s="1" t="s">
        <v>120</v>
      </c>
      <c r="D4" s="2">
        <f t="shared" ref="D4" si="0">IF(C4 = "Implemented", 0, IF(C4 = "Planned to be implemented", -5, -5))</f>
        <v>-5</v>
      </c>
    </row>
    <row r="5" spans="1:6" ht="48" x14ac:dyDescent="0.2">
      <c r="A5" s="11" t="str">
        <f>HYPERLINK("#Reference!A88","3.12.4")</f>
        <v>3.12.4</v>
      </c>
      <c r="B5" s="1" t="s">
        <v>121</v>
      </c>
      <c r="D5" s="2">
        <f>IF(C5 = "Implemented", 0, IF(C5 = "Planned to be implemented", 0, 0))</f>
        <v>0</v>
      </c>
    </row>
  </sheetData>
  <protectedRanges>
    <protectedRange sqref="C2:C5" name="Range1"/>
  </protectedRanges>
  <dataValidations count="1">
    <dataValidation type="list" allowBlank="1" showInputMessage="1" showErrorMessage="1" sqref="C2:C5" xr:uid="{00000000-0002-0000-0D00-000000000000}">
      <formula1>Options</formula1>
    </dataValidation>
  </dataValidations>
  <pageMargins left="0.7" right="0.7" top="0.75" bottom="0.75" header="0.3" footer="0.3"/>
  <pageSetup firstPageNumber="13" orientation="landscape" useFirstPageNumber="1" r:id="rId1"/>
  <headerFooter>
    <oddHeader>&amp;L&amp;D &amp;T&amp;C&amp;A</oddHeader>
    <oddFooter>&amp;R&amp;P</oddFooter>
  </headerFooter>
  <ignoredErrors>
    <ignoredError sqref="D3" formula="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F17"/>
  <sheetViews>
    <sheetView zoomScaleNormal="100" workbookViewId="0">
      <selection activeCell="C2" sqref="C2"/>
    </sheetView>
  </sheetViews>
  <sheetFormatPr baseColWidth="10" defaultColWidth="8.6640625" defaultRowHeight="15" x14ac:dyDescent="0.2"/>
  <cols>
    <col min="1" max="1" width="10.83203125" style="22" customWidth="1"/>
    <col min="2" max="2" width="75.83203125" bestFit="1" customWidth="1"/>
    <col min="3" max="3" width="27.33203125" style="22" customWidth="1"/>
    <col min="4" max="4" width="6.83203125" style="2" hidden="1" customWidth="1"/>
    <col min="5" max="5" width="53.83203125" customWidth="1"/>
    <col min="6" max="6" width="13.5" style="2" hidden="1" customWidth="1"/>
  </cols>
  <sheetData>
    <row r="1" spans="1:6" ht="20" x14ac:dyDescent="0.25">
      <c r="A1" s="17">
        <v>3.13</v>
      </c>
      <c r="B1" s="18" t="s">
        <v>122</v>
      </c>
      <c r="C1" s="26" t="s">
        <v>232</v>
      </c>
      <c r="D1" s="19" t="s">
        <v>236</v>
      </c>
      <c r="E1" s="20"/>
      <c r="F1" s="19" t="s">
        <v>240</v>
      </c>
    </row>
    <row r="2" spans="1:6" ht="48" x14ac:dyDescent="0.2">
      <c r="A2" s="11" t="str">
        <f>HYPERLINK("#Reference!A89","3.13.1")</f>
        <v>3.13.1</v>
      </c>
      <c r="B2" s="1" t="s">
        <v>123</v>
      </c>
      <c r="D2" s="2">
        <f>IF(C2 = "Implemented", 0, IF(C2 = "Planned to be implemented", -5, -5))</f>
        <v>-5</v>
      </c>
      <c r="F2" s="21">
        <f>SUM(D2:D23)</f>
        <v>-42</v>
      </c>
    </row>
    <row r="3" spans="1:6" ht="32" x14ac:dyDescent="0.2">
      <c r="A3" s="11" t="str">
        <f>HYPERLINK("#Reference!A90","3.13.2")</f>
        <v>3.13.2</v>
      </c>
      <c r="B3" s="1" t="s">
        <v>124</v>
      </c>
      <c r="D3" s="2">
        <f t="shared" ref="D3" si="0">IF(C3 = "Implemented", 0, IF(C3 = "Planned to be implemented", -5, -5))</f>
        <v>-5</v>
      </c>
    </row>
    <row r="4" spans="1:6" ht="16" x14ac:dyDescent="0.2">
      <c r="A4" s="11" t="str">
        <f>HYPERLINK("#Reference!A91","3.13.3")</f>
        <v>3.13.3</v>
      </c>
      <c r="B4" s="1" t="s">
        <v>125</v>
      </c>
      <c r="D4" s="2">
        <f>IF(C4 = "Implemented", 0, IF(C4 = "Planned to be implemented", -1, -1))</f>
        <v>-1</v>
      </c>
    </row>
    <row r="5" spans="1:6" ht="16" x14ac:dyDescent="0.2">
      <c r="A5" s="11" t="str">
        <f>HYPERLINK("#Reference!A92","3.13.4")</f>
        <v>3.13.4</v>
      </c>
      <c r="B5" s="1" t="s">
        <v>126</v>
      </c>
      <c r="D5" s="2">
        <f t="shared" ref="D5:D17" si="1">IF(C5 = "Implemented", 0, IF(C5 = "Planned to be implemented", -1, -1))</f>
        <v>-1</v>
      </c>
    </row>
    <row r="6" spans="1:6" ht="32" x14ac:dyDescent="0.2">
      <c r="A6" s="11" t="str">
        <f>HYPERLINK("#Reference!A93","3.13.5")</f>
        <v>3.13.5</v>
      </c>
      <c r="B6" s="1" t="s">
        <v>127</v>
      </c>
      <c r="D6" s="2">
        <f>IF(C6 = "Implemented", 0, IF(C6 = "Planned to be implemented", -5, -5))</f>
        <v>-5</v>
      </c>
    </row>
    <row r="7" spans="1:6" ht="32" x14ac:dyDescent="0.2">
      <c r="A7" s="11" t="str">
        <f>HYPERLINK("#Reference!A94","3.13.6")</f>
        <v>3.13.6</v>
      </c>
      <c r="B7" s="1" t="s">
        <v>128</v>
      </c>
      <c r="D7" s="2">
        <f>IF(C7 = "Implemented", 0, IF(C7 = "Planned to be implemented", -5, -5))</f>
        <v>-5</v>
      </c>
    </row>
    <row r="8" spans="1:6" ht="48" x14ac:dyDescent="0.2">
      <c r="A8" s="11" t="str">
        <f>HYPERLINK("#Reference!A95","3.13.7")</f>
        <v>3.13.7</v>
      </c>
      <c r="B8" s="1" t="s">
        <v>129</v>
      </c>
      <c r="D8" s="2">
        <f t="shared" si="1"/>
        <v>-1</v>
      </c>
    </row>
    <row r="9" spans="1:6" ht="32" x14ac:dyDescent="0.2">
      <c r="A9" s="11" t="str">
        <f>HYPERLINK("#Reference!A96","3.13.8")</f>
        <v>3.13.8</v>
      </c>
      <c r="B9" s="1" t="s">
        <v>130</v>
      </c>
      <c r="D9" s="2">
        <f>IF(C9 = "Implemented", 0, IF(C9 = "Planned to be implemented", -3, -3))</f>
        <v>-3</v>
      </c>
    </row>
    <row r="10" spans="1:6" ht="32" x14ac:dyDescent="0.2">
      <c r="A10" s="11" t="str">
        <f>HYPERLINK("#Reference!A97","3.13.9")</f>
        <v>3.13.9</v>
      </c>
      <c r="B10" s="1" t="s">
        <v>131</v>
      </c>
      <c r="D10" s="2">
        <f t="shared" si="1"/>
        <v>-1</v>
      </c>
    </row>
    <row r="11" spans="1:6" ht="16" x14ac:dyDescent="0.2">
      <c r="A11" s="11" t="str">
        <f>HYPERLINK("#Reference!A98","3.13.10")</f>
        <v>3.13.10</v>
      </c>
      <c r="B11" s="1" t="s">
        <v>132</v>
      </c>
      <c r="D11" s="2">
        <f t="shared" si="1"/>
        <v>-1</v>
      </c>
    </row>
    <row r="12" spans="1:6" ht="16" x14ac:dyDescent="0.2">
      <c r="A12" s="11" t="str">
        <f>HYPERLINK("#Reference!A99","3.13.11")</f>
        <v>3.13.11</v>
      </c>
      <c r="B12" s="1" t="s">
        <v>133</v>
      </c>
      <c r="D12" s="2">
        <f>IF(C12 = "Implemented", 0, IF(C12 = "Planned to be implemented", -5, -5))</f>
        <v>-5</v>
      </c>
    </row>
    <row r="13" spans="1:6" ht="32" x14ac:dyDescent="0.2">
      <c r="A13" s="11" t="str">
        <f>HYPERLINK("#Reference!A100","3.13.12")</f>
        <v>3.13.12</v>
      </c>
      <c r="B13" s="1" t="s">
        <v>134</v>
      </c>
      <c r="D13" s="2">
        <f t="shared" si="1"/>
        <v>-1</v>
      </c>
    </row>
    <row r="14" spans="1:6" ht="16" x14ac:dyDescent="0.2">
      <c r="A14" s="11" t="str">
        <f>HYPERLINK("#Reference!A101","3.13.13")</f>
        <v>3.13.13</v>
      </c>
      <c r="B14" s="1" t="s">
        <v>135</v>
      </c>
      <c r="D14" s="2">
        <f t="shared" si="1"/>
        <v>-1</v>
      </c>
    </row>
    <row r="15" spans="1:6" ht="16" x14ac:dyDescent="0.2">
      <c r="A15" s="11" t="str">
        <f>HYPERLINK("#Reference!A102","3.13.14")</f>
        <v>3.13.14</v>
      </c>
      <c r="B15" s="1" t="s">
        <v>253</v>
      </c>
      <c r="D15" s="2">
        <f t="shared" si="1"/>
        <v>-1</v>
      </c>
    </row>
    <row r="16" spans="1:6" ht="16" x14ac:dyDescent="0.2">
      <c r="A16" s="11" t="str">
        <f>HYPERLINK("#Reference!A103","3.13.15")</f>
        <v>3.13.15</v>
      </c>
      <c r="B16" s="1" t="s">
        <v>136</v>
      </c>
      <c r="D16" s="2">
        <f>IF(C16 = "Implemented", 0, IF(C16 = "Planned to be implemented", -5, -5))</f>
        <v>-5</v>
      </c>
    </row>
    <row r="17" spans="1:4" ht="16" x14ac:dyDescent="0.2">
      <c r="A17" s="11" t="str">
        <f>HYPERLINK("#Reference!A104","3.13.16")</f>
        <v>3.13.16</v>
      </c>
      <c r="B17" s="1" t="s">
        <v>137</v>
      </c>
      <c r="D17" s="2">
        <f t="shared" si="1"/>
        <v>-1</v>
      </c>
    </row>
  </sheetData>
  <protectedRanges>
    <protectedRange sqref="C2:C17" name="Range1"/>
  </protectedRanges>
  <dataValidations count="1">
    <dataValidation type="list" allowBlank="1" showInputMessage="1" showErrorMessage="1" sqref="C2:C17" xr:uid="{00000000-0002-0000-0E00-000000000000}">
      <formula1>Options</formula1>
    </dataValidation>
  </dataValidations>
  <pageMargins left="0.7" right="0.7" top="0.75" bottom="0.75" header="0.3" footer="0.3"/>
  <pageSetup firstPageNumber="14" orientation="landscape" useFirstPageNumber="1" r:id="rId1"/>
  <headerFooter>
    <oddHeader>&amp;L&amp;D &amp;T&amp;C&amp;A</oddHeader>
    <oddFooter>&amp;R&amp;P</oddFooter>
  </headerFooter>
  <ignoredErrors>
    <ignoredError sqref="D16 D12" formula="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F8"/>
  <sheetViews>
    <sheetView zoomScaleNormal="100" workbookViewId="0">
      <selection activeCell="A8" sqref="A8"/>
    </sheetView>
  </sheetViews>
  <sheetFormatPr baseColWidth="10" defaultColWidth="8.6640625" defaultRowHeight="15" x14ac:dyDescent="0.2"/>
  <cols>
    <col min="1" max="1" width="10.83203125" style="22" customWidth="1"/>
    <col min="2" max="2" width="72.33203125" bestFit="1" customWidth="1"/>
    <col min="3" max="3" width="27.33203125" style="22" customWidth="1"/>
    <col min="4" max="4" width="6.83203125" style="2" hidden="1" customWidth="1"/>
    <col min="5" max="5" width="53.83203125" customWidth="1"/>
    <col min="6" max="6" width="13.5" style="2" hidden="1" customWidth="1"/>
  </cols>
  <sheetData>
    <row r="1" spans="1:6" ht="20" x14ac:dyDescent="0.25">
      <c r="A1" s="17">
        <v>3.14</v>
      </c>
      <c r="B1" s="18" t="s">
        <v>138</v>
      </c>
      <c r="C1" s="26" t="s">
        <v>232</v>
      </c>
      <c r="D1" s="19" t="s">
        <v>236</v>
      </c>
      <c r="E1" s="20"/>
      <c r="F1" s="20" t="s">
        <v>240</v>
      </c>
    </row>
    <row r="2" spans="1:6" ht="16" x14ac:dyDescent="0.2">
      <c r="A2" s="11" t="str">
        <f>HYPERLINK("#Reference!A105","3.14.1")</f>
        <v>3.14.1</v>
      </c>
      <c r="B2" s="1" t="s">
        <v>139</v>
      </c>
      <c r="D2" s="2">
        <f>IF(C2 = "Implemented", 0, IF(C2 = "Planned to be implemented", -5, -5))</f>
        <v>-5</v>
      </c>
      <c r="F2" s="21">
        <f>SUM(D2:D23)</f>
        <v>-31</v>
      </c>
    </row>
    <row r="3" spans="1:6" ht="32" x14ac:dyDescent="0.2">
      <c r="A3" s="11" t="str">
        <f>HYPERLINK("#Reference!A106","3.14.2")</f>
        <v>3.14.2</v>
      </c>
      <c r="B3" s="1" t="s">
        <v>140</v>
      </c>
      <c r="D3" s="2">
        <f t="shared" ref="D3:D7" si="0">IF(C3 = "Implemented", 0, IF(C3 = "Planned to be implemented", -5, -5))</f>
        <v>-5</v>
      </c>
    </row>
    <row r="4" spans="1:6" ht="16" x14ac:dyDescent="0.2">
      <c r="A4" s="11" t="str">
        <f>HYPERLINK("#Reference!A107","3.14.3")</f>
        <v>3.14.3</v>
      </c>
      <c r="B4" s="1" t="s">
        <v>141</v>
      </c>
      <c r="D4" s="2">
        <f t="shared" si="0"/>
        <v>-5</v>
      </c>
    </row>
    <row r="5" spans="1:6" ht="16" x14ac:dyDescent="0.2">
      <c r="A5" s="11" t="str">
        <f>HYPERLINK("#Reference!A108","3.14.4")</f>
        <v>3.14.4</v>
      </c>
      <c r="B5" s="1" t="s">
        <v>142</v>
      </c>
      <c r="D5" s="2">
        <f t="shared" si="0"/>
        <v>-5</v>
      </c>
    </row>
    <row r="6" spans="1:6" ht="32" x14ac:dyDescent="0.2">
      <c r="A6" s="11" t="str">
        <f>HYPERLINK("#Reference!A109","3.14.5")</f>
        <v>3.14.5</v>
      </c>
      <c r="B6" s="1" t="s">
        <v>143</v>
      </c>
      <c r="D6" s="2">
        <f>IF(C6 = "Implemented", 0, IF(C6 = "Planned to be implemented", -3, -3))</f>
        <v>-3</v>
      </c>
    </row>
    <row r="7" spans="1:6" ht="32" x14ac:dyDescent="0.2">
      <c r="A7" s="11" t="str">
        <f>HYPERLINK("#Reference!A110","3.14.6")</f>
        <v>3.14.6</v>
      </c>
      <c r="B7" s="1" t="s">
        <v>144</v>
      </c>
      <c r="D7" s="2">
        <f t="shared" si="0"/>
        <v>-5</v>
      </c>
    </row>
    <row r="8" spans="1:6" ht="16" x14ac:dyDescent="0.2">
      <c r="A8" s="11" t="str">
        <f>HYPERLINK("#Reference!A111","3.14.7")</f>
        <v>3.14.7</v>
      </c>
      <c r="B8" s="1" t="s">
        <v>145</v>
      </c>
      <c r="D8" s="2">
        <f>IF(C8 = "Implemented", 0, IF(C8 = "Planned to be implemented", -3, -3))</f>
        <v>-3</v>
      </c>
    </row>
  </sheetData>
  <protectedRanges>
    <protectedRange sqref="C2:C8" name="Range1"/>
  </protectedRanges>
  <dataValidations count="1">
    <dataValidation type="list" allowBlank="1" showInputMessage="1" showErrorMessage="1" sqref="C2:C8" xr:uid="{00000000-0002-0000-0F00-000000000000}">
      <formula1>Options</formula1>
    </dataValidation>
  </dataValidations>
  <pageMargins left="0.7" right="0.7" top="0.75" bottom="0.75" header="0.3" footer="0.3"/>
  <pageSetup firstPageNumber="15" orientation="landscape" useFirstPageNumber="1" r:id="rId1"/>
  <headerFooter>
    <oddHeader>&amp;L&amp;D &amp;T&amp;C&amp;A</oddHeader>
    <oddFooter>&amp;R&amp;P</oddFooter>
  </headerFooter>
  <ignoredErrors>
    <ignoredError sqref="D6:D7" formula="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C15"/>
  <sheetViews>
    <sheetView workbookViewId="0">
      <selection activeCell="B6" sqref="B6"/>
    </sheetView>
  </sheetViews>
  <sheetFormatPr baseColWidth="10" defaultColWidth="8.83203125" defaultRowHeight="15" x14ac:dyDescent="0.2"/>
  <cols>
    <col min="1" max="1" width="15.1640625" bestFit="1" customWidth="1"/>
    <col min="2" max="2" width="38" bestFit="1" customWidth="1"/>
    <col min="3" max="3" width="23.1640625" bestFit="1" customWidth="1"/>
  </cols>
  <sheetData>
    <row r="1" spans="1:3" ht="16" x14ac:dyDescent="0.2">
      <c r="A1" s="9" t="s">
        <v>241</v>
      </c>
      <c r="B1" s="9" t="s">
        <v>242</v>
      </c>
      <c r="C1" s="9" t="s">
        <v>378</v>
      </c>
    </row>
    <row r="2" spans="1:3" ht="16" x14ac:dyDescent="0.2">
      <c r="A2" s="6">
        <v>3.1</v>
      </c>
      <c r="B2" s="5" t="s">
        <v>3</v>
      </c>
      <c r="C2" s="2">
        <f>COUNTBLANK('3.1 Access Control'!$C$2:C23)</f>
        <v>22</v>
      </c>
    </row>
    <row r="3" spans="1:3" ht="16" x14ac:dyDescent="0.2">
      <c r="A3" s="6">
        <v>3.2</v>
      </c>
      <c r="B3" s="5" t="s">
        <v>243</v>
      </c>
      <c r="C3" s="2">
        <f>COUNTBLANK('3.2 Awareness and Training'!$C$2:C4)</f>
        <v>3</v>
      </c>
    </row>
    <row r="4" spans="1:3" ht="16" x14ac:dyDescent="0.2">
      <c r="A4" s="6">
        <v>3.3</v>
      </c>
      <c r="B4" s="5" t="s">
        <v>244</v>
      </c>
      <c r="C4" s="2">
        <f>COUNTBLANK('3.3 Audit and Accountability'!$C$2:C10)</f>
        <v>9</v>
      </c>
    </row>
    <row r="5" spans="1:3" ht="16" x14ac:dyDescent="0.2">
      <c r="A5" s="6">
        <v>3.4</v>
      </c>
      <c r="B5" s="5" t="s">
        <v>245</v>
      </c>
      <c r="C5" s="2">
        <f>COUNTBLANK('3.4 Configuration Management'!$C$2:C10)</f>
        <v>9</v>
      </c>
    </row>
    <row r="6" spans="1:3" ht="16" x14ac:dyDescent="0.2">
      <c r="A6" s="6">
        <v>3.5</v>
      </c>
      <c r="B6" s="5" t="s">
        <v>246</v>
      </c>
      <c r="C6" s="2">
        <f>COUNTBLANK('3.5 Identification and Auth.'!$C$2:C12)</f>
        <v>11</v>
      </c>
    </row>
    <row r="7" spans="1:3" ht="16" x14ac:dyDescent="0.2">
      <c r="A7" s="6">
        <v>3.6</v>
      </c>
      <c r="B7" s="5" t="s">
        <v>247</v>
      </c>
      <c r="C7" s="2">
        <f>COUNTBLANK('3.6 Incident Response'!$C$2:C4)</f>
        <v>3</v>
      </c>
    </row>
    <row r="8" spans="1:3" ht="16" x14ac:dyDescent="0.2">
      <c r="A8" s="6">
        <v>3.7</v>
      </c>
      <c r="B8" s="5" t="s">
        <v>86</v>
      </c>
      <c r="C8" s="2">
        <f>COUNTBLANK('3.7 Maintenance'!$C$2:C7)</f>
        <v>6</v>
      </c>
    </row>
    <row r="9" spans="1:3" ht="16" x14ac:dyDescent="0.2">
      <c r="A9" s="6">
        <v>3.8</v>
      </c>
      <c r="B9" s="5" t="s">
        <v>92</v>
      </c>
      <c r="C9" s="2">
        <f>COUNTBLANK('3.8 Media Protection'!$C$2:C10)</f>
        <v>9</v>
      </c>
    </row>
    <row r="10" spans="1:3" ht="16" x14ac:dyDescent="0.2">
      <c r="A10" s="6">
        <v>3.9</v>
      </c>
      <c r="B10" s="5" t="s">
        <v>248</v>
      </c>
      <c r="C10" s="2">
        <f>COUNTBLANK('3.9 Personnel Security'!$C$2:C3)</f>
        <v>2</v>
      </c>
    </row>
    <row r="11" spans="1:3" ht="16" x14ac:dyDescent="0.2">
      <c r="A11" s="7">
        <v>3.1</v>
      </c>
      <c r="B11" s="5" t="s">
        <v>249</v>
      </c>
      <c r="C11" s="2">
        <f>COUNTBLANK('3.10 Physical Protection'!$C$2:C7)</f>
        <v>6</v>
      </c>
    </row>
    <row r="12" spans="1:3" ht="16" x14ac:dyDescent="0.2">
      <c r="A12" s="7">
        <v>3.11</v>
      </c>
      <c r="B12" s="5" t="s">
        <v>113</v>
      </c>
      <c r="C12" s="2">
        <f>COUNTBLANK('3.11 Risk Assessment'!$C$2:C4)</f>
        <v>3</v>
      </c>
    </row>
    <row r="13" spans="1:3" ht="16" x14ac:dyDescent="0.2">
      <c r="A13" s="7">
        <v>3.12</v>
      </c>
      <c r="B13" s="5" t="s">
        <v>250</v>
      </c>
      <c r="C13" s="2">
        <f>COUNTBLANK('3.12 Security Assessment'!$C$2:C5)</f>
        <v>4</v>
      </c>
    </row>
    <row r="14" spans="1:3" ht="16" x14ac:dyDescent="0.2">
      <c r="A14" s="6">
        <v>3.13</v>
      </c>
      <c r="B14" s="5" t="s">
        <v>251</v>
      </c>
      <c r="C14" s="2">
        <f>COUNTBLANK('3.13 System and Communications'!$C$2:C17)</f>
        <v>16</v>
      </c>
    </row>
    <row r="15" spans="1:3" ht="16" x14ac:dyDescent="0.2">
      <c r="A15" s="6">
        <v>3.14</v>
      </c>
      <c r="B15" s="5" t="s">
        <v>252</v>
      </c>
      <c r="C15" s="2">
        <f>COUNTBLANK('3.14 System and Information'!$C$2:C8)</f>
        <v>7</v>
      </c>
    </row>
  </sheetData>
  <pageMargins left="0.7" right="0.7" top="0.75" bottom="0.75" header="0.3" footer="0.3"/>
  <pageSetup firstPageNumber="16" orientation="landscape" useFirstPageNumber="1" r:id="rId1"/>
  <headerFooter>
    <oddHeader>&amp;L&amp;D &amp;T&amp;C&amp;A</oddHeader>
    <oddFooter>&amp;R&amp;P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E33"/>
  <sheetViews>
    <sheetView tabSelected="1" zoomScaleNormal="100" workbookViewId="0">
      <selection activeCell="A27" sqref="A27:E33"/>
    </sheetView>
  </sheetViews>
  <sheetFormatPr baseColWidth="10" defaultColWidth="8.6640625" defaultRowHeight="16" x14ac:dyDescent="0.2"/>
  <cols>
    <col min="1" max="1" width="16.5" style="4" bestFit="1" customWidth="1"/>
    <col min="2" max="2" width="38" style="4" bestFit="1" customWidth="1"/>
    <col min="3" max="3" width="6.1640625" style="8" bestFit="1" customWidth="1"/>
    <col min="4" max="4" width="4.5" style="4" customWidth="1"/>
    <col min="5" max="5" width="83.6640625" style="4" bestFit="1" customWidth="1"/>
    <col min="6" max="6" width="29" style="4" bestFit="1" customWidth="1"/>
    <col min="7" max="7" width="16.1640625" style="4" bestFit="1" customWidth="1"/>
    <col min="8" max="8" width="11.83203125" style="4" bestFit="1" customWidth="1"/>
    <col min="9" max="9" width="15.5" style="4" bestFit="1" customWidth="1"/>
    <col min="10" max="10" width="16.5" style="4" bestFit="1" customWidth="1"/>
    <col min="11" max="11" width="16.83203125" style="4" bestFit="1" customWidth="1"/>
    <col min="12" max="12" width="14.5" style="4" bestFit="1" customWidth="1"/>
    <col min="13" max="13" width="5.5" style="4" bestFit="1" customWidth="1"/>
    <col min="14" max="14" width="18" style="4" bestFit="1" customWidth="1"/>
    <col min="15" max="15" width="34.83203125" style="4" bestFit="1" customWidth="1"/>
    <col min="16" max="16" width="28.83203125" style="4" bestFit="1" customWidth="1"/>
    <col min="17" max="17" width="10.6640625" style="4" bestFit="1" customWidth="1"/>
    <col min="18" max="16384" width="8.6640625" style="4"/>
  </cols>
  <sheetData>
    <row r="1" spans="1:5" x14ac:dyDescent="0.2">
      <c r="A1" s="9" t="s">
        <v>241</v>
      </c>
      <c r="B1" s="9" t="s">
        <v>242</v>
      </c>
      <c r="C1" s="10" t="s">
        <v>236</v>
      </c>
    </row>
    <row r="2" spans="1:5" ht="15.5" customHeight="1" x14ac:dyDescent="0.2">
      <c r="A2" s="6">
        <v>3.1</v>
      </c>
      <c r="B2" s="5" t="s">
        <v>3</v>
      </c>
      <c r="C2" s="8">
        <f>'3.1 Access Control'!F2</f>
        <v>-29</v>
      </c>
      <c r="E2" s="48" t="s">
        <v>394</v>
      </c>
    </row>
    <row r="3" spans="1:5" x14ac:dyDescent="0.2">
      <c r="A3" s="6">
        <v>3.2</v>
      </c>
      <c r="B3" s="5" t="s">
        <v>243</v>
      </c>
      <c r="C3" s="8">
        <f>'3.2 Awareness and Training'!F2</f>
        <v>-11</v>
      </c>
      <c r="D3" s="37"/>
      <c r="E3" s="48"/>
    </row>
    <row r="4" spans="1:5" x14ac:dyDescent="0.2">
      <c r="A4" s="6">
        <v>3.3</v>
      </c>
      <c r="B4" s="5" t="s">
        <v>244</v>
      </c>
      <c r="C4" s="8">
        <f>'3.3 Audit and Accountability'!F2</f>
        <v>-19</v>
      </c>
      <c r="D4" s="37"/>
      <c r="E4" s="37"/>
    </row>
    <row r="5" spans="1:5" x14ac:dyDescent="0.2">
      <c r="A5" s="6">
        <v>3.4</v>
      </c>
      <c r="B5" s="5" t="s">
        <v>245</v>
      </c>
      <c r="C5" s="8">
        <f>'3.4 Configuration Management'!F2</f>
        <v>-33</v>
      </c>
      <c r="E5" s="37"/>
    </row>
    <row r="6" spans="1:5" ht="15.5" customHeight="1" x14ac:dyDescent="0.2">
      <c r="A6" s="6">
        <v>3.5</v>
      </c>
      <c r="B6" s="5" t="s">
        <v>246</v>
      </c>
      <c r="C6" s="8">
        <f>'3.5 Identification and Auth.'!F2</f>
        <v>-27</v>
      </c>
    </row>
    <row r="7" spans="1:5" x14ac:dyDescent="0.2">
      <c r="A7" s="6">
        <v>3.6</v>
      </c>
      <c r="B7" s="5" t="s">
        <v>247</v>
      </c>
      <c r="C7" s="8">
        <f>'3.6 Incident Response'!F2</f>
        <v>-11</v>
      </c>
      <c r="E7" s="38"/>
    </row>
    <row r="8" spans="1:5" x14ac:dyDescent="0.2">
      <c r="A8" s="6">
        <v>3.7</v>
      </c>
      <c r="B8" s="5" t="s">
        <v>86</v>
      </c>
      <c r="C8" s="8">
        <f>'3.7 Maintenance'!F2</f>
        <v>-18</v>
      </c>
      <c r="E8" s="47" t="s">
        <v>395</v>
      </c>
    </row>
    <row r="9" spans="1:5" x14ac:dyDescent="0.2">
      <c r="A9" s="6">
        <v>3.8</v>
      </c>
      <c r="B9" s="5" t="s">
        <v>92</v>
      </c>
      <c r="C9" s="8">
        <f>'3.8 Media Protection'!F2</f>
        <v>-23</v>
      </c>
      <c r="E9" s="47"/>
    </row>
    <row r="10" spans="1:5" x14ac:dyDescent="0.2">
      <c r="A10" s="6">
        <v>3.9</v>
      </c>
      <c r="B10" s="5" t="s">
        <v>248</v>
      </c>
      <c r="C10" s="8">
        <f>'3.9 Personnel Security'!F2</f>
        <v>-8</v>
      </c>
    </row>
    <row r="11" spans="1:5" x14ac:dyDescent="0.2">
      <c r="A11" s="7">
        <v>3.1</v>
      </c>
      <c r="B11" s="5" t="s">
        <v>249</v>
      </c>
      <c r="C11" s="8">
        <f>'3.10 Physical Protection'!F2</f>
        <v>-14</v>
      </c>
    </row>
    <row r="12" spans="1:5" x14ac:dyDescent="0.2">
      <c r="A12" s="7">
        <v>3.11</v>
      </c>
      <c r="B12" s="5" t="s">
        <v>113</v>
      </c>
      <c r="C12" s="8">
        <f>'3.11 Risk Assessment'!F2</f>
        <v>-9</v>
      </c>
    </row>
    <row r="13" spans="1:5" x14ac:dyDescent="0.2">
      <c r="A13" s="7">
        <v>3.12</v>
      </c>
      <c r="B13" s="5" t="s">
        <v>250</v>
      </c>
      <c r="C13" s="8">
        <f>'3.12 Security Assessment'!F2</f>
        <v>-13</v>
      </c>
    </row>
    <row r="14" spans="1:5" x14ac:dyDescent="0.2">
      <c r="A14" s="6">
        <v>3.13</v>
      </c>
      <c r="B14" s="5" t="s">
        <v>251</v>
      </c>
      <c r="C14" s="8">
        <f>'3.13 System and Communications'!F2</f>
        <v>-42</v>
      </c>
    </row>
    <row r="15" spans="1:5" ht="17" thickBot="1" x14ac:dyDescent="0.25">
      <c r="A15" s="13">
        <v>3.14</v>
      </c>
      <c r="B15" s="14" t="s">
        <v>252</v>
      </c>
      <c r="C15" s="15">
        <f>'3.14 System and Information'!F2</f>
        <v>-31</v>
      </c>
    </row>
    <row r="16" spans="1:5" x14ac:dyDescent="0.2">
      <c r="B16" s="5" t="s">
        <v>385</v>
      </c>
      <c r="C16" s="8">
        <f>SUM(C2:C15)+110</f>
        <v>-178</v>
      </c>
      <c r="E16" s="4" t="s">
        <v>387</v>
      </c>
    </row>
    <row r="17" spans="1:5" ht="8" customHeight="1" x14ac:dyDescent="0.2">
      <c r="B17" s="5"/>
    </row>
    <row r="18" spans="1:5" ht="12" customHeight="1" x14ac:dyDescent="0.2">
      <c r="A18" s="47"/>
      <c r="B18" s="47"/>
      <c r="C18" s="47"/>
      <c r="D18" s="47"/>
      <c r="E18" s="47"/>
    </row>
    <row r="19" spans="1:5" x14ac:dyDescent="0.2">
      <c r="A19" s="47"/>
      <c r="B19" s="47"/>
      <c r="C19" s="47"/>
      <c r="D19" s="47"/>
      <c r="E19" s="47"/>
    </row>
    <row r="20" spans="1:5" x14ac:dyDescent="0.2">
      <c r="A20" s="47"/>
      <c r="B20" s="47"/>
      <c r="C20" s="47"/>
      <c r="D20" s="47"/>
      <c r="E20" s="47"/>
    </row>
    <row r="21" spans="1:5" ht="20.5" customHeight="1" x14ac:dyDescent="0.2">
      <c r="A21" s="47"/>
      <c r="B21" s="47"/>
      <c r="C21" s="47"/>
      <c r="D21" s="47"/>
      <c r="E21" s="47"/>
    </row>
    <row r="22" spans="1:5" ht="6.5" customHeight="1" x14ac:dyDescent="0.2"/>
    <row r="23" spans="1:5" ht="21.5" customHeight="1" x14ac:dyDescent="0.2">
      <c r="A23" s="47" t="s">
        <v>401</v>
      </c>
      <c r="B23" s="47"/>
      <c r="C23" s="47"/>
      <c r="D23" s="47"/>
      <c r="E23" s="47"/>
    </row>
    <row r="24" spans="1:5" ht="20.5" customHeight="1" x14ac:dyDescent="0.2">
      <c r="A24" s="47"/>
      <c r="B24" s="47"/>
      <c r="C24" s="47"/>
      <c r="D24" s="47"/>
      <c r="E24" s="47"/>
    </row>
    <row r="25" spans="1:5" ht="19" customHeight="1" x14ac:dyDescent="0.2">
      <c r="A25" s="47"/>
      <c r="B25" s="47"/>
      <c r="C25" s="47"/>
      <c r="D25" s="47"/>
      <c r="E25" s="47"/>
    </row>
    <row r="27" spans="1:5" ht="31.5" customHeight="1" x14ac:dyDescent="0.2">
      <c r="A27" s="50" t="s">
        <v>402</v>
      </c>
      <c r="B27" s="49"/>
      <c r="C27" s="49"/>
      <c r="D27" s="49"/>
      <c r="E27" s="49"/>
    </row>
    <row r="28" spans="1:5" ht="31.5" customHeight="1" x14ac:dyDescent="0.2">
      <c r="A28" s="49"/>
      <c r="B28" s="49"/>
      <c r="C28" s="49"/>
      <c r="D28" s="49"/>
      <c r="E28" s="49"/>
    </row>
    <row r="29" spans="1:5" ht="31.5" customHeight="1" x14ac:dyDescent="0.2">
      <c r="A29" s="49"/>
      <c r="B29" s="49"/>
      <c r="C29" s="49"/>
      <c r="D29" s="49"/>
      <c r="E29" s="49"/>
    </row>
    <row r="30" spans="1:5" ht="31.5" customHeight="1" x14ac:dyDescent="0.2">
      <c r="A30" s="49"/>
      <c r="B30" s="49"/>
      <c r="C30" s="49"/>
      <c r="D30" s="49"/>
      <c r="E30" s="49"/>
    </row>
    <row r="31" spans="1:5" ht="31.5" customHeight="1" x14ac:dyDescent="0.2">
      <c r="A31" s="49"/>
      <c r="B31" s="49"/>
      <c r="C31" s="49"/>
      <c r="D31" s="49"/>
      <c r="E31" s="49"/>
    </row>
    <row r="32" spans="1:5" ht="31.5" customHeight="1" x14ac:dyDescent="0.2">
      <c r="A32" s="49"/>
      <c r="B32" s="49"/>
      <c r="C32" s="49"/>
      <c r="D32" s="49"/>
      <c r="E32" s="49"/>
    </row>
    <row r="33" spans="1:5" ht="31.5" customHeight="1" x14ac:dyDescent="0.2">
      <c r="A33" s="49"/>
      <c r="B33" s="49"/>
      <c r="C33" s="49"/>
      <c r="D33" s="49"/>
      <c r="E33" s="49"/>
    </row>
  </sheetData>
  <mergeCells count="5">
    <mergeCell ref="E8:E9"/>
    <mergeCell ref="A23:E25"/>
    <mergeCell ref="A18:E21"/>
    <mergeCell ref="E2:E3"/>
    <mergeCell ref="A27:E33"/>
  </mergeCells>
  <pageMargins left="0.7" right="0.7" top="0.75" bottom="0.75" header="0.3" footer="0.3"/>
  <pageSetup firstPageNumber="17" orientation="landscape" useFirstPageNumber="1" r:id="rId1"/>
  <headerFooter>
    <oddHeader>&amp;L&amp;D &amp;T&amp;C&amp;A</oddHeader>
    <oddFooter>&amp;R&amp;P</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
    <pageSetUpPr fitToPage="1"/>
  </sheetPr>
  <dimension ref="A1:L1"/>
  <sheetViews>
    <sheetView zoomScaleNormal="100" workbookViewId="0">
      <selection activeCell="J9" sqref="J9"/>
    </sheetView>
  </sheetViews>
  <sheetFormatPr baseColWidth="10" defaultColWidth="9.5" defaultRowHeight="15" x14ac:dyDescent="0.2"/>
  <cols>
    <col min="1" max="1" width="16.5" customWidth="1"/>
    <col min="2" max="2" width="16.6640625" customWidth="1"/>
    <col min="3" max="3" width="19.5" customWidth="1"/>
    <col min="4" max="4" width="26.1640625" customWidth="1"/>
    <col min="5" max="5" width="35.33203125" customWidth="1"/>
    <col min="6" max="6" width="20.1640625" customWidth="1"/>
    <col min="7" max="7" width="17.33203125" customWidth="1"/>
    <col min="8" max="8" width="10.83203125" bestFit="1" customWidth="1"/>
    <col min="9" max="9" width="29.5" customWidth="1"/>
    <col min="10" max="10" width="22.1640625" customWidth="1"/>
    <col min="11" max="11" width="14.5" customWidth="1"/>
    <col min="12" max="12" width="18.5" customWidth="1"/>
  </cols>
  <sheetData>
    <row r="1" spans="1:12" s="16" customFormat="1" ht="47" customHeight="1" x14ac:dyDescent="0.2">
      <c r="A1" s="31" t="s">
        <v>367</v>
      </c>
      <c r="B1" s="31" t="s">
        <v>368</v>
      </c>
      <c r="C1" s="31" t="s">
        <v>369</v>
      </c>
      <c r="D1" s="31" t="s">
        <v>370</v>
      </c>
      <c r="E1" s="31" t="s">
        <v>396</v>
      </c>
      <c r="F1" s="31" t="s">
        <v>371</v>
      </c>
      <c r="G1" s="31" t="s">
        <v>372</v>
      </c>
      <c r="H1" s="31" t="s">
        <v>373</v>
      </c>
      <c r="I1" s="31" t="s">
        <v>374</v>
      </c>
      <c r="J1" s="31" t="s">
        <v>375</v>
      </c>
      <c r="K1" s="31" t="s">
        <v>376</v>
      </c>
      <c r="L1" s="31" t="s">
        <v>377</v>
      </c>
    </row>
  </sheetData>
  <protectedRanges>
    <protectedRange algorithmName="SHA-512" hashValue="OM4wtXdS81jwwDE8sb+CjlP446vK2nQyn06kS9xVteb5YoZydM4MSbP/55YLsXqeoOna57+yLZ4FjbDZNWLCuQ==" saltValue="YWfiRd1/Dpb+AMyDQ/Yd1Q==" spinCount="100000" sqref="A2:L100" name="POAM"/>
  </protectedRanges>
  <pageMargins left="0.25" right="0.25" top="0.75" bottom="0.75" header="0.05" footer="0.05"/>
  <pageSetup scale="81" fitToHeight="0" orientation="landscape" r:id="rId1"/>
  <headerFooter>
    <oddHeader>&amp;L&amp;D &amp;T&amp;C&amp;A</oddHeader>
    <oddFooter>&amp;R&amp;P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B111"/>
  <sheetViews>
    <sheetView topLeftCell="A109" workbookViewId="0">
      <selection activeCell="A111" sqref="A111"/>
    </sheetView>
  </sheetViews>
  <sheetFormatPr baseColWidth="10" defaultColWidth="8.83203125" defaultRowHeight="15" x14ac:dyDescent="0.2"/>
  <cols>
    <col min="1" max="1" width="22" style="3" customWidth="1"/>
    <col min="2" max="2" width="94" style="1" customWidth="1"/>
  </cols>
  <sheetData>
    <row r="1" spans="1:2" ht="20" x14ac:dyDescent="0.25">
      <c r="A1" s="27" t="s">
        <v>254</v>
      </c>
      <c r="B1" s="28" t="s">
        <v>255</v>
      </c>
    </row>
    <row r="2" spans="1:2" ht="112" x14ac:dyDescent="0.2">
      <c r="A2" s="29" t="s">
        <v>0</v>
      </c>
      <c r="B2" s="30" t="s">
        <v>256</v>
      </c>
    </row>
    <row r="3" spans="1:2" ht="96" x14ac:dyDescent="0.2">
      <c r="A3" s="29" t="s">
        <v>2</v>
      </c>
      <c r="B3" s="30" t="s">
        <v>257</v>
      </c>
    </row>
    <row r="4" spans="1:2" ht="96" x14ac:dyDescent="0.2">
      <c r="A4" s="29" t="s">
        <v>17</v>
      </c>
      <c r="B4" s="30" t="s">
        <v>258</v>
      </c>
    </row>
    <row r="5" spans="1:2" ht="112" x14ac:dyDescent="0.2">
      <c r="A5" s="29" t="s">
        <v>18</v>
      </c>
      <c r="B5" s="30" t="s">
        <v>259</v>
      </c>
    </row>
    <row r="6" spans="1:2" ht="208" x14ac:dyDescent="0.2">
      <c r="A6" s="29" t="s">
        <v>19</v>
      </c>
      <c r="B6" s="30" t="s">
        <v>260</v>
      </c>
    </row>
    <row r="7" spans="1:2" ht="80" x14ac:dyDescent="0.2">
      <c r="A7" s="29" t="s">
        <v>20</v>
      </c>
      <c r="B7" s="30" t="s">
        <v>261</v>
      </c>
    </row>
    <row r="8" spans="1:2" ht="144" x14ac:dyDescent="0.2">
      <c r="A8" s="29" t="s">
        <v>21</v>
      </c>
      <c r="B8" s="30" t="s">
        <v>262</v>
      </c>
    </row>
    <row r="9" spans="1:2" ht="96" x14ac:dyDescent="0.2">
      <c r="A9" s="29" t="s">
        <v>22</v>
      </c>
      <c r="B9" s="30" t="s">
        <v>263</v>
      </c>
    </row>
    <row r="10" spans="1:2" ht="96" x14ac:dyDescent="0.2">
      <c r="A10" s="29" t="s">
        <v>23</v>
      </c>
      <c r="B10" s="30" t="s">
        <v>264</v>
      </c>
    </row>
    <row r="11" spans="1:2" ht="128" x14ac:dyDescent="0.2">
      <c r="A11" s="29" t="s">
        <v>24</v>
      </c>
      <c r="B11" s="30" t="s">
        <v>265</v>
      </c>
    </row>
    <row r="12" spans="1:2" ht="128" x14ac:dyDescent="0.2">
      <c r="A12" s="29" t="s">
        <v>25</v>
      </c>
      <c r="B12" s="30" t="s">
        <v>266</v>
      </c>
    </row>
    <row r="13" spans="1:2" ht="128" x14ac:dyDescent="0.2">
      <c r="A13" s="29" t="s">
        <v>26</v>
      </c>
      <c r="B13" s="30" t="s">
        <v>267</v>
      </c>
    </row>
    <row r="14" spans="1:2" ht="16" x14ac:dyDescent="0.2">
      <c r="A14" s="29" t="s">
        <v>27</v>
      </c>
      <c r="B14" s="30" t="s">
        <v>357</v>
      </c>
    </row>
    <row r="15" spans="1:2" ht="48" x14ac:dyDescent="0.2">
      <c r="A15" s="29" t="s">
        <v>28</v>
      </c>
      <c r="B15" s="30" t="s">
        <v>268</v>
      </c>
    </row>
    <row r="16" spans="1:2" ht="160" x14ac:dyDescent="0.2">
      <c r="A16" s="29" t="s">
        <v>36</v>
      </c>
      <c r="B16" s="30" t="s">
        <v>269</v>
      </c>
    </row>
    <row r="17" spans="1:2" ht="60" customHeight="1" x14ac:dyDescent="0.2">
      <c r="A17" s="29" t="s">
        <v>37</v>
      </c>
      <c r="B17" s="30" t="s">
        <v>365</v>
      </c>
    </row>
    <row r="18" spans="1:2" ht="48" x14ac:dyDescent="0.2">
      <c r="A18" s="29" t="s">
        <v>38</v>
      </c>
      <c r="B18" s="30" t="s">
        <v>358</v>
      </c>
    </row>
    <row r="19" spans="1:2" ht="203" customHeight="1" x14ac:dyDescent="0.2">
      <c r="A19" s="29" t="s">
        <v>39</v>
      </c>
      <c r="B19" s="30" t="s">
        <v>359</v>
      </c>
    </row>
    <row r="20" spans="1:2" ht="48" x14ac:dyDescent="0.2">
      <c r="A20" s="29" t="s">
        <v>40</v>
      </c>
      <c r="B20" s="30" t="s">
        <v>360</v>
      </c>
    </row>
    <row r="21" spans="1:2" ht="112" x14ac:dyDescent="0.2">
      <c r="A21" s="29" t="s">
        <v>41</v>
      </c>
      <c r="B21" s="30" t="s">
        <v>270</v>
      </c>
    </row>
    <row r="22" spans="1:2" ht="103" customHeight="1" x14ac:dyDescent="0.2">
      <c r="A22" s="29" t="s">
        <v>42</v>
      </c>
      <c r="B22" s="30" t="s">
        <v>271</v>
      </c>
    </row>
    <row r="23" spans="1:2" ht="96" x14ac:dyDescent="0.2">
      <c r="A23" s="29" t="s">
        <v>43</v>
      </c>
      <c r="B23" s="30" t="s">
        <v>272</v>
      </c>
    </row>
    <row r="24" spans="1:2" ht="112" x14ac:dyDescent="0.2">
      <c r="A24" s="29" t="s">
        <v>45</v>
      </c>
      <c r="B24" s="30" t="s">
        <v>273</v>
      </c>
    </row>
    <row r="25" spans="1:2" ht="192" x14ac:dyDescent="0.2">
      <c r="A25" s="29" t="s">
        <v>146</v>
      </c>
      <c r="B25" s="30" t="s">
        <v>361</v>
      </c>
    </row>
    <row r="26" spans="1:2" ht="128" x14ac:dyDescent="0.2">
      <c r="A26" s="29" t="s">
        <v>147</v>
      </c>
      <c r="B26" s="30" t="s">
        <v>274</v>
      </c>
    </row>
    <row r="27" spans="1:2" ht="224" x14ac:dyDescent="0.2">
      <c r="A27" s="29" t="s">
        <v>148</v>
      </c>
      <c r="B27" s="30" t="s">
        <v>275</v>
      </c>
    </row>
    <row r="28" spans="1:2" ht="96" x14ac:dyDescent="0.2">
      <c r="A28" s="29" t="s">
        <v>149</v>
      </c>
      <c r="B28" s="30" t="s">
        <v>276</v>
      </c>
    </row>
    <row r="29" spans="1:2" ht="48" x14ac:dyDescent="0.2">
      <c r="A29" s="29" t="s">
        <v>150</v>
      </c>
      <c r="B29" s="30" t="s">
        <v>277</v>
      </c>
    </row>
    <row r="30" spans="1:2" ht="59.5" customHeight="1" x14ac:dyDescent="0.2">
      <c r="A30" s="29" t="s">
        <v>151</v>
      </c>
      <c r="B30" s="30" t="s">
        <v>278</v>
      </c>
    </row>
    <row r="31" spans="1:2" ht="48" x14ac:dyDescent="0.2">
      <c r="A31" s="29" t="s">
        <v>152</v>
      </c>
      <c r="B31" s="30" t="s">
        <v>279</v>
      </c>
    </row>
    <row r="32" spans="1:2" ht="112" x14ac:dyDescent="0.2">
      <c r="A32" s="29" t="s">
        <v>153</v>
      </c>
      <c r="B32" s="30" t="s">
        <v>280</v>
      </c>
    </row>
    <row r="33" spans="1:2" ht="128" x14ac:dyDescent="0.2">
      <c r="A33" s="29" t="s">
        <v>154</v>
      </c>
      <c r="B33" s="30" t="s">
        <v>362</v>
      </c>
    </row>
    <row r="34" spans="1:2" ht="80" x14ac:dyDescent="0.2">
      <c r="A34" s="29" t="s">
        <v>155</v>
      </c>
      <c r="B34" s="30" t="s">
        <v>281</v>
      </c>
    </row>
    <row r="35" spans="1:2" ht="64" x14ac:dyDescent="0.2">
      <c r="A35" s="29" t="s">
        <v>156</v>
      </c>
      <c r="B35" s="30" t="s">
        <v>282</v>
      </c>
    </row>
    <row r="36" spans="1:2" ht="160" x14ac:dyDescent="0.2">
      <c r="A36" s="29" t="s">
        <v>157</v>
      </c>
      <c r="B36" s="30" t="s">
        <v>283</v>
      </c>
    </row>
    <row r="37" spans="1:2" ht="161" customHeight="1" x14ac:dyDescent="0.2">
      <c r="A37" s="29" t="s">
        <v>158</v>
      </c>
      <c r="B37" s="30" t="s">
        <v>284</v>
      </c>
    </row>
    <row r="38" spans="1:2" ht="176" x14ac:dyDescent="0.2">
      <c r="A38" s="29" t="s">
        <v>159</v>
      </c>
      <c r="B38" s="30" t="s">
        <v>285</v>
      </c>
    </row>
    <row r="39" spans="1:2" ht="112" x14ac:dyDescent="0.2">
      <c r="A39" s="29" t="s">
        <v>160</v>
      </c>
      <c r="B39" s="30" t="s">
        <v>286</v>
      </c>
    </row>
    <row r="40" spans="1:2" ht="144" x14ac:dyDescent="0.2">
      <c r="A40" s="29" t="s">
        <v>161</v>
      </c>
      <c r="B40" s="30" t="s">
        <v>287</v>
      </c>
    </row>
    <row r="41" spans="1:2" ht="176" x14ac:dyDescent="0.2">
      <c r="A41" s="29" t="s">
        <v>162</v>
      </c>
      <c r="B41" s="30" t="s">
        <v>288</v>
      </c>
    </row>
    <row r="42" spans="1:2" ht="80" x14ac:dyDescent="0.2">
      <c r="A42" s="29" t="s">
        <v>163</v>
      </c>
      <c r="B42" s="30" t="s">
        <v>289</v>
      </c>
    </row>
    <row r="43" spans="1:2" ht="96" x14ac:dyDescent="0.2">
      <c r="A43" s="29" t="s">
        <v>164</v>
      </c>
      <c r="B43" s="30" t="s">
        <v>290</v>
      </c>
    </row>
    <row r="44" spans="1:2" ht="112" x14ac:dyDescent="0.2">
      <c r="A44" s="29" t="s">
        <v>165</v>
      </c>
      <c r="B44" s="30" t="s">
        <v>291</v>
      </c>
    </row>
    <row r="45" spans="1:2" ht="96" x14ac:dyDescent="0.2">
      <c r="A45" s="29" t="s">
        <v>166</v>
      </c>
      <c r="B45" s="30" t="s">
        <v>292</v>
      </c>
    </row>
    <row r="46" spans="1:2" ht="160" customHeight="1" x14ac:dyDescent="0.2">
      <c r="A46" s="29" t="s">
        <v>167</v>
      </c>
      <c r="B46" s="30" t="s">
        <v>293</v>
      </c>
    </row>
    <row r="47" spans="1:2" ht="204" customHeight="1" x14ac:dyDescent="0.2">
      <c r="A47" s="29" t="s">
        <v>168</v>
      </c>
      <c r="B47" s="30" t="s">
        <v>294</v>
      </c>
    </row>
    <row r="48" spans="1:2" ht="48" x14ac:dyDescent="0.2">
      <c r="A48" s="29" t="s">
        <v>169</v>
      </c>
      <c r="B48" s="30" t="s">
        <v>295</v>
      </c>
    </row>
    <row r="49" spans="1:2" ht="48" x14ac:dyDescent="0.2">
      <c r="A49" s="29" t="s">
        <v>170</v>
      </c>
      <c r="B49" s="30" t="s">
        <v>296</v>
      </c>
    </row>
    <row r="50" spans="1:2" ht="48" x14ac:dyDescent="0.2">
      <c r="A50" s="29" t="s">
        <v>171</v>
      </c>
      <c r="B50" s="30" t="s">
        <v>297</v>
      </c>
    </row>
    <row r="51" spans="1:2" ht="64" x14ac:dyDescent="0.2">
      <c r="A51" s="29" t="s">
        <v>172</v>
      </c>
      <c r="B51" s="30" t="s">
        <v>298</v>
      </c>
    </row>
    <row r="52" spans="1:2" ht="16" x14ac:dyDescent="0.2">
      <c r="A52" s="29" t="s">
        <v>173</v>
      </c>
      <c r="B52" s="30" t="s">
        <v>299</v>
      </c>
    </row>
    <row r="53" spans="1:2" ht="48" x14ac:dyDescent="0.2">
      <c r="A53" s="29" t="s">
        <v>174</v>
      </c>
      <c r="B53" s="30" t="s">
        <v>300</v>
      </c>
    </row>
    <row r="54" spans="1:2" ht="16" x14ac:dyDescent="0.2">
      <c r="A54" s="29" t="s">
        <v>175</v>
      </c>
      <c r="B54" s="30" t="s">
        <v>301</v>
      </c>
    </row>
    <row r="55" spans="1:2" ht="128" x14ac:dyDescent="0.2">
      <c r="A55" s="29" t="s">
        <v>176</v>
      </c>
      <c r="B55" s="30" t="s">
        <v>302</v>
      </c>
    </row>
    <row r="56" spans="1:2" ht="247.5" customHeight="1" x14ac:dyDescent="0.2">
      <c r="A56" s="29" t="s">
        <v>177</v>
      </c>
      <c r="B56" s="30" t="s">
        <v>303</v>
      </c>
    </row>
    <row r="57" spans="1:2" ht="144" x14ac:dyDescent="0.2">
      <c r="A57" s="29" t="s">
        <v>178</v>
      </c>
      <c r="B57" s="30" t="s">
        <v>304</v>
      </c>
    </row>
    <row r="58" spans="1:2" ht="80" x14ac:dyDescent="0.2">
      <c r="A58" s="29" t="s">
        <v>179</v>
      </c>
      <c r="B58" s="30" t="s">
        <v>305</v>
      </c>
    </row>
    <row r="59" spans="1:2" ht="64" x14ac:dyDescent="0.2">
      <c r="A59" s="29" t="s">
        <v>180</v>
      </c>
      <c r="B59" s="30" t="s">
        <v>306</v>
      </c>
    </row>
    <row r="60" spans="1:2" ht="102" customHeight="1" x14ac:dyDescent="0.2">
      <c r="A60" s="29" t="s">
        <v>181</v>
      </c>
      <c r="B60" s="30" t="s">
        <v>307</v>
      </c>
    </row>
    <row r="61" spans="1:2" ht="48" x14ac:dyDescent="0.2">
      <c r="A61" s="29" t="s">
        <v>182</v>
      </c>
      <c r="B61" s="30" t="s">
        <v>308</v>
      </c>
    </row>
    <row r="62" spans="1:2" ht="32" x14ac:dyDescent="0.2">
      <c r="A62" s="29" t="s">
        <v>183</v>
      </c>
      <c r="B62" s="30" t="s">
        <v>309</v>
      </c>
    </row>
    <row r="63" spans="1:2" ht="48" x14ac:dyDescent="0.2">
      <c r="A63" s="29" t="s">
        <v>184</v>
      </c>
      <c r="B63" s="30" t="s">
        <v>310</v>
      </c>
    </row>
    <row r="64" spans="1:2" ht="128" x14ac:dyDescent="0.2">
      <c r="A64" s="29" t="s">
        <v>185</v>
      </c>
      <c r="B64" s="30" t="s">
        <v>311</v>
      </c>
    </row>
    <row r="65" spans="1:2" ht="146" customHeight="1" x14ac:dyDescent="0.2">
      <c r="A65" s="29" t="s">
        <v>186</v>
      </c>
      <c r="B65" s="30" t="s">
        <v>312</v>
      </c>
    </row>
    <row r="66" spans="1:2" ht="64" x14ac:dyDescent="0.2">
      <c r="A66" s="29" t="s">
        <v>187</v>
      </c>
      <c r="B66" s="30" t="s">
        <v>313</v>
      </c>
    </row>
    <row r="67" spans="1:2" ht="224" x14ac:dyDescent="0.2">
      <c r="A67" s="29" t="s">
        <v>188</v>
      </c>
      <c r="B67" s="30" t="s">
        <v>314</v>
      </c>
    </row>
    <row r="68" spans="1:2" ht="48" x14ac:dyDescent="0.2">
      <c r="A68" s="29" t="s">
        <v>189</v>
      </c>
      <c r="B68" s="30" t="s">
        <v>315</v>
      </c>
    </row>
    <row r="69" spans="1:2" ht="144" x14ac:dyDescent="0.2">
      <c r="A69" s="29" t="s">
        <v>190</v>
      </c>
      <c r="B69" s="30" t="s">
        <v>316</v>
      </c>
    </row>
    <row r="70" spans="1:2" ht="32" x14ac:dyDescent="0.2">
      <c r="A70" s="29" t="s">
        <v>191</v>
      </c>
      <c r="B70" s="30" t="s">
        <v>317</v>
      </c>
    </row>
    <row r="71" spans="1:2" ht="176" x14ac:dyDescent="0.2">
      <c r="A71" s="29" t="s">
        <v>192</v>
      </c>
      <c r="B71" s="30" t="s">
        <v>318</v>
      </c>
    </row>
    <row r="72" spans="1:2" ht="48" x14ac:dyDescent="0.2">
      <c r="A72" s="29" t="s">
        <v>193</v>
      </c>
      <c r="B72" s="30" t="s">
        <v>319</v>
      </c>
    </row>
    <row r="73" spans="1:2" ht="80" x14ac:dyDescent="0.2">
      <c r="A73" s="29" t="s">
        <v>194</v>
      </c>
      <c r="B73" s="30" t="s">
        <v>320</v>
      </c>
    </row>
    <row r="74" spans="1:2" ht="64" x14ac:dyDescent="0.2">
      <c r="A74" s="29" t="s">
        <v>195</v>
      </c>
      <c r="B74" s="30" t="s">
        <v>321</v>
      </c>
    </row>
    <row r="75" spans="1:2" ht="247.5" customHeight="1" x14ac:dyDescent="0.2">
      <c r="A75" s="29" t="s">
        <v>235</v>
      </c>
      <c r="B75" s="30" t="s">
        <v>322</v>
      </c>
    </row>
    <row r="76" spans="1:2" ht="144" x14ac:dyDescent="0.2">
      <c r="A76" s="29" t="s">
        <v>196</v>
      </c>
      <c r="B76" s="30" t="s">
        <v>323</v>
      </c>
    </row>
    <row r="77" spans="1:2" ht="112" x14ac:dyDescent="0.2">
      <c r="A77" s="29" t="s">
        <v>197</v>
      </c>
      <c r="B77" s="30" t="s">
        <v>324</v>
      </c>
    </row>
    <row r="78" spans="1:2" ht="32" x14ac:dyDescent="0.2">
      <c r="A78" s="29" t="s">
        <v>198</v>
      </c>
      <c r="B78" s="30" t="s">
        <v>325</v>
      </c>
    </row>
    <row r="79" spans="1:2" ht="80" x14ac:dyDescent="0.2">
      <c r="A79" s="29" t="s">
        <v>199</v>
      </c>
      <c r="B79" s="30" t="s">
        <v>326</v>
      </c>
    </row>
    <row r="80" spans="1:2" ht="16" x14ac:dyDescent="0.2">
      <c r="A80" s="29" t="s">
        <v>200</v>
      </c>
      <c r="B80" s="30" t="s">
        <v>327</v>
      </c>
    </row>
    <row r="81" spans="1:2" ht="48" x14ac:dyDescent="0.2">
      <c r="A81" s="29" t="s">
        <v>201</v>
      </c>
      <c r="B81" s="30" t="s">
        <v>328</v>
      </c>
    </row>
    <row r="82" spans="1:2" ht="96" x14ac:dyDescent="0.2">
      <c r="A82" s="29" t="s">
        <v>202</v>
      </c>
      <c r="B82" s="30" t="s">
        <v>329</v>
      </c>
    </row>
    <row r="83" spans="1:2" ht="160" x14ac:dyDescent="0.2">
      <c r="A83" s="29" t="s">
        <v>203</v>
      </c>
      <c r="B83" s="30" t="s">
        <v>330</v>
      </c>
    </row>
    <row r="84" spans="1:2" ht="48" x14ac:dyDescent="0.2">
      <c r="A84" s="29" t="s">
        <v>204</v>
      </c>
      <c r="B84" s="30" t="s">
        <v>331</v>
      </c>
    </row>
    <row r="85" spans="1:2" ht="128" x14ac:dyDescent="0.2">
      <c r="A85" s="29" t="s">
        <v>205</v>
      </c>
      <c r="B85" s="30" t="s">
        <v>332</v>
      </c>
    </row>
    <row r="86" spans="1:2" ht="112" x14ac:dyDescent="0.2">
      <c r="A86" s="29" t="s">
        <v>206</v>
      </c>
      <c r="B86" s="30" t="s">
        <v>363</v>
      </c>
    </row>
    <row r="87" spans="1:2" ht="160" x14ac:dyDescent="0.2">
      <c r="A87" s="29" t="s">
        <v>207</v>
      </c>
      <c r="B87" s="30" t="s">
        <v>333</v>
      </c>
    </row>
    <row r="88" spans="1:2" ht="208" x14ac:dyDescent="0.2">
      <c r="A88" s="29" t="s">
        <v>208</v>
      </c>
      <c r="B88" s="30" t="s">
        <v>334</v>
      </c>
    </row>
    <row r="89" spans="1:2" ht="192" x14ac:dyDescent="0.2">
      <c r="A89" s="29" t="s">
        <v>209</v>
      </c>
      <c r="B89" s="30" t="s">
        <v>335</v>
      </c>
    </row>
    <row r="90" spans="1:2" ht="189.5" customHeight="1" x14ac:dyDescent="0.2">
      <c r="A90" s="29" t="s">
        <v>210</v>
      </c>
      <c r="B90" s="30" t="s">
        <v>336</v>
      </c>
    </row>
    <row r="91" spans="1:2" ht="128" x14ac:dyDescent="0.2">
      <c r="A91" s="29" t="s">
        <v>211</v>
      </c>
      <c r="B91" s="30" t="s">
        <v>337</v>
      </c>
    </row>
    <row r="92" spans="1:2" ht="144" x14ac:dyDescent="0.2">
      <c r="A92" s="29" t="s">
        <v>212</v>
      </c>
      <c r="B92" s="30" t="s">
        <v>338</v>
      </c>
    </row>
    <row r="93" spans="1:2" ht="48" x14ac:dyDescent="0.2">
      <c r="A93" s="29" t="s">
        <v>213</v>
      </c>
      <c r="B93" s="30" t="s">
        <v>339</v>
      </c>
    </row>
    <row r="94" spans="1:2" ht="48" x14ac:dyDescent="0.2">
      <c r="A94" s="29" t="s">
        <v>214</v>
      </c>
      <c r="B94" s="30" t="s">
        <v>340</v>
      </c>
    </row>
    <row r="95" spans="1:2" ht="112" x14ac:dyDescent="0.2">
      <c r="A95" s="29" t="s">
        <v>215</v>
      </c>
      <c r="B95" s="30" t="s">
        <v>341</v>
      </c>
    </row>
    <row r="96" spans="1:2" ht="192" x14ac:dyDescent="0.2">
      <c r="A96" s="29" t="s">
        <v>216</v>
      </c>
      <c r="B96" s="30" t="s">
        <v>364</v>
      </c>
    </row>
    <row r="97" spans="1:2" ht="74" customHeight="1" x14ac:dyDescent="0.2">
      <c r="A97" s="29" t="s">
        <v>217</v>
      </c>
      <c r="B97" s="30" t="s">
        <v>342</v>
      </c>
    </row>
    <row r="98" spans="1:2" ht="64" x14ac:dyDescent="0.2">
      <c r="A98" s="29" t="s">
        <v>218</v>
      </c>
      <c r="B98" s="30" t="s">
        <v>343</v>
      </c>
    </row>
    <row r="99" spans="1:2" ht="80" x14ac:dyDescent="0.2">
      <c r="A99" s="29" t="s">
        <v>219</v>
      </c>
      <c r="B99" s="30" t="s">
        <v>344</v>
      </c>
    </row>
    <row r="100" spans="1:2" ht="64" x14ac:dyDescent="0.2">
      <c r="A100" s="29" t="s">
        <v>220</v>
      </c>
      <c r="B100" s="30" t="s">
        <v>345</v>
      </c>
    </row>
    <row r="101" spans="1:2" ht="112" x14ac:dyDescent="0.2">
      <c r="A101" s="29" t="s">
        <v>221</v>
      </c>
      <c r="B101" s="30" t="s">
        <v>346</v>
      </c>
    </row>
    <row r="102" spans="1:2" ht="112" x14ac:dyDescent="0.2">
      <c r="A102" s="29" t="s">
        <v>222</v>
      </c>
      <c r="B102" s="30" t="s">
        <v>347</v>
      </c>
    </row>
    <row r="103" spans="1:2" ht="80" x14ac:dyDescent="0.2">
      <c r="A103" s="29" t="s">
        <v>223</v>
      </c>
      <c r="B103" s="30" t="s">
        <v>348</v>
      </c>
    </row>
    <row r="104" spans="1:2" ht="96" x14ac:dyDescent="0.2">
      <c r="A104" s="29" t="s">
        <v>224</v>
      </c>
      <c r="B104" s="30" t="s">
        <v>349</v>
      </c>
    </row>
    <row r="105" spans="1:2" ht="160" x14ac:dyDescent="0.2">
      <c r="A105" s="29" t="s">
        <v>225</v>
      </c>
      <c r="B105" s="30" t="s">
        <v>350</v>
      </c>
    </row>
    <row r="106" spans="1:2" ht="256" x14ac:dyDescent="0.2">
      <c r="A106" s="29" t="s">
        <v>226</v>
      </c>
      <c r="B106" s="30" t="s">
        <v>351</v>
      </c>
    </row>
    <row r="107" spans="1:2" ht="96" x14ac:dyDescent="0.2">
      <c r="A107" s="29" t="s">
        <v>227</v>
      </c>
      <c r="B107" s="30" t="s">
        <v>352</v>
      </c>
    </row>
    <row r="108" spans="1:2" ht="144" x14ac:dyDescent="0.2">
      <c r="A108" s="29" t="s">
        <v>228</v>
      </c>
      <c r="B108" s="30" t="s">
        <v>353</v>
      </c>
    </row>
    <row r="109" spans="1:2" ht="74" customHeight="1" x14ac:dyDescent="0.2">
      <c r="A109" s="29" t="s">
        <v>229</v>
      </c>
      <c r="B109" s="30" t="s">
        <v>354</v>
      </c>
    </row>
    <row r="110" spans="1:2" ht="233.5" customHeight="1" x14ac:dyDescent="0.2">
      <c r="A110" s="29" t="s">
        <v>230</v>
      </c>
      <c r="B110" s="30" t="s">
        <v>355</v>
      </c>
    </row>
    <row r="111" spans="1:2" ht="160" x14ac:dyDescent="0.2">
      <c r="A111" s="29" t="s">
        <v>231</v>
      </c>
      <c r="B111" s="30" t="s">
        <v>356</v>
      </c>
    </row>
  </sheetData>
  <hyperlinks>
    <hyperlink ref="A2" location="'3.1 Access Control'!A2" display="3.1.1" xr:uid="{00000000-0004-0000-1300-000000000000}"/>
    <hyperlink ref="A3" location="'3.1 Access Control'!A3" display="3.1.2" xr:uid="{00000000-0004-0000-1300-000001000000}"/>
    <hyperlink ref="A4" location="'3.1 Access Control'!A4" display="3.1.3" xr:uid="{00000000-0004-0000-1300-000002000000}"/>
    <hyperlink ref="A5" location="'3.1 Access Control'!A5" display="3.1.4" xr:uid="{00000000-0004-0000-1300-000003000000}"/>
    <hyperlink ref="A6" location="'3.1 Access Control'!A6" display="3.1.5" xr:uid="{00000000-0004-0000-1300-000004000000}"/>
    <hyperlink ref="A7" location="'3.1 Access Control'!A7" display="3.1.6" xr:uid="{00000000-0004-0000-1300-000005000000}"/>
    <hyperlink ref="A8" location="'3.1 Access Control'!A8" display="3.1.7" xr:uid="{00000000-0004-0000-1300-000006000000}"/>
    <hyperlink ref="A9" location="'3.1 Access Control'!A9" display="3.1.8" xr:uid="{00000000-0004-0000-1300-000007000000}"/>
    <hyperlink ref="A10" location="'3.1 Access Control'!A10" display="3.1.9" xr:uid="{00000000-0004-0000-1300-000008000000}"/>
    <hyperlink ref="A11" location="'3.1 Access Control'!A11" display="3.1.10" xr:uid="{00000000-0004-0000-1300-000009000000}"/>
    <hyperlink ref="A12" location="'3.1 Access Control'!A12" display="3.1.11" xr:uid="{00000000-0004-0000-1300-00000A000000}"/>
    <hyperlink ref="A13" location="'3.1 Access Control'!A13" display="3.1.12" xr:uid="{00000000-0004-0000-1300-00000B000000}"/>
    <hyperlink ref="A14" location="'3.1 Access Control'!A14" display="3.1.13" xr:uid="{00000000-0004-0000-1300-00000C000000}"/>
    <hyperlink ref="A15" location="'3.1 Access Control'!A15" display="3.1.14" xr:uid="{00000000-0004-0000-1300-00000D000000}"/>
    <hyperlink ref="A16:A21" location="'3.1 Access Control'!A1" display="3.1.15" xr:uid="{00000000-0004-0000-1300-00000E000000}"/>
    <hyperlink ref="A22:A23" location="'3.1 Access Control'!A1" display="3.1.21" xr:uid="{00000000-0004-0000-1300-00000F000000}"/>
    <hyperlink ref="A24:A26" location="'3.2 Awareness and Training'!A1" display="3.2.1" xr:uid="{00000000-0004-0000-1300-000010000000}"/>
    <hyperlink ref="A27:A35" location="'3.3 Audit and Accountability'!A1" display="3.3.1" xr:uid="{00000000-0004-0000-1300-000011000000}"/>
    <hyperlink ref="A36:A44" location="'3.4 Configuration Management'!A1" display="3.4.1" xr:uid="{00000000-0004-0000-1300-000012000000}"/>
    <hyperlink ref="A45:A55" location="'3.5 Identification and Auth.'!A1" display="3.5.1" xr:uid="{00000000-0004-0000-1300-000013000000}"/>
    <hyperlink ref="A56:A58" location="'3.6 Incident Response'!A1" display="3.6.1" xr:uid="{00000000-0004-0000-1300-000014000000}"/>
    <hyperlink ref="A59:A64" location="'3.7 Maintenance'!A1" display="3.7.1" xr:uid="{00000000-0004-0000-1300-000015000000}"/>
    <hyperlink ref="A65" location="'3.8 Media Protection'!A2" display="3.8.1" xr:uid="{00000000-0004-0000-1300-000016000000}"/>
    <hyperlink ref="A66:A73" location="'3.8 Media Protection'!A1" display="3.8.2" xr:uid="{00000000-0004-0000-1300-000017000000}"/>
    <hyperlink ref="A74:A75" location="'3.9 Personnel Security'!A1" display="3.9.1" xr:uid="{00000000-0004-0000-1300-000018000000}"/>
    <hyperlink ref="A76:A81" location="'3.10 Physical Protection'!A1" display="3.10.1" xr:uid="{00000000-0004-0000-1300-000019000000}"/>
    <hyperlink ref="A82:A84" location="'3.11 Risk Assessment'!A1" display="3.11.1" xr:uid="{00000000-0004-0000-1300-00001A000000}"/>
    <hyperlink ref="A85:A88" location="'3.12 Security Assessment'!A1" display="3.12.1" xr:uid="{00000000-0004-0000-1300-00001B000000}"/>
    <hyperlink ref="A89:A104" location="'3.13 System and Communications'!A1" display="3.13.1" xr:uid="{00000000-0004-0000-1300-00001C000000}"/>
    <hyperlink ref="A105:A111" location="'3.14 System and Information'!A1" display="3.14.1" xr:uid="{00000000-0004-0000-1300-00001D000000}"/>
    <hyperlink ref="A16" location="'3.1 Access Control'!A16" display="3.1.15" xr:uid="{00000000-0004-0000-1300-00001E000000}"/>
    <hyperlink ref="A17" location="'3.1 Access Control'!A17" display="3.1.16" xr:uid="{00000000-0004-0000-1300-00001F000000}"/>
    <hyperlink ref="A18" location="'3.1 Access Control'!A18" display="3.1.17" xr:uid="{00000000-0004-0000-1300-000020000000}"/>
    <hyperlink ref="A19" location="'3.1 Access Control'!A19" display="3.1.18" xr:uid="{00000000-0004-0000-1300-000021000000}"/>
    <hyperlink ref="A20" location="'3.1 Access Control'!A20" display="3.1.19" xr:uid="{00000000-0004-0000-1300-000022000000}"/>
    <hyperlink ref="A21" location="'3.1 Access Control'!A21" display="3.1.20" xr:uid="{00000000-0004-0000-1300-000023000000}"/>
    <hyperlink ref="A22" location="'3.1 Access Control'!A22" display="3.1.21" xr:uid="{00000000-0004-0000-1300-000024000000}"/>
    <hyperlink ref="A23" location="'3.1 Access Control'!A23" display="3.1.22" xr:uid="{00000000-0004-0000-1300-000025000000}"/>
    <hyperlink ref="A24" location="'3.2 Awareness and Training'!A2" display="3.2.1" xr:uid="{00000000-0004-0000-1300-000026000000}"/>
    <hyperlink ref="A25" location="'3.2 Awareness and Training'!A3" display="3.2.2" xr:uid="{00000000-0004-0000-1300-000027000000}"/>
    <hyperlink ref="A26" location="'3.2 Awareness and Training'!A4" display="3.2.3" xr:uid="{00000000-0004-0000-1300-000028000000}"/>
    <hyperlink ref="A27" location="'3.3 Audit and Accountability'!A2" display="3.3.1" xr:uid="{00000000-0004-0000-1300-000029000000}"/>
    <hyperlink ref="A28" location="'3.3 Audit and Accountability'!A3" display="3.3.2" xr:uid="{00000000-0004-0000-1300-00002A000000}"/>
    <hyperlink ref="A29" location="'3.3 Audit and Accountability'!A4" display="3.3.3" xr:uid="{00000000-0004-0000-1300-00002B000000}"/>
    <hyperlink ref="A30" location="'3.3 Audit and Accountability'!A5" display="3.3.4" xr:uid="{00000000-0004-0000-1300-00002C000000}"/>
    <hyperlink ref="A31" location="'3.3 Audit and Accountability'!A6" display="3.3.5" xr:uid="{00000000-0004-0000-1300-00002D000000}"/>
    <hyperlink ref="A32" location="'3.3 Audit and Accountability'!A7" display="3.3.6" xr:uid="{00000000-0004-0000-1300-00002E000000}"/>
    <hyperlink ref="A33" location="'3.3 Audit and Accountability'!A8" display="3.3.7" xr:uid="{00000000-0004-0000-1300-00002F000000}"/>
    <hyperlink ref="A34" location="'3.3 Audit and Accountability'!A9" display="3.3.8" xr:uid="{00000000-0004-0000-1300-000030000000}"/>
    <hyperlink ref="A35" location="'3.3 Audit and Accountability'!A10" display="3.3.9" xr:uid="{00000000-0004-0000-1300-000031000000}"/>
    <hyperlink ref="A36" location="'3.4 Configuration Management'!A2" display="3.4.1" xr:uid="{00000000-0004-0000-1300-000032000000}"/>
    <hyperlink ref="A37" location="'3.4 Configuration Management'!A3" display="3.4.2" xr:uid="{00000000-0004-0000-1300-000033000000}"/>
    <hyperlink ref="A38" location="'3.4 Configuration Management'!A4" display="3.4.3" xr:uid="{00000000-0004-0000-1300-000034000000}"/>
    <hyperlink ref="A39" location="'3.4 Configuration Management'!A5" display="3.4.4" xr:uid="{00000000-0004-0000-1300-000035000000}"/>
    <hyperlink ref="A40" location="'3.4 Configuration Management'!A6" display="3.4.5" xr:uid="{00000000-0004-0000-1300-000036000000}"/>
    <hyperlink ref="A41" location="'3.4 Configuration Management'!A7" display="3.4.6" xr:uid="{00000000-0004-0000-1300-000037000000}"/>
    <hyperlink ref="A42" location="'3.4 Configuration Management'!A8" display="3.4.7" xr:uid="{00000000-0004-0000-1300-000038000000}"/>
    <hyperlink ref="A43" location="'3.4 Configuration Management'!A9" display="3.4.8" xr:uid="{00000000-0004-0000-1300-000039000000}"/>
    <hyperlink ref="A44" location="'3.4 Configuration Management'!A10" display="3.4.9" xr:uid="{00000000-0004-0000-1300-00003A000000}"/>
    <hyperlink ref="A45" location="'3.5 Identification and Auth.'!A2" display="3.5.1" xr:uid="{00000000-0004-0000-1300-00003B000000}"/>
    <hyperlink ref="A46" location="'3.5 Identification and Auth.'!A3" display="3.5.2" xr:uid="{00000000-0004-0000-1300-00003C000000}"/>
    <hyperlink ref="A47" location="'3.5 Identification and Auth.'!A4" display="3.5.3" xr:uid="{00000000-0004-0000-1300-00003D000000}"/>
    <hyperlink ref="A48" location="'3.5 Identification and Auth.'!A5" display="3.5.4" xr:uid="{00000000-0004-0000-1300-00003E000000}"/>
    <hyperlink ref="A49" location="'3.5 Identification and Auth.'!A6" display="3.5.5" xr:uid="{00000000-0004-0000-1300-00003F000000}"/>
    <hyperlink ref="A50" location="'3.5 Identification and Auth.'!A7" display="3.5.6" xr:uid="{00000000-0004-0000-1300-000040000000}"/>
    <hyperlink ref="A51" location="'3.5 Identification and Auth.'!A8" display="3.5.7" xr:uid="{00000000-0004-0000-1300-000041000000}"/>
    <hyperlink ref="A52" location="'3.5 Identification and Auth.'!A9" display="3.5.8" xr:uid="{00000000-0004-0000-1300-000042000000}"/>
    <hyperlink ref="A53" location="'3.5 Identification and Auth.'!A10" display="3.5.9" xr:uid="{00000000-0004-0000-1300-000043000000}"/>
    <hyperlink ref="A54" location="'3.5 Identification and Auth.'!A11" display="3.5.10" xr:uid="{00000000-0004-0000-1300-000044000000}"/>
    <hyperlink ref="A55" location="'3.5 Identification and Auth.'!A12" display="3.5.11" xr:uid="{00000000-0004-0000-1300-000045000000}"/>
    <hyperlink ref="A56" location="'3.6 Incident Response'!A2" display="3.6.1" xr:uid="{00000000-0004-0000-1300-000046000000}"/>
    <hyperlink ref="A57" location="'3.6 Incident Response'!A3" display="3.6.2" xr:uid="{00000000-0004-0000-1300-000047000000}"/>
    <hyperlink ref="A58" location="'3.6 Incident Response'!A4" display="3.6.3" xr:uid="{00000000-0004-0000-1300-000048000000}"/>
    <hyperlink ref="A59" location="'3.7 Maintenance'!A2" display="3.7.1" xr:uid="{00000000-0004-0000-1300-000049000000}"/>
    <hyperlink ref="A60" location="'3.7 Maintenance'!A3" display="3.7.2" xr:uid="{00000000-0004-0000-1300-00004A000000}"/>
    <hyperlink ref="A61" location="'3.7 Maintenance'!A4" display="3.7.3" xr:uid="{00000000-0004-0000-1300-00004B000000}"/>
    <hyperlink ref="A62" location="'3.7 Maintenance'!A5" display="3.7.4" xr:uid="{00000000-0004-0000-1300-00004C000000}"/>
    <hyperlink ref="A63" location="'3.7 Maintenance'!A6" display="3.7.5" xr:uid="{00000000-0004-0000-1300-00004D000000}"/>
    <hyperlink ref="A64" location="'3.7 Maintenance'!A7" display="3.7.6" xr:uid="{00000000-0004-0000-1300-00004E000000}"/>
    <hyperlink ref="A66" location="'3.8 Media Protection'!A3" display="3.8.2" xr:uid="{00000000-0004-0000-1300-00004F000000}"/>
    <hyperlink ref="A67" location="'3.8 Media Protection'!A4" display="3.8.3" xr:uid="{00000000-0004-0000-1300-000050000000}"/>
    <hyperlink ref="A68" location="'3.8 Media Protection'!A5" display="3.8.4" xr:uid="{00000000-0004-0000-1300-000051000000}"/>
    <hyperlink ref="A69" location="'3.8 Media Protection'!A6" display="3.8.5" xr:uid="{00000000-0004-0000-1300-000052000000}"/>
    <hyperlink ref="A70" location="'3.8 Media Protection'!A7" display="3.8.6" xr:uid="{00000000-0004-0000-1300-000053000000}"/>
    <hyperlink ref="A71" location="'3.8 Media Protection'!A8" display="3.8.7" xr:uid="{00000000-0004-0000-1300-000054000000}"/>
    <hyperlink ref="A72" location="'3.8 Media Protection'!A9" display="3.8.8" xr:uid="{00000000-0004-0000-1300-000055000000}"/>
    <hyperlink ref="A73" location="'3.8 Media Protection'!A10" display="3.8.9" xr:uid="{00000000-0004-0000-1300-000056000000}"/>
    <hyperlink ref="A74" location="'3.9 Personnel Security'!A2" display="3.9.1" xr:uid="{00000000-0004-0000-1300-000057000000}"/>
    <hyperlink ref="A75" location="'3.9 Personnel Security'!A3" display="3.9.2" xr:uid="{00000000-0004-0000-1300-000058000000}"/>
    <hyperlink ref="A76" location="'3.10 Physical Protection'!A2" display="3.10.1" xr:uid="{00000000-0004-0000-1300-000059000000}"/>
    <hyperlink ref="A77" location="'3.10 Physical Protection'!A3" display="3.10.2" xr:uid="{00000000-0004-0000-1300-00005A000000}"/>
    <hyperlink ref="A78" location="'3.10 Physical Protection'!A4" display="3.10.3" xr:uid="{00000000-0004-0000-1300-00005B000000}"/>
    <hyperlink ref="A79" location="'3.10 Physical Protection'!A5" display="3.10.4" xr:uid="{00000000-0004-0000-1300-00005C000000}"/>
    <hyperlink ref="A80" location="'3.10 Physical Protection'!A6" display="3.10.5" xr:uid="{00000000-0004-0000-1300-00005D000000}"/>
    <hyperlink ref="A81" location="'3.10 Physical Protection'!A7" display="3.10.6" xr:uid="{00000000-0004-0000-1300-00005E000000}"/>
    <hyperlink ref="A82" location="'3.11 Risk Assessment'!A2" display="3.11.1" xr:uid="{00000000-0004-0000-1300-00005F000000}"/>
    <hyperlink ref="A83" location="'3.11 Risk Assessment'!A3" display="3.11.2" xr:uid="{00000000-0004-0000-1300-000060000000}"/>
    <hyperlink ref="A84" location="'3.11 Risk Assessment'!A4" display="3.11.3" xr:uid="{00000000-0004-0000-1300-000061000000}"/>
    <hyperlink ref="A85" location="'3.12 Security Assessment'!A2" display="3.12.1" xr:uid="{00000000-0004-0000-1300-000062000000}"/>
    <hyperlink ref="A86" location="'3.12 Security Assessment'!A3" display="3.12.2" xr:uid="{00000000-0004-0000-1300-000063000000}"/>
    <hyperlink ref="A87" location="'3.12 Security Assessment'!A4" display="3.12.3" xr:uid="{00000000-0004-0000-1300-000064000000}"/>
    <hyperlink ref="A88" location="'3.12 Security Assessment'!A5" display="3.12.4" xr:uid="{00000000-0004-0000-1300-000065000000}"/>
    <hyperlink ref="A89" location="'3.13 System and Communications'!A2" display="3.13.1" xr:uid="{00000000-0004-0000-1300-000066000000}"/>
    <hyperlink ref="A90" location="'3.13 System and Communications'!A3" display="3.13.2" xr:uid="{00000000-0004-0000-1300-000067000000}"/>
    <hyperlink ref="A91" location="'3.13 System and Communications'!A4" display="3.13.3" xr:uid="{00000000-0004-0000-1300-000068000000}"/>
    <hyperlink ref="A92" location="'3.13 System and Communications'!A5" display="3.13.4" xr:uid="{00000000-0004-0000-1300-000069000000}"/>
    <hyperlink ref="A93" location="'3.13 System and Communications'!A6" display="3.13.5" xr:uid="{00000000-0004-0000-1300-00006A000000}"/>
    <hyperlink ref="A94" location="'3.13 System and Communications'!A7" display="3.13.6" xr:uid="{00000000-0004-0000-1300-00006B000000}"/>
    <hyperlink ref="A95" location="'3.13 System and Communications'!A8" display="3.13.7" xr:uid="{00000000-0004-0000-1300-00006C000000}"/>
    <hyperlink ref="A96" location="'3.13 System and Communications'!A9" display="3.13.8" xr:uid="{00000000-0004-0000-1300-00006D000000}"/>
    <hyperlink ref="A97" location="'3.13 System and Communications'!A10" display="3.13.9" xr:uid="{00000000-0004-0000-1300-00006E000000}"/>
    <hyperlink ref="A98" location="'3.13 System and Communications'!A11" display="3.13.10" xr:uid="{00000000-0004-0000-1300-00006F000000}"/>
    <hyperlink ref="A99" location="'3.13 System and Communications'!A12" display="3.13.11" xr:uid="{00000000-0004-0000-1300-000070000000}"/>
    <hyperlink ref="A100" location="'3.13 System and Communications'!A13" display="3.13.12" xr:uid="{00000000-0004-0000-1300-000071000000}"/>
    <hyperlink ref="A101" location="'3.13 System and Communications'!A14" display="3.13.13" xr:uid="{00000000-0004-0000-1300-000072000000}"/>
    <hyperlink ref="A102" location="'3.13 System and Communications'!A15" display="3.13.14" xr:uid="{00000000-0004-0000-1300-000073000000}"/>
    <hyperlink ref="A103" location="'3.13 System and Communications'!A16" display="3.13.15" xr:uid="{00000000-0004-0000-1300-000074000000}"/>
    <hyperlink ref="A104" location="'3.13 System and Communications'!A17" display="3.13.16" xr:uid="{00000000-0004-0000-1300-000075000000}"/>
    <hyperlink ref="A105" location="'3.14 System and Information'!A2" display="3.14.1" xr:uid="{00000000-0004-0000-1300-000076000000}"/>
    <hyperlink ref="A106" location="'3.14 System and Information'!A3" display="3.14.2" xr:uid="{00000000-0004-0000-1300-000077000000}"/>
    <hyperlink ref="A107" location="'3.14 System and Information'!A4" display="3.14.3" xr:uid="{00000000-0004-0000-1300-000078000000}"/>
    <hyperlink ref="A108" location="'3.14 System and Information'!A5" display="3.14.4" xr:uid="{00000000-0004-0000-1300-000079000000}"/>
    <hyperlink ref="A109" location="'3.14 System and Information'!A6" display="3.14.5" xr:uid="{00000000-0004-0000-1300-00007A000000}"/>
    <hyperlink ref="A110" location="'3.14 System and Information'!A7" display="3.14.6" xr:uid="{00000000-0004-0000-1300-00007B000000}"/>
    <hyperlink ref="A111" location="'3.14 System and Information'!A8" display="3.14.7" xr:uid="{00000000-0004-0000-1300-00007C000000}"/>
  </hyperlinks>
  <pageMargins left="0.7" right="0.7" top="0.75" bottom="0.75" header="0.3" footer="0.3"/>
  <pageSetup orientation="landscape" r:id="rId1"/>
  <headerFooter>
    <oddHeader>&amp;L&amp;D &amp;T&amp;C&amp;A</oddHeader>
    <oddFooter>&amp;R&amp;P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A5"/>
  <sheetViews>
    <sheetView workbookViewId="0">
      <selection activeCell="B13" sqref="B13"/>
    </sheetView>
  </sheetViews>
  <sheetFormatPr baseColWidth="10" defaultColWidth="8.83203125" defaultRowHeight="15" x14ac:dyDescent="0.2"/>
  <sheetData>
    <row r="1" spans="1:1" x14ac:dyDescent="0.2">
      <c r="A1" t="s">
        <v>234</v>
      </c>
    </row>
    <row r="2" spans="1:1" x14ac:dyDescent="0.2">
      <c r="A2" t="s">
        <v>238</v>
      </c>
    </row>
    <row r="3" spans="1:1" x14ac:dyDescent="0.2">
      <c r="A3" t="s">
        <v>239</v>
      </c>
    </row>
    <row r="4" spans="1:1" x14ac:dyDescent="0.2">
      <c r="A4" t="s">
        <v>233</v>
      </c>
    </row>
    <row r="5" spans="1:1" x14ac:dyDescent="0.2">
      <c r="A5"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20</vt:i4>
      </vt:variant>
      <vt:variant>
        <vt:lpstr>Intervalli denominati</vt:lpstr>
      </vt:variant>
      <vt:variant>
        <vt:i4>1</vt:i4>
      </vt:variant>
    </vt:vector>
  </HeadingPairs>
  <TitlesOfParts>
    <vt:vector size="21" baseType="lpstr">
      <vt:lpstr>Instruction</vt:lpstr>
      <vt:lpstr>3.1 Access Control</vt:lpstr>
      <vt:lpstr>3.2 Awareness and Training</vt:lpstr>
      <vt:lpstr>3.3 Audit and Accountability</vt:lpstr>
      <vt:lpstr>3.4 Configuration Management</vt:lpstr>
      <vt:lpstr>3.5 Identification and Auth.</vt:lpstr>
      <vt:lpstr>3.6 Incident Response</vt:lpstr>
      <vt:lpstr>3.7 Maintenance</vt:lpstr>
      <vt:lpstr>3.8 Media Protection</vt:lpstr>
      <vt:lpstr>3.9 Personnel Security</vt:lpstr>
      <vt:lpstr>3.10 Physical Protection</vt:lpstr>
      <vt:lpstr>3.11 Risk Assessment</vt:lpstr>
      <vt:lpstr>3.12 Security Assessment</vt:lpstr>
      <vt:lpstr>3.13 System and Communications</vt:lpstr>
      <vt:lpstr>3.14 System and Information</vt:lpstr>
      <vt:lpstr>Completion of the Questionnaire</vt:lpstr>
      <vt:lpstr>Summary</vt:lpstr>
      <vt:lpstr>Master POAM List</vt:lpstr>
      <vt:lpstr>Reference</vt:lpstr>
      <vt:lpstr>Sheet2</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 Xinlei</dc:creator>
  <cp:lastModifiedBy>Arcangelo CASTIGLIONE</cp:lastModifiedBy>
  <cp:lastPrinted>2020-12-08T16:01:37Z</cp:lastPrinted>
  <dcterms:created xsi:type="dcterms:W3CDTF">2020-04-15T21:00:44Z</dcterms:created>
  <dcterms:modified xsi:type="dcterms:W3CDTF">2025-03-05T14:05:59Z</dcterms:modified>
</cp:coreProperties>
</file>